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628"/>
  <workbookPr codeName="ThisWorkbook"/>
  <mc:AlternateContent xmlns:mc="http://schemas.openxmlformats.org/markup-compatibility/2006">
    <mc:Choice Requires="x15">
      <x15ac:absPath xmlns:x15ac="http://schemas.microsoft.com/office/spreadsheetml/2010/11/ac" url="https://invias-my.sharepoint.com/personal/jgarizao_invias_gov_co/Documents/01. Procesos/2024/PROCESOS DE SELECCION DT-MAG 2024/CMA-DT-MAG-001-2024/6. Evaluación final/"/>
    </mc:Choice>
  </mc:AlternateContent>
  <xr:revisionPtr revIDLastSave="1171" documentId="8_{701F9663-9E27-4E95-9FA2-6966C971D53A}" xr6:coauthVersionLast="47" xr6:coauthVersionMax="47" xr10:uidLastSave="{F2E624F5-D775-4A81-825D-0BA577B5544F}"/>
  <bookViews>
    <workbookView xWindow="-108" yWindow="-108" windowWidth="23256" windowHeight="12456" tabRatio="900" activeTab="8" xr2:uid="{00000000-000D-0000-FFFF-FFFF00000000}"/>
  </bookViews>
  <sheets>
    <sheet name="RESUMEN-M (1)" sheetId="13" r:id="rId1"/>
    <sheet name="Lista desplegable 1" sheetId="120" state="hidden" r:id="rId2"/>
    <sheet name="MEDIA GEOMETRICA" sheetId="111" state="hidden" r:id="rId3"/>
    <sheet name="ELEGIBILIDAD M GEOMETRICA" sheetId="112" state="hidden" r:id="rId4"/>
    <sheet name="MEDIA ARITMETICA" sheetId="105" state="hidden" r:id="rId5"/>
    <sheet name="ELEGIBILIDAD MEDIA ARITMETICA)" sheetId="10" state="hidden" r:id="rId6"/>
    <sheet name="PROM-CTOS EXP" sheetId="118" r:id="rId7"/>
    <sheet name="METODO DE PONDERACION" sheetId="113" r:id="rId8"/>
    <sheet name="ELEGIBILIDAD" sheetId="114" r:id="rId9"/>
    <sheet name="MEDIA ARITMETICA ALTA" sheetId="115" state="hidden" r:id="rId10"/>
    <sheet name="Listas" sheetId="106" state="veryHidden" r:id="rId11"/>
  </sheets>
  <externalReferences>
    <externalReference r:id="rId12"/>
  </externalReferences>
  <definedNames>
    <definedName name="_xlnm.Print_Area" localSheetId="5">'ELEGIBILIDAD MEDIA ARITMETICA)'!$B$1:$T$29</definedName>
    <definedName name="_xlnm.Print_Area" localSheetId="4">'MEDIA ARITMETICA'!$B$1:$H$42</definedName>
    <definedName name="_xlnm.Print_Area" localSheetId="7">'METODO DE PONDERACION'!$A$1:$H$107</definedName>
    <definedName name="_xlnm.Print_Area" localSheetId="0">'RESUMEN-M (1)'!$B$1:$L$100</definedName>
    <definedName name="DEPENDENCIAS">Listas!$B$2:$B$16</definedName>
    <definedName name="METEVA">[1]LISTAS!$T$2:$T$5</definedName>
    <definedName name="RESULTADO">Listas!$C$2:$C$4</definedName>
    <definedName name="_xlnm.Print_Titles" localSheetId="5">'ELEGIBILIDAD MEDIA ARITMETICA)'!$1:$15</definedName>
    <definedName name="_xlnm.Print_Titles" localSheetId="4">'MEDIA ARITMETICA'!$1:$14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66" i="118" l="1"/>
  <c r="M14" i="114"/>
  <c r="H21" i="113"/>
  <c r="F61" i="113"/>
  <c r="F60" i="113" l="1"/>
  <c r="F59" i="113"/>
  <c r="F58" i="113"/>
  <c r="F57" i="113"/>
  <c r="F56" i="113"/>
  <c r="F55" i="113"/>
  <c r="H12" i="113"/>
  <c r="G13" i="113" s="1"/>
  <c r="G33" i="113" l="1"/>
  <c r="F42" i="113"/>
  <c r="F43" i="113"/>
  <c r="F44" i="113"/>
  <c r="F45" i="113"/>
  <c r="F46" i="113"/>
  <c r="F47" i="113"/>
  <c r="F48" i="113"/>
  <c r="F49" i="113"/>
  <c r="F50" i="113"/>
  <c r="F51" i="113"/>
  <c r="F52" i="113"/>
  <c r="F53" i="113"/>
  <c r="F54" i="113"/>
  <c r="F62" i="113"/>
  <c r="F63" i="113"/>
  <c r="F64" i="113"/>
  <c r="F65" i="113"/>
  <c r="F66" i="113"/>
  <c r="F67" i="113"/>
  <c r="F68" i="113"/>
  <c r="F69" i="113"/>
  <c r="F70" i="113"/>
  <c r="F71" i="113"/>
  <c r="F72" i="113"/>
  <c r="F73" i="113"/>
  <c r="F74" i="113"/>
  <c r="F75" i="113"/>
  <c r="F76" i="113"/>
  <c r="F77" i="113"/>
  <c r="F78" i="113"/>
  <c r="F79" i="113"/>
  <c r="F80" i="113"/>
  <c r="F81" i="113"/>
  <c r="F82" i="113"/>
  <c r="F83" i="113"/>
  <c r="F84" i="113"/>
  <c r="F85" i="113"/>
  <c r="F86" i="113"/>
  <c r="F87" i="113"/>
  <c r="F88" i="113"/>
  <c r="F89" i="113"/>
  <c r="F90" i="113"/>
  <c r="F91" i="113"/>
  <c r="F92" i="113"/>
  <c r="F93" i="113"/>
  <c r="F94" i="113"/>
  <c r="F95" i="113"/>
  <c r="F96" i="113"/>
  <c r="F97" i="113"/>
  <c r="F98" i="113"/>
  <c r="F99" i="113"/>
  <c r="F100" i="113"/>
  <c r="F101" i="113"/>
  <c r="F41" i="113"/>
  <c r="E97" i="13" l="1"/>
  <c r="E96" i="13"/>
  <c r="C67" i="113" l="1"/>
  <c r="C17" i="114" l="1"/>
  <c r="D17" i="114"/>
  <c r="C18" i="114"/>
  <c r="D18" i="114"/>
  <c r="C19" i="114"/>
  <c r="D19" i="114"/>
  <c r="C20" i="114"/>
  <c r="D20" i="114"/>
  <c r="C21" i="114"/>
  <c r="D21" i="114"/>
  <c r="C22" i="114"/>
  <c r="D22" i="114"/>
  <c r="C23" i="114"/>
  <c r="D23" i="114"/>
  <c r="C24" i="114"/>
  <c r="D24" i="114"/>
  <c r="C25" i="114"/>
  <c r="D25" i="114"/>
  <c r="C26" i="114"/>
  <c r="D26" i="114"/>
  <c r="C27" i="114"/>
  <c r="D27" i="114"/>
  <c r="C28" i="114"/>
  <c r="D28" i="114"/>
  <c r="C29" i="114"/>
  <c r="D29" i="114"/>
  <c r="C30" i="114"/>
  <c r="D30" i="114"/>
  <c r="C31" i="114"/>
  <c r="D31" i="114"/>
  <c r="C32" i="114"/>
  <c r="D32" i="114"/>
  <c r="C33" i="114"/>
  <c r="D33" i="114"/>
  <c r="C34" i="114"/>
  <c r="D34" i="114"/>
  <c r="C35" i="114"/>
  <c r="D35" i="114"/>
  <c r="C36" i="114"/>
  <c r="D36" i="114"/>
  <c r="C37" i="114"/>
  <c r="D37" i="114"/>
  <c r="C38" i="114"/>
  <c r="D38" i="114"/>
  <c r="C39" i="114"/>
  <c r="D39" i="114"/>
  <c r="C40" i="114"/>
  <c r="D40" i="114"/>
  <c r="C41" i="114"/>
  <c r="D41" i="114"/>
  <c r="C42" i="114"/>
  <c r="D42" i="114"/>
  <c r="C43" i="114"/>
  <c r="D43" i="114"/>
  <c r="C44" i="114"/>
  <c r="D44" i="114"/>
  <c r="C45" i="114"/>
  <c r="D45" i="114"/>
  <c r="C46" i="114"/>
  <c r="D46" i="114"/>
  <c r="C47" i="114"/>
  <c r="D47" i="114"/>
  <c r="C48" i="114"/>
  <c r="D48" i="114"/>
  <c r="C49" i="114"/>
  <c r="D49" i="114"/>
  <c r="C50" i="114"/>
  <c r="D50" i="114"/>
  <c r="C51" i="114"/>
  <c r="D51" i="114"/>
  <c r="C52" i="114"/>
  <c r="D52" i="114"/>
  <c r="C53" i="114"/>
  <c r="D53" i="114"/>
  <c r="C54" i="114"/>
  <c r="D54" i="114"/>
  <c r="C55" i="114"/>
  <c r="D55" i="114"/>
  <c r="C56" i="114"/>
  <c r="D56" i="114"/>
  <c r="C57" i="114"/>
  <c r="D57" i="114"/>
  <c r="C58" i="114"/>
  <c r="D58" i="114"/>
  <c r="C59" i="114"/>
  <c r="D59" i="114"/>
  <c r="C60" i="114"/>
  <c r="D60" i="114"/>
  <c r="C61" i="114"/>
  <c r="D61" i="114"/>
  <c r="C62" i="114"/>
  <c r="D62" i="114"/>
  <c r="C63" i="114"/>
  <c r="D63" i="114"/>
  <c r="C64" i="114"/>
  <c r="D64" i="114"/>
  <c r="C65" i="114"/>
  <c r="D65" i="114"/>
  <c r="C66" i="114"/>
  <c r="D66" i="114"/>
  <c r="C67" i="114"/>
  <c r="D67" i="114"/>
  <c r="C68" i="114"/>
  <c r="D68" i="114"/>
  <c r="C69" i="114"/>
  <c r="D69" i="114"/>
  <c r="C70" i="114"/>
  <c r="D70" i="114"/>
  <c r="C71" i="114"/>
  <c r="D71" i="114"/>
  <c r="C72" i="114"/>
  <c r="D72" i="114"/>
  <c r="C73" i="114"/>
  <c r="D73" i="114"/>
  <c r="C74" i="114"/>
  <c r="D74" i="114"/>
  <c r="C75" i="114"/>
  <c r="D75" i="114"/>
  <c r="C76" i="114"/>
  <c r="D76" i="114"/>
  <c r="D16" i="114"/>
  <c r="C10" i="118"/>
  <c r="J10" i="118" s="1"/>
  <c r="E42" i="113" s="1"/>
  <c r="C11" i="118"/>
  <c r="J11" i="118" s="1"/>
  <c r="E43" i="113" s="1"/>
  <c r="C12" i="118"/>
  <c r="J12" i="118" s="1"/>
  <c r="E44" i="113" s="1"/>
  <c r="C13" i="118"/>
  <c r="J13" i="118" s="1"/>
  <c r="E45" i="113" s="1"/>
  <c r="C14" i="118"/>
  <c r="J14" i="118" s="1"/>
  <c r="E46" i="113" s="1"/>
  <c r="C15" i="118"/>
  <c r="J15" i="118" s="1"/>
  <c r="E47" i="113" s="1"/>
  <c r="C16" i="118"/>
  <c r="C17" i="118"/>
  <c r="C18" i="118"/>
  <c r="C19" i="118"/>
  <c r="C20" i="118"/>
  <c r="C21" i="118"/>
  <c r="C22" i="118"/>
  <c r="C23" i="118"/>
  <c r="C24" i="118"/>
  <c r="C25" i="118"/>
  <c r="C26" i="118"/>
  <c r="C27" i="118"/>
  <c r="C28" i="118"/>
  <c r="C29" i="118"/>
  <c r="C30" i="118"/>
  <c r="C31" i="118"/>
  <c r="C32" i="118"/>
  <c r="C33" i="118"/>
  <c r="C34" i="118"/>
  <c r="C35" i="118"/>
  <c r="C36" i="118"/>
  <c r="C37" i="118"/>
  <c r="C38" i="118"/>
  <c r="J38" i="118" s="1"/>
  <c r="E70" i="113" s="1"/>
  <c r="C39" i="118"/>
  <c r="J39" i="118" s="1"/>
  <c r="E71" i="113" s="1"/>
  <c r="C40" i="118"/>
  <c r="C41" i="118"/>
  <c r="C42" i="118"/>
  <c r="J42" i="118" s="1"/>
  <c r="E74" i="113" s="1"/>
  <c r="C43" i="118"/>
  <c r="J43" i="118" s="1"/>
  <c r="E75" i="113" s="1"/>
  <c r="C44" i="118"/>
  <c r="C45" i="118"/>
  <c r="C46" i="118"/>
  <c r="C47" i="118"/>
  <c r="C48" i="118"/>
  <c r="C49" i="118"/>
  <c r="C50" i="118"/>
  <c r="C51" i="118"/>
  <c r="J51" i="118" s="1"/>
  <c r="E83" i="113" s="1"/>
  <c r="C52" i="118"/>
  <c r="J52" i="118" s="1"/>
  <c r="E84" i="113" s="1"/>
  <c r="C53" i="118"/>
  <c r="C54" i="118"/>
  <c r="J54" i="118" s="1"/>
  <c r="E86" i="113" s="1"/>
  <c r="C55" i="118"/>
  <c r="J55" i="118" s="1"/>
  <c r="E87" i="113" s="1"/>
  <c r="C56" i="118"/>
  <c r="J56" i="118" s="1"/>
  <c r="E88" i="113" s="1"/>
  <c r="C57" i="118"/>
  <c r="J57" i="118" s="1"/>
  <c r="E89" i="113" s="1"/>
  <c r="C58" i="118"/>
  <c r="J58" i="118" s="1"/>
  <c r="E90" i="113" s="1"/>
  <c r="C59" i="118"/>
  <c r="C60" i="118"/>
  <c r="C61" i="118"/>
  <c r="C62" i="118"/>
  <c r="C63" i="118"/>
  <c r="C64" i="118"/>
  <c r="J64" i="118" s="1"/>
  <c r="E96" i="113" s="1"/>
  <c r="C65" i="118"/>
  <c r="C66" i="118"/>
  <c r="C67" i="118"/>
  <c r="J67" i="118" s="1"/>
  <c r="E99" i="113" s="1"/>
  <c r="C68" i="118"/>
  <c r="C69" i="118"/>
  <c r="C70" i="118"/>
  <c r="J70" i="118" s="1"/>
  <c r="C71" i="118"/>
  <c r="J71" i="118" s="1"/>
  <c r="C72" i="118"/>
  <c r="J72" i="118" s="1"/>
  <c r="C73" i="118"/>
  <c r="J73" i="118" s="1"/>
  <c r="C74" i="118"/>
  <c r="J74" i="118" s="1"/>
  <c r="C75" i="118"/>
  <c r="J75" i="118" s="1"/>
  <c r="C76" i="118"/>
  <c r="J76" i="118" s="1"/>
  <c r="C77" i="118"/>
  <c r="J77" i="118" s="1"/>
  <c r="C78" i="118"/>
  <c r="J78" i="118" s="1"/>
  <c r="C79" i="118"/>
  <c r="J79" i="118" s="1"/>
  <c r="C80" i="118"/>
  <c r="J80" i="118" s="1"/>
  <c r="C81" i="118"/>
  <c r="J81" i="118" s="1"/>
  <c r="C82" i="118"/>
  <c r="J82" i="118" s="1"/>
  <c r="C83" i="118"/>
  <c r="J83" i="118" s="1"/>
  <c r="C84" i="118"/>
  <c r="J84" i="118" s="1"/>
  <c r="C85" i="118"/>
  <c r="J85" i="118" s="1"/>
  <c r="C86" i="118"/>
  <c r="J86" i="118" s="1"/>
  <c r="C87" i="118"/>
  <c r="J87" i="118" s="1"/>
  <c r="C88" i="118"/>
  <c r="J88" i="118" s="1"/>
  <c r="C89" i="118"/>
  <c r="J89" i="118" s="1"/>
  <c r="C90" i="118"/>
  <c r="J90" i="118" s="1"/>
  <c r="C9" i="118"/>
  <c r="J9" i="118" s="1"/>
  <c r="E41" i="113" s="1"/>
  <c r="J68" i="118" l="1"/>
  <c r="E100" i="113" s="1"/>
  <c r="E98" i="113"/>
  <c r="J65" i="118"/>
  <c r="E97" i="113" s="1"/>
  <c r="J63" i="118"/>
  <c r="E95" i="113" s="1"/>
  <c r="J62" i="118"/>
  <c r="E94" i="113" s="1"/>
  <c r="J61" i="118"/>
  <c r="E93" i="113" s="1"/>
  <c r="J60" i="118"/>
  <c r="E92" i="113" s="1"/>
  <c r="J59" i="118"/>
  <c r="E91" i="113" s="1"/>
  <c r="J50" i="118"/>
  <c r="E82" i="113" s="1"/>
  <c r="J49" i="118"/>
  <c r="E81" i="113" s="1"/>
  <c r="J48" i="118"/>
  <c r="E80" i="113" s="1"/>
  <c r="J47" i="118"/>
  <c r="E79" i="113" s="1"/>
  <c r="J46" i="118"/>
  <c r="E78" i="113" s="1"/>
  <c r="J45" i="118"/>
  <c r="E77" i="113" s="1"/>
  <c r="J44" i="118"/>
  <c r="E76" i="113" s="1"/>
  <c r="J41" i="118"/>
  <c r="E73" i="113" s="1"/>
  <c r="J40" i="118"/>
  <c r="E72" i="113"/>
  <c r="J37" i="118"/>
  <c r="E69" i="113"/>
  <c r="J36" i="118"/>
  <c r="E68" i="113" s="1"/>
  <c r="J35" i="118"/>
  <c r="E67" i="113" s="1"/>
  <c r="J34" i="118"/>
  <c r="E66" i="113" s="1"/>
  <c r="J33" i="118"/>
  <c r="E65" i="113" s="1"/>
  <c r="J32" i="118"/>
  <c r="E64" i="113" s="1"/>
  <c r="J31" i="118"/>
  <c r="E63" i="113" s="1"/>
  <c r="J30" i="118"/>
  <c r="E62" i="113" s="1"/>
  <c r="J28" i="118"/>
  <c r="E60" i="113"/>
  <c r="J27" i="118"/>
  <c r="E59" i="113" s="1"/>
  <c r="J26" i="118"/>
  <c r="E58" i="113" s="1"/>
  <c r="J25" i="118"/>
  <c r="E57" i="113" s="1"/>
  <c r="J24" i="118"/>
  <c r="E56" i="113" s="1"/>
  <c r="J23" i="118"/>
  <c r="E55" i="113" s="1"/>
  <c r="J22" i="118"/>
  <c r="E54" i="113" s="1"/>
  <c r="J20" i="118"/>
  <c r="E52" i="113" s="1"/>
  <c r="J19" i="118"/>
  <c r="E51" i="113" s="1"/>
  <c r="J18" i="118"/>
  <c r="E50" i="113" s="1"/>
  <c r="J17" i="118"/>
  <c r="E49" i="113" s="1"/>
  <c r="J21" i="118"/>
  <c r="E53" i="113" s="1"/>
  <c r="J69" i="118"/>
  <c r="E101" i="113"/>
  <c r="J53" i="118"/>
  <c r="E85" i="113" s="1"/>
  <c r="J29" i="118"/>
  <c r="E61" i="113" s="1"/>
  <c r="J16" i="118"/>
  <c r="E48" i="113" s="1"/>
  <c r="K72" i="114"/>
  <c r="H72" i="114"/>
  <c r="L72" i="114"/>
  <c r="I72" i="114"/>
  <c r="G72" i="114"/>
  <c r="J72" i="114"/>
  <c r="G64" i="114"/>
  <c r="K64" i="114"/>
  <c r="H64" i="114"/>
  <c r="L64" i="114"/>
  <c r="I64" i="114"/>
  <c r="J64" i="114"/>
  <c r="K56" i="114"/>
  <c r="G56" i="114"/>
  <c r="H56" i="114"/>
  <c r="L56" i="114"/>
  <c r="I56" i="114"/>
  <c r="J56" i="114"/>
  <c r="L44" i="114"/>
  <c r="J44" i="114"/>
  <c r="G44" i="114"/>
  <c r="K44" i="114"/>
  <c r="H44" i="114"/>
  <c r="I44" i="114"/>
  <c r="L24" i="114"/>
  <c r="K24" i="114"/>
  <c r="H24" i="114"/>
  <c r="G24" i="114"/>
  <c r="I24" i="114"/>
  <c r="J24" i="114"/>
  <c r="K63" i="114"/>
  <c r="H63" i="114"/>
  <c r="I63" i="114"/>
  <c r="L63" i="114"/>
  <c r="J63" i="114"/>
  <c r="G63" i="114"/>
  <c r="K55" i="114"/>
  <c r="H55" i="114"/>
  <c r="I55" i="114"/>
  <c r="L55" i="114"/>
  <c r="J55" i="114"/>
  <c r="G55" i="114"/>
  <c r="K47" i="114"/>
  <c r="H47" i="114"/>
  <c r="I47" i="114"/>
  <c r="L47" i="114"/>
  <c r="J47" i="114"/>
  <c r="G47" i="114"/>
  <c r="K39" i="114"/>
  <c r="H39" i="114"/>
  <c r="I39" i="114"/>
  <c r="L39" i="114"/>
  <c r="J39" i="114"/>
  <c r="G39" i="114"/>
  <c r="K31" i="114"/>
  <c r="H31" i="114"/>
  <c r="I31" i="114"/>
  <c r="L31" i="114"/>
  <c r="J31" i="114"/>
  <c r="G31" i="114"/>
  <c r="K27" i="114"/>
  <c r="J27" i="114"/>
  <c r="G27" i="114"/>
  <c r="L27" i="114"/>
  <c r="H27" i="114"/>
  <c r="I27" i="114"/>
  <c r="J74" i="114"/>
  <c r="G74" i="114"/>
  <c r="K74" i="114"/>
  <c r="H74" i="114"/>
  <c r="I74" i="114"/>
  <c r="L74" i="114"/>
  <c r="H70" i="114"/>
  <c r="I70" i="114"/>
  <c r="G70" i="114"/>
  <c r="L70" i="114"/>
  <c r="J70" i="114"/>
  <c r="K70" i="114"/>
  <c r="J66" i="114"/>
  <c r="G66" i="114"/>
  <c r="H66" i="114"/>
  <c r="K66" i="114"/>
  <c r="I66" i="114"/>
  <c r="L66" i="114"/>
  <c r="H62" i="114"/>
  <c r="I62" i="114"/>
  <c r="J62" i="114"/>
  <c r="L62" i="114"/>
  <c r="G62" i="114"/>
  <c r="K62" i="114"/>
  <c r="J58" i="114"/>
  <c r="G58" i="114"/>
  <c r="H58" i="114"/>
  <c r="K58" i="114"/>
  <c r="I58" i="114"/>
  <c r="L58" i="114"/>
  <c r="H54" i="114"/>
  <c r="G54" i="114"/>
  <c r="I54" i="114"/>
  <c r="L54" i="114"/>
  <c r="J54" i="114"/>
  <c r="K54" i="114"/>
  <c r="J50" i="114"/>
  <c r="G50" i="114"/>
  <c r="H50" i="114"/>
  <c r="K50" i="114"/>
  <c r="I50" i="114"/>
  <c r="L50" i="114"/>
  <c r="H46" i="114"/>
  <c r="J46" i="114"/>
  <c r="K46" i="114"/>
  <c r="I46" i="114"/>
  <c r="L46" i="114"/>
  <c r="G46" i="114"/>
  <c r="J42" i="114"/>
  <c r="H42" i="114"/>
  <c r="K42" i="114"/>
  <c r="I42" i="114"/>
  <c r="L42" i="114"/>
  <c r="H38" i="114"/>
  <c r="G38" i="114"/>
  <c r="I38" i="114"/>
  <c r="K38" i="114"/>
  <c r="L38" i="114"/>
  <c r="J38" i="114"/>
  <c r="J34" i="114"/>
  <c r="G34" i="114"/>
  <c r="H34" i="114"/>
  <c r="K34" i="114"/>
  <c r="I34" i="114"/>
  <c r="L34" i="114"/>
  <c r="H30" i="114"/>
  <c r="I30" i="114"/>
  <c r="J30" i="114"/>
  <c r="G30" i="114"/>
  <c r="L30" i="114"/>
  <c r="K30" i="114"/>
  <c r="J26" i="114"/>
  <c r="G26" i="114"/>
  <c r="H26" i="114"/>
  <c r="K26" i="114"/>
  <c r="I26" i="114"/>
  <c r="L26" i="114"/>
  <c r="H22" i="114"/>
  <c r="I22" i="114"/>
  <c r="L22" i="114"/>
  <c r="J22" i="114"/>
  <c r="G22" i="114"/>
  <c r="K22" i="114"/>
  <c r="J18" i="114"/>
  <c r="G18" i="114"/>
  <c r="H18" i="114"/>
  <c r="K18" i="114"/>
  <c r="I18" i="114"/>
  <c r="L18" i="114"/>
  <c r="L68" i="114"/>
  <c r="J68" i="114"/>
  <c r="G68" i="114"/>
  <c r="K68" i="114"/>
  <c r="H68" i="114"/>
  <c r="I68" i="114"/>
  <c r="K48" i="114"/>
  <c r="H48" i="114"/>
  <c r="L48" i="114"/>
  <c r="I48" i="114"/>
  <c r="J48" i="114"/>
  <c r="G48" i="114"/>
  <c r="K40" i="114"/>
  <c r="H40" i="114"/>
  <c r="L40" i="114"/>
  <c r="I40" i="114"/>
  <c r="G40" i="114"/>
  <c r="J40" i="114"/>
  <c r="L36" i="114"/>
  <c r="I36" i="114"/>
  <c r="J36" i="114"/>
  <c r="G36" i="114"/>
  <c r="H36" i="114"/>
  <c r="K36" i="114"/>
  <c r="G32" i="114"/>
  <c r="K32" i="114"/>
  <c r="H32" i="114"/>
  <c r="L32" i="114"/>
  <c r="I32" i="114"/>
  <c r="J32" i="114"/>
  <c r="L28" i="114"/>
  <c r="H28" i="114"/>
  <c r="J28" i="114"/>
  <c r="G28" i="114"/>
  <c r="I28" i="114"/>
  <c r="K28" i="114"/>
  <c r="K71" i="114"/>
  <c r="H71" i="114"/>
  <c r="I71" i="114"/>
  <c r="L71" i="114"/>
  <c r="J71" i="114"/>
  <c r="G71" i="114"/>
  <c r="G59" i="114"/>
  <c r="J59" i="114"/>
  <c r="K59" i="114"/>
  <c r="L59" i="114"/>
  <c r="H59" i="114"/>
  <c r="I59" i="114"/>
  <c r="G43" i="114"/>
  <c r="L43" i="114"/>
  <c r="J43" i="114"/>
  <c r="K43" i="114"/>
  <c r="H43" i="114"/>
  <c r="I43" i="114"/>
  <c r="K23" i="114"/>
  <c r="H23" i="114"/>
  <c r="I23" i="114"/>
  <c r="L23" i="114"/>
  <c r="J23" i="114"/>
  <c r="G23" i="114"/>
  <c r="J73" i="114"/>
  <c r="K73" i="114"/>
  <c r="I73" i="114"/>
  <c r="H73" i="114"/>
  <c r="L73" i="114"/>
  <c r="G73" i="114"/>
  <c r="I61" i="114"/>
  <c r="L61" i="114"/>
  <c r="J61" i="114"/>
  <c r="G61" i="114"/>
  <c r="K61" i="114"/>
  <c r="H61" i="114"/>
  <c r="I53" i="114"/>
  <c r="L53" i="114"/>
  <c r="G53" i="114"/>
  <c r="J53" i="114"/>
  <c r="K53" i="114"/>
  <c r="H53" i="114"/>
  <c r="I45" i="114"/>
  <c r="L45" i="114"/>
  <c r="J45" i="114"/>
  <c r="G45" i="114"/>
  <c r="K45" i="114"/>
  <c r="H45" i="114"/>
  <c r="I37" i="114"/>
  <c r="L37" i="114"/>
  <c r="G37" i="114"/>
  <c r="J37" i="114"/>
  <c r="K37" i="114"/>
  <c r="H37" i="114"/>
  <c r="I33" i="114"/>
  <c r="K33" i="114"/>
  <c r="H33" i="114"/>
  <c r="L33" i="114"/>
  <c r="J33" i="114"/>
  <c r="G33" i="114"/>
  <c r="I29" i="114"/>
  <c r="L29" i="114"/>
  <c r="J29" i="114"/>
  <c r="G29" i="114"/>
  <c r="K29" i="114"/>
  <c r="H29" i="114"/>
  <c r="J25" i="114"/>
  <c r="K25" i="114"/>
  <c r="I25" i="114"/>
  <c r="H25" i="114"/>
  <c r="L25" i="114"/>
  <c r="G25" i="114"/>
  <c r="I21" i="114"/>
  <c r="L21" i="114"/>
  <c r="G21" i="114"/>
  <c r="J21" i="114"/>
  <c r="K21" i="114"/>
  <c r="H21" i="114"/>
  <c r="I17" i="114"/>
  <c r="J17" i="114"/>
  <c r="K17" i="114"/>
  <c r="H17" i="114"/>
  <c r="L17" i="114"/>
  <c r="G17" i="114"/>
  <c r="L76" i="114"/>
  <c r="H76" i="114"/>
  <c r="J76" i="114"/>
  <c r="G76" i="114"/>
  <c r="K76" i="114"/>
  <c r="I76" i="114"/>
  <c r="L60" i="114"/>
  <c r="J60" i="114"/>
  <c r="G60" i="114"/>
  <c r="H60" i="114"/>
  <c r="K60" i="114"/>
  <c r="I60" i="114"/>
  <c r="L52" i="114"/>
  <c r="H52" i="114"/>
  <c r="J52" i="114"/>
  <c r="G52" i="114"/>
  <c r="K52" i="114"/>
  <c r="I52" i="114"/>
  <c r="L20" i="114"/>
  <c r="J20" i="114"/>
  <c r="G20" i="114"/>
  <c r="I20" i="114"/>
  <c r="K20" i="114"/>
  <c r="H20" i="114"/>
  <c r="G75" i="114"/>
  <c r="K75" i="114"/>
  <c r="L75" i="114"/>
  <c r="J75" i="114"/>
  <c r="H75" i="114"/>
  <c r="I75" i="114"/>
  <c r="J67" i="114"/>
  <c r="G67" i="114"/>
  <c r="L67" i="114"/>
  <c r="K67" i="114"/>
  <c r="H67" i="114"/>
  <c r="I67" i="114"/>
  <c r="J51" i="114"/>
  <c r="G51" i="114"/>
  <c r="K51" i="114"/>
  <c r="H51" i="114"/>
  <c r="I51" i="114"/>
  <c r="L51" i="114"/>
  <c r="J35" i="114"/>
  <c r="G35" i="114"/>
  <c r="K35" i="114"/>
  <c r="L35" i="114"/>
  <c r="H35" i="114"/>
  <c r="I35" i="114"/>
  <c r="G19" i="114"/>
  <c r="J19" i="114"/>
  <c r="K19" i="114"/>
  <c r="L19" i="114"/>
  <c r="H19" i="114"/>
  <c r="I19" i="114"/>
  <c r="I69" i="114"/>
  <c r="L69" i="114"/>
  <c r="G69" i="114"/>
  <c r="J69" i="114"/>
  <c r="K69" i="114"/>
  <c r="H69" i="114"/>
  <c r="K65" i="114"/>
  <c r="H65" i="114"/>
  <c r="I65" i="114"/>
  <c r="L65" i="114"/>
  <c r="G65" i="114"/>
  <c r="J65" i="114"/>
  <c r="I57" i="114"/>
  <c r="J57" i="114"/>
  <c r="K57" i="114"/>
  <c r="H57" i="114"/>
  <c r="L57" i="114"/>
  <c r="G57" i="114"/>
  <c r="I49" i="114"/>
  <c r="K49" i="114"/>
  <c r="J49" i="114"/>
  <c r="H49" i="114"/>
  <c r="L49" i="114"/>
  <c r="G49" i="114"/>
  <c r="K41" i="114"/>
  <c r="I41" i="114"/>
  <c r="H41" i="114"/>
  <c r="J41" i="114"/>
  <c r="L41" i="114"/>
  <c r="G41" i="114"/>
  <c r="I16" i="114"/>
  <c r="H16" i="114"/>
  <c r="L16" i="114"/>
  <c r="G16" i="114"/>
  <c r="J16" i="114"/>
  <c r="K16" i="114"/>
  <c r="K43" i="113"/>
  <c r="O44" i="113" l="1"/>
  <c r="O48" i="113"/>
  <c r="O61" i="113"/>
  <c r="O85" i="113"/>
  <c r="H17" i="113"/>
  <c r="H20" i="113"/>
  <c r="M41" i="113"/>
  <c r="H19" i="113"/>
  <c r="O58" i="113"/>
  <c r="O49" i="113"/>
  <c r="O100" i="113"/>
  <c r="O62" i="113"/>
  <c r="O56" i="113"/>
  <c r="O92" i="113"/>
  <c r="O55" i="113"/>
  <c r="O93" i="113"/>
  <c r="O47" i="113"/>
  <c r="O83" i="113"/>
  <c r="O99" i="113"/>
  <c r="O90" i="113"/>
  <c r="O96" i="113"/>
  <c r="O81" i="113"/>
  <c r="O88" i="113"/>
  <c r="O91" i="113"/>
  <c r="O64" i="113"/>
  <c r="O75" i="113"/>
  <c r="O98" i="113"/>
  <c r="O86" i="113"/>
  <c r="O95" i="113"/>
  <c r="O82" i="113"/>
  <c r="O68" i="113"/>
  <c r="O59" i="113"/>
  <c r="O97" i="113"/>
  <c r="O43" i="113"/>
  <c r="O65" i="113"/>
  <c r="O45" i="113"/>
  <c r="O71" i="113"/>
  <c r="O72" i="113"/>
  <c r="O87" i="113"/>
  <c r="O50" i="113"/>
  <c r="O54" i="113"/>
  <c r="O67" i="113"/>
  <c r="O74" i="113"/>
  <c r="O94" i="113"/>
  <c r="O101" i="113"/>
  <c r="O84" i="113"/>
  <c r="O89" i="113"/>
  <c r="O66" i="113"/>
  <c r="O42" i="113"/>
  <c r="O60" i="113"/>
  <c r="O57" i="113"/>
  <c r="O53" i="113"/>
  <c r="O80" i="113"/>
  <c r="O69" i="113"/>
  <c r="O73" i="113"/>
  <c r="O76" i="113"/>
  <c r="O70" i="113"/>
  <c r="O41" i="113"/>
  <c r="O52" i="113"/>
  <c r="O77" i="113"/>
  <c r="O46" i="113"/>
  <c r="O79" i="113"/>
  <c r="O51" i="113"/>
  <c r="O78" i="113"/>
  <c r="O63" i="113"/>
  <c r="K41" i="113"/>
  <c r="B9" i="118"/>
  <c r="B10" i="118"/>
  <c r="B11" i="118"/>
  <c r="B12" i="118"/>
  <c r="B13" i="118"/>
  <c r="B14" i="118"/>
  <c r="B15" i="118"/>
  <c r="B16" i="118"/>
  <c r="B17" i="118"/>
  <c r="B18" i="118"/>
  <c r="B19" i="118"/>
  <c r="B20" i="118"/>
  <c r="B21" i="118"/>
  <c r="B22" i="118"/>
  <c r="B23" i="118"/>
  <c r="B24" i="118"/>
  <c r="B25" i="118"/>
  <c r="B26" i="118"/>
  <c r="B27" i="118"/>
  <c r="B28" i="118"/>
  <c r="B29" i="118"/>
  <c r="B30" i="118"/>
  <c r="B31" i="118"/>
  <c r="B32" i="118"/>
  <c r="B33" i="118"/>
  <c r="B34" i="118"/>
  <c r="B35" i="118"/>
  <c r="B36" i="118"/>
  <c r="B37" i="118"/>
  <c r="B38" i="118"/>
  <c r="B39" i="118"/>
  <c r="B40" i="118"/>
  <c r="B41" i="118"/>
  <c r="B42" i="118"/>
  <c r="B43" i="118"/>
  <c r="B44" i="118"/>
  <c r="B45" i="118"/>
  <c r="B46" i="118"/>
  <c r="B47" i="118"/>
  <c r="B48" i="118"/>
  <c r="B49" i="118"/>
  <c r="B50" i="118"/>
  <c r="B51" i="118"/>
  <c r="B52" i="118"/>
  <c r="B53" i="118"/>
  <c r="B54" i="118"/>
  <c r="B55" i="118"/>
  <c r="B56" i="118"/>
  <c r="B57" i="118"/>
  <c r="B58" i="118"/>
  <c r="B59" i="118"/>
  <c r="B60" i="118"/>
  <c r="B61" i="118"/>
  <c r="B62" i="118"/>
  <c r="B63" i="118"/>
  <c r="B64" i="118"/>
  <c r="B65" i="118"/>
  <c r="B66" i="118"/>
  <c r="B67" i="118"/>
  <c r="B68" i="118"/>
  <c r="B69" i="118"/>
  <c r="B70" i="118"/>
  <c r="B71" i="118"/>
  <c r="B72" i="118"/>
  <c r="B73" i="118"/>
  <c r="B74" i="118"/>
  <c r="B75" i="118"/>
  <c r="B76" i="118"/>
  <c r="B77" i="118"/>
  <c r="B78" i="118"/>
  <c r="B79" i="118"/>
  <c r="B80" i="118"/>
  <c r="B81" i="118"/>
  <c r="B82" i="118"/>
  <c r="B83" i="118"/>
  <c r="B84" i="118"/>
  <c r="B85" i="118"/>
  <c r="B86" i="118"/>
  <c r="B87" i="118"/>
  <c r="B88" i="118"/>
  <c r="B89" i="118"/>
  <c r="B90" i="118"/>
  <c r="E103" i="113" l="1"/>
  <c r="E105" i="113" a="1"/>
  <c r="E105" i="113" s="1"/>
  <c r="H18" i="113"/>
  <c r="E37" i="113"/>
  <c r="H16" i="113" s="1"/>
  <c r="H29" i="113" s="1"/>
  <c r="N44" i="113" s="1"/>
  <c r="M45" i="113"/>
  <c r="M49" i="113"/>
  <c r="M53" i="113"/>
  <c r="M57" i="113"/>
  <c r="M61" i="113"/>
  <c r="M65" i="113"/>
  <c r="M69" i="113"/>
  <c r="M73" i="113"/>
  <c r="M77" i="113"/>
  <c r="M81" i="113"/>
  <c r="M85" i="113"/>
  <c r="M89" i="113"/>
  <c r="M93" i="113"/>
  <c r="M97" i="113"/>
  <c r="M101" i="113"/>
  <c r="M42" i="113"/>
  <c r="M46" i="113"/>
  <c r="M50" i="113"/>
  <c r="M54" i="113"/>
  <c r="M58" i="113"/>
  <c r="M62" i="113"/>
  <c r="M48" i="113"/>
  <c r="M56" i="113"/>
  <c r="M64" i="113"/>
  <c r="M70" i="113"/>
  <c r="M75" i="113"/>
  <c r="M80" i="113"/>
  <c r="M86" i="113"/>
  <c r="M91" i="113"/>
  <c r="M96" i="113"/>
  <c r="M44" i="113"/>
  <c r="M52" i="113"/>
  <c r="M67" i="113"/>
  <c r="M72" i="113"/>
  <c r="M83" i="113"/>
  <c r="M88" i="113"/>
  <c r="M99" i="113"/>
  <c r="M43" i="113"/>
  <c r="M51" i="113"/>
  <c r="M59" i="113"/>
  <c r="M66" i="113"/>
  <c r="M71" i="113"/>
  <c r="M76" i="113"/>
  <c r="M82" i="113"/>
  <c r="M87" i="113"/>
  <c r="M92" i="113"/>
  <c r="M98" i="113"/>
  <c r="M60" i="113"/>
  <c r="M78" i="113"/>
  <c r="M94" i="113"/>
  <c r="M47" i="113"/>
  <c r="M55" i="113"/>
  <c r="M63" i="113"/>
  <c r="M68" i="113"/>
  <c r="M74" i="113"/>
  <c r="M79" i="113"/>
  <c r="M84" i="113"/>
  <c r="M90" i="113"/>
  <c r="M95" i="113"/>
  <c r="M100" i="113"/>
  <c r="K42" i="113"/>
  <c r="K101" i="113"/>
  <c r="K99" i="113"/>
  <c r="K97" i="113"/>
  <c r="K95" i="113"/>
  <c r="K93" i="113"/>
  <c r="K91" i="113"/>
  <c r="K89" i="113"/>
  <c r="K87" i="113"/>
  <c r="K85" i="113"/>
  <c r="K83" i="113"/>
  <c r="K81" i="113"/>
  <c r="K79" i="113"/>
  <c r="K77" i="113"/>
  <c r="K75" i="113"/>
  <c r="K73" i="113"/>
  <c r="K71" i="113"/>
  <c r="K69" i="113"/>
  <c r="K67" i="113"/>
  <c r="K65" i="113"/>
  <c r="K63" i="113"/>
  <c r="K61" i="113"/>
  <c r="K59" i="113"/>
  <c r="K57" i="113"/>
  <c r="K100" i="113"/>
  <c r="K98" i="113"/>
  <c r="K96" i="113"/>
  <c r="K94" i="113"/>
  <c r="K92" i="113"/>
  <c r="K90" i="113"/>
  <c r="K88" i="113"/>
  <c r="K86" i="113"/>
  <c r="K84" i="113"/>
  <c r="K82" i="113"/>
  <c r="K80" i="113"/>
  <c r="K78" i="113"/>
  <c r="K76" i="113"/>
  <c r="K74" i="113"/>
  <c r="K72" i="113"/>
  <c r="K70" i="113"/>
  <c r="K68" i="113"/>
  <c r="K66" i="113"/>
  <c r="K64" i="113"/>
  <c r="K62" i="113"/>
  <c r="K60" i="113"/>
  <c r="K58" i="113"/>
  <c r="K56" i="113"/>
  <c r="K54" i="113"/>
  <c r="K52" i="113"/>
  <c r="K50" i="113"/>
  <c r="K48" i="113"/>
  <c r="K46" i="113"/>
  <c r="K44" i="113"/>
  <c r="K55" i="113"/>
  <c r="K53" i="113"/>
  <c r="K51" i="113"/>
  <c r="K49" i="113"/>
  <c r="K47" i="113"/>
  <c r="K45" i="113"/>
  <c r="A2" i="118"/>
  <c r="A3" i="118"/>
  <c r="A4" i="118"/>
  <c r="A5" i="118"/>
  <c r="A1" i="118"/>
  <c r="C42" i="113"/>
  <c r="D42" i="113" s="1"/>
  <c r="C43" i="113"/>
  <c r="D43" i="113" s="1"/>
  <c r="C44" i="113"/>
  <c r="D44" i="113" s="1"/>
  <c r="C45" i="113"/>
  <c r="D45" i="113" s="1"/>
  <c r="C46" i="113"/>
  <c r="D46" i="113" s="1"/>
  <c r="C47" i="113"/>
  <c r="D47" i="113" s="1"/>
  <c r="C48" i="113"/>
  <c r="D48" i="113" s="1"/>
  <c r="C49" i="113"/>
  <c r="D49" i="113" s="1"/>
  <c r="C50" i="113"/>
  <c r="D50" i="113" s="1"/>
  <c r="C51" i="113"/>
  <c r="D51" i="113" s="1"/>
  <c r="C52" i="113"/>
  <c r="D52" i="113" s="1"/>
  <c r="C53" i="113"/>
  <c r="D53" i="113" s="1"/>
  <c r="C54" i="113"/>
  <c r="D54" i="113" s="1"/>
  <c r="C55" i="113"/>
  <c r="D55" i="113" s="1"/>
  <c r="C56" i="113"/>
  <c r="D56" i="113" s="1"/>
  <c r="C57" i="113"/>
  <c r="D57" i="113" s="1"/>
  <c r="C58" i="113"/>
  <c r="D58" i="113" s="1"/>
  <c r="C59" i="113"/>
  <c r="D59" i="113" s="1"/>
  <c r="C60" i="113"/>
  <c r="D60" i="113" s="1"/>
  <c r="C61" i="113"/>
  <c r="D61" i="113" s="1"/>
  <c r="C62" i="113"/>
  <c r="D62" i="113" s="1"/>
  <c r="C63" i="113"/>
  <c r="D63" i="113" s="1"/>
  <c r="C64" i="113"/>
  <c r="D64" i="113" s="1"/>
  <c r="C65" i="113"/>
  <c r="D65" i="113" s="1"/>
  <c r="C66" i="113"/>
  <c r="D66" i="113" s="1"/>
  <c r="D67" i="113"/>
  <c r="C68" i="113"/>
  <c r="D68" i="113" s="1"/>
  <c r="C69" i="113"/>
  <c r="D69" i="113" s="1"/>
  <c r="C70" i="113"/>
  <c r="D70" i="113" s="1"/>
  <c r="C71" i="113"/>
  <c r="D71" i="113" s="1"/>
  <c r="C72" i="113"/>
  <c r="D72" i="113" s="1"/>
  <c r="C73" i="113"/>
  <c r="D73" i="113" s="1"/>
  <c r="C74" i="113"/>
  <c r="D74" i="113" s="1"/>
  <c r="C75" i="113"/>
  <c r="D75" i="113" s="1"/>
  <c r="C76" i="113"/>
  <c r="D76" i="113" s="1"/>
  <c r="C77" i="113"/>
  <c r="D77" i="113" s="1"/>
  <c r="C78" i="113"/>
  <c r="D78" i="113" s="1"/>
  <c r="C79" i="113"/>
  <c r="D79" i="113" s="1"/>
  <c r="C80" i="113"/>
  <c r="D80" i="113" s="1"/>
  <c r="C81" i="113"/>
  <c r="D81" i="113" s="1"/>
  <c r="C82" i="113"/>
  <c r="D82" i="113" s="1"/>
  <c r="C83" i="113"/>
  <c r="D83" i="113" s="1"/>
  <c r="C84" i="113"/>
  <c r="D84" i="113" s="1"/>
  <c r="C85" i="113"/>
  <c r="D85" i="113" s="1"/>
  <c r="C86" i="113"/>
  <c r="D86" i="113" s="1"/>
  <c r="C87" i="113"/>
  <c r="D87" i="113" s="1"/>
  <c r="C88" i="113"/>
  <c r="D88" i="113" s="1"/>
  <c r="C89" i="113"/>
  <c r="D89" i="113" s="1"/>
  <c r="C90" i="113"/>
  <c r="D90" i="113" s="1"/>
  <c r="C91" i="113"/>
  <c r="D91" i="113" s="1"/>
  <c r="C92" i="113"/>
  <c r="D92" i="113" s="1"/>
  <c r="C93" i="113"/>
  <c r="D93" i="113" s="1"/>
  <c r="C94" i="113"/>
  <c r="D94" i="113" s="1"/>
  <c r="C95" i="113"/>
  <c r="D95" i="113" s="1"/>
  <c r="C96" i="113"/>
  <c r="D96" i="113" s="1"/>
  <c r="C97" i="113"/>
  <c r="D97" i="113" s="1"/>
  <c r="C98" i="113"/>
  <c r="D98" i="113" s="1"/>
  <c r="C99" i="113"/>
  <c r="D99" i="113" s="1"/>
  <c r="C100" i="113"/>
  <c r="D100" i="113" s="1"/>
  <c r="C101" i="113"/>
  <c r="D101" i="113" s="1"/>
  <c r="C41" i="113"/>
  <c r="D41" i="113" s="1"/>
  <c r="N85" i="113" l="1"/>
  <c r="N48" i="113"/>
  <c r="N41" i="113"/>
  <c r="N61" i="113"/>
  <c r="E25" i="114"/>
  <c r="E26" i="114"/>
  <c r="E27" i="114"/>
  <c r="E28" i="114"/>
  <c r="E29" i="114"/>
  <c r="E30" i="114"/>
  <c r="E31" i="114"/>
  <c r="E32" i="114"/>
  <c r="E33" i="114"/>
  <c r="E34" i="114"/>
  <c r="E35" i="114"/>
  <c r="E24" i="114"/>
  <c r="E36" i="114"/>
  <c r="E48" i="114"/>
  <c r="E60" i="114"/>
  <c r="E72" i="114"/>
  <c r="E62" i="114"/>
  <c r="E63" i="114"/>
  <c r="E64" i="114"/>
  <c r="E53" i="114"/>
  <c r="E66" i="114"/>
  <c r="E67" i="114"/>
  <c r="E68" i="114"/>
  <c r="E45" i="114"/>
  <c r="E57" i="114"/>
  <c r="E58" i="114"/>
  <c r="E47" i="114"/>
  <c r="E71" i="114"/>
  <c r="E37" i="114"/>
  <c r="E49" i="114"/>
  <c r="E61" i="114"/>
  <c r="E73" i="114"/>
  <c r="E38" i="114"/>
  <c r="E50" i="114"/>
  <c r="E74" i="114"/>
  <c r="E39" i="114"/>
  <c r="E51" i="114"/>
  <c r="E75" i="114"/>
  <c r="E40" i="114"/>
  <c r="E52" i="114"/>
  <c r="E76" i="114"/>
  <c r="E41" i="114"/>
  <c r="E65" i="114"/>
  <c r="E42" i="114"/>
  <c r="E54" i="114"/>
  <c r="E43" i="114"/>
  <c r="E55" i="114"/>
  <c r="E44" i="114"/>
  <c r="E56" i="114"/>
  <c r="E69" i="114"/>
  <c r="E46" i="114"/>
  <c r="E70" i="114"/>
  <c r="E59" i="114"/>
  <c r="E21" i="114"/>
  <c r="E22" i="114"/>
  <c r="E18" i="114"/>
  <c r="E20" i="114"/>
  <c r="E16" i="114"/>
  <c r="E17" i="114"/>
  <c r="E19" i="114"/>
  <c r="E23" i="114"/>
  <c r="H31" i="113"/>
  <c r="H26" i="113"/>
  <c r="E106" i="113"/>
  <c r="E38" i="113"/>
  <c r="E107" i="113"/>
  <c r="I41" i="113" s="1"/>
  <c r="H33" i="113" l="1"/>
  <c r="N50" i="113"/>
  <c r="N58" i="113"/>
  <c r="N66" i="113"/>
  <c r="N74" i="113"/>
  <c r="N82" i="113"/>
  <c r="N90" i="113"/>
  <c r="N98" i="113"/>
  <c r="N52" i="113"/>
  <c r="N68" i="113"/>
  <c r="N76" i="113"/>
  <c r="N92" i="113"/>
  <c r="N77" i="113"/>
  <c r="N93" i="113"/>
  <c r="N101" i="113"/>
  <c r="N54" i="113"/>
  <c r="N62" i="113"/>
  <c r="N70" i="113"/>
  <c r="N78" i="113"/>
  <c r="N94" i="113"/>
  <c r="N79" i="113"/>
  <c r="N64" i="113"/>
  <c r="N88" i="113"/>
  <c r="N57" i="113"/>
  <c r="N73" i="113"/>
  <c r="N89" i="113"/>
  <c r="N51" i="113"/>
  <c r="N59" i="113"/>
  <c r="N67" i="113"/>
  <c r="N75" i="113"/>
  <c r="N83" i="113"/>
  <c r="N91" i="113"/>
  <c r="N99" i="113"/>
  <c r="N60" i="113"/>
  <c r="N84" i="113"/>
  <c r="N100" i="113"/>
  <c r="N53" i="113"/>
  <c r="N69" i="113"/>
  <c r="N86" i="113"/>
  <c r="N55" i="113"/>
  <c r="N63" i="113"/>
  <c r="N71" i="113"/>
  <c r="N87" i="113"/>
  <c r="N95" i="113"/>
  <c r="N56" i="113"/>
  <c r="N72" i="113"/>
  <c r="N80" i="113"/>
  <c r="N96" i="113"/>
  <c r="N49" i="113"/>
  <c r="N65" i="113"/>
  <c r="N81" i="113"/>
  <c r="N97" i="113"/>
  <c r="N46" i="113"/>
  <c r="N45" i="113"/>
  <c r="N42" i="113"/>
  <c r="N47" i="113"/>
  <c r="N43" i="113"/>
  <c r="E14" i="114"/>
  <c r="P47" i="113" l="1"/>
  <c r="Q47" i="113" s="1"/>
  <c r="P91" i="113"/>
  <c r="Q91" i="113" s="1"/>
  <c r="P98" i="113"/>
  <c r="Q98" i="113" s="1"/>
  <c r="P86" i="113"/>
  <c r="Q86" i="113" s="1"/>
  <c r="P88" i="113"/>
  <c r="Q88" i="113" s="1"/>
  <c r="P90" i="113"/>
  <c r="Q90" i="113" s="1"/>
  <c r="P55" i="113"/>
  <c r="Q55" i="113" s="1"/>
  <c r="P54" i="113"/>
  <c r="Q54" i="113" s="1"/>
  <c r="P42" i="113"/>
  <c r="Q42" i="113" s="1"/>
  <c r="P41" i="113"/>
  <c r="Q41" i="113" s="1"/>
  <c r="P48" i="113"/>
  <c r="Q48" i="113" s="1"/>
  <c r="P61" i="113"/>
  <c r="Q61" i="113" s="1"/>
  <c r="P85" i="113"/>
  <c r="Q85" i="113" s="1"/>
  <c r="P44" i="113"/>
  <c r="Q44" i="113" s="1"/>
  <c r="P80" i="113"/>
  <c r="Q80" i="113" s="1"/>
  <c r="P83" i="113"/>
  <c r="Q83" i="113" s="1"/>
  <c r="P45" i="113"/>
  <c r="Q45" i="113" s="1"/>
  <c r="P72" i="113"/>
  <c r="Q72" i="113" s="1"/>
  <c r="P69" i="113"/>
  <c r="Q69" i="113" s="1"/>
  <c r="P75" i="113"/>
  <c r="Q75" i="113" s="1"/>
  <c r="P64" i="113"/>
  <c r="Q64" i="113" s="1"/>
  <c r="P93" i="113"/>
  <c r="Q93" i="113" s="1"/>
  <c r="P82" i="113"/>
  <c r="Q82" i="113" s="1"/>
  <c r="P46" i="113"/>
  <c r="Q46" i="113" s="1"/>
  <c r="P56" i="113"/>
  <c r="Q56" i="113" s="1"/>
  <c r="P53" i="113"/>
  <c r="Q53" i="113" s="1"/>
  <c r="P67" i="113"/>
  <c r="Q67" i="113" s="1"/>
  <c r="P79" i="113"/>
  <c r="Q79" i="113" s="1"/>
  <c r="P77" i="113"/>
  <c r="Q77" i="113" s="1"/>
  <c r="P74" i="113"/>
  <c r="Q74" i="113" s="1"/>
  <c r="P97" i="113"/>
  <c r="Q97" i="113" s="1"/>
  <c r="P95" i="113"/>
  <c r="Q95" i="113" s="1"/>
  <c r="P100" i="113"/>
  <c r="Q100" i="113" s="1"/>
  <c r="P59" i="113"/>
  <c r="Q59" i="113" s="1"/>
  <c r="P94" i="113"/>
  <c r="Q94" i="113" s="1"/>
  <c r="P92" i="113"/>
  <c r="Q92" i="113" s="1"/>
  <c r="P66" i="113"/>
  <c r="Q66" i="113" s="1"/>
  <c r="P87" i="113"/>
  <c r="Q87" i="113" s="1"/>
  <c r="P84" i="113"/>
  <c r="Q84" i="113" s="1"/>
  <c r="P78" i="113"/>
  <c r="Q78" i="113" s="1"/>
  <c r="P76" i="113"/>
  <c r="Q76" i="113" s="1"/>
  <c r="P58" i="113"/>
  <c r="Q58" i="113" s="1"/>
  <c r="P96" i="113"/>
  <c r="Q96" i="113" s="1"/>
  <c r="P57" i="113"/>
  <c r="Q57" i="113" s="1"/>
  <c r="P101" i="113"/>
  <c r="Q101" i="113" s="1"/>
  <c r="P81" i="113"/>
  <c r="Q81" i="113" s="1"/>
  <c r="P51" i="113"/>
  <c r="Q51" i="113" s="1"/>
  <c r="P68" i="113"/>
  <c r="Q68" i="113" s="1"/>
  <c r="P50" i="113"/>
  <c r="Q50" i="113" s="1"/>
  <c r="P65" i="113"/>
  <c r="Q65" i="113" s="1"/>
  <c r="P71" i="113"/>
  <c r="Q71" i="113" s="1"/>
  <c r="P60" i="113"/>
  <c r="Q60" i="113" s="1"/>
  <c r="P89" i="113"/>
  <c r="Q89" i="113" s="1"/>
  <c r="P70" i="113"/>
  <c r="Q70" i="113" s="1"/>
  <c r="P43" i="113"/>
  <c r="P49" i="113"/>
  <c r="Q49" i="113" s="1"/>
  <c r="P63" i="113"/>
  <c r="Q63" i="113" s="1"/>
  <c r="P99" i="113"/>
  <c r="Q99" i="113" s="1"/>
  <c r="P73" i="113"/>
  <c r="Q73" i="113" s="1"/>
  <c r="P62" i="113"/>
  <c r="Q62" i="113" s="1"/>
  <c r="P52" i="113"/>
  <c r="Q52" i="113" s="1"/>
  <c r="E19" i="115"/>
  <c r="D19" i="115"/>
  <c r="C19" i="115"/>
  <c r="D18" i="115"/>
  <c r="C18" i="115"/>
  <c r="L17" i="115"/>
  <c r="K17" i="115"/>
  <c r="J17" i="115"/>
  <c r="E17" i="115"/>
  <c r="E29" i="115" s="1"/>
  <c r="D17" i="115"/>
  <c r="C17" i="115"/>
  <c r="E15" i="115"/>
  <c r="E13" i="115"/>
  <c r="AI11" i="115"/>
  <c r="AH11" i="115"/>
  <c r="AG11" i="115"/>
  <c r="AF11" i="115"/>
  <c r="B7" i="115"/>
  <c r="B6" i="115"/>
  <c r="B5" i="115"/>
  <c r="B4" i="115"/>
  <c r="B3" i="115"/>
  <c r="B2" i="115"/>
  <c r="B1" i="115"/>
  <c r="C16" i="114"/>
  <c r="B7" i="114"/>
  <c r="R7" i="114" s="1"/>
  <c r="B6" i="114"/>
  <c r="R6" i="114" s="1"/>
  <c r="B5" i="114"/>
  <c r="R5" i="114" s="1"/>
  <c r="B4" i="114"/>
  <c r="R4" i="114" s="1"/>
  <c r="B3" i="114"/>
  <c r="R3" i="114" s="1"/>
  <c r="B2" i="114"/>
  <c r="R2" i="114" s="1"/>
  <c r="B1" i="114"/>
  <c r="R1" i="114" s="1"/>
  <c r="AC35" i="113"/>
  <c r="AB35" i="113"/>
  <c r="AA35" i="113"/>
  <c r="Z35" i="113"/>
  <c r="B7" i="113"/>
  <c r="B6" i="113"/>
  <c r="B5" i="113"/>
  <c r="B4" i="113"/>
  <c r="B3" i="113"/>
  <c r="B2" i="113"/>
  <c r="B1" i="113"/>
  <c r="S26" i="10"/>
  <c r="S25" i="10"/>
  <c r="D23" i="10"/>
  <c r="C23" i="10"/>
  <c r="D22" i="10"/>
  <c r="C22" i="10"/>
  <c r="D21" i="10"/>
  <c r="C21" i="10"/>
  <c r="D20" i="10"/>
  <c r="C20" i="10"/>
  <c r="D19" i="10"/>
  <c r="C19" i="10"/>
  <c r="D18" i="10"/>
  <c r="C18" i="10"/>
  <c r="D17" i="10"/>
  <c r="I17" i="10" s="1"/>
  <c r="C17" i="10"/>
  <c r="D16" i="10"/>
  <c r="I16" i="10" s="1"/>
  <c r="C16" i="10"/>
  <c r="H14" i="10"/>
  <c r="L14" i="10" s="1"/>
  <c r="B7" i="10"/>
  <c r="Q7" i="10" s="1"/>
  <c r="B6" i="10"/>
  <c r="Q6" i="10" s="1"/>
  <c r="B5" i="10"/>
  <c r="Q5" i="10" s="1"/>
  <c r="B4" i="10"/>
  <c r="Q4" i="10" s="1"/>
  <c r="B3" i="10"/>
  <c r="Q3" i="10" s="1"/>
  <c r="B2" i="10"/>
  <c r="Q2" i="10" s="1"/>
  <c r="B1" i="10"/>
  <c r="Q1" i="10" s="1"/>
  <c r="E24" i="105"/>
  <c r="H24" i="105" s="1"/>
  <c r="D24" i="105"/>
  <c r="C24" i="105"/>
  <c r="E23" i="105"/>
  <c r="E22" i="10" s="1"/>
  <c r="L22" i="10" s="1"/>
  <c r="P22" i="10" s="1"/>
  <c r="D23" i="105"/>
  <c r="C23" i="105"/>
  <c r="E22" i="105"/>
  <c r="H22" i="105" s="1"/>
  <c r="D22" i="105"/>
  <c r="C22" i="105"/>
  <c r="E21" i="105"/>
  <c r="D21" i="105"/>
  <c r="C21" i="105"/>
  <c r="E20" i="105"/>
  <c r="E19" i="10" s="1"/>
  <c r="D20" i="105"/>
  <c r="C20" i="105"/>
  <c r="E19" i="105"/>
  <c r="D19" i="105"/>
  <c r="C19" i="105"/>
  <c r="E18" i="105"/>
  <c r="E17" i="10" s="1"/>
  <c r="D18" i="105"/>
  <c r="C18" i="105"/>
  <c r="K17" i="105"/>
  <c r="J17" i="105"/>
  <c r="I17" i="105"/>
  <c r="E17" i="105"/>
  <c r="E16" i="10" s="1"/>
  <c r="D17" i="105"/>
  <c r="C17" i="105"/>
  <c r="E15" i="105"/>
  <c r="AH11" i="105"/>
  <c r="AG11" i="105"/>
  <c r="AF11" i="105"/>
  <c r="AE11" i="105"/>
  <c r="B7" i="105"/>
  <c r="B6" i="105"/>
  <c r="B5" i="105"/>
  <c r="B4" i="105"/>
  <c r="B3" i="105"/>
  <c r="B2" i="105"/>
  <c r="B1" i="105"/>
  <c r="D23" i="112"/>
  <c r="C23" i="112"/>
  <c r="D22" i="112"/>
  <c r="C22" i="112"/>
  <c r="D21" i="112"/>
  <c r="C21" i="112"/>
  <c r="D20" i="112"/>
  <c r="C20" i="112"/>
  <c r="D19" i="112"/>
  <c r="C19" i="112"/>
  <c r="D18" i="112"/>
  <c r="I18" i="112" s="1"/>
  <c r="C18" i="112"/>
  <c r="D17" i="112"/>
  <c r="C17" i="112"/>
  <c r="D16" i="112"/>
  <c r="I16" i="112" s="1"/>
  <c r="C16" i="112"/>
  <c r="H14" i="112"/>
  <c r="L14" i="112" s="1"/>
  <c r="B7" i="112"/>
  <c r="P7" i="112" s="1"/>
  <c r="B6" i="112"/>
  <c r="P6" i="112" s="1"/>
  <c r="B5" i="112"/>
  <c r="P5" i="112" s="1"/>
  <c r="B4" i="112"/>
  <c r="P4" i="112" s="1"/>
  <c r="B3" i="112"/>
  <c r="P3" i="112" s="1"/>
  <c r="B2" i="112"/>
  <c r="P2" i="112" s="1"/>
  <c r="B1" i="112"/>
  <c r="P1" i="112" s="1"/>
  <c r="AD29" i="111"/>
  <c r="AF28" i="111"/>
  <c r="E24" i="111"/>
  <c r="E23" i="112" s="1"/>
  <c r="D24" i="111"/>
  <c r="C24" i="111"/>
  <c r="E23" i="111"/>
  <c r="G23" i="111" s="1"/>
  <c r="D23" i="111"/>
  <c r="C23" i="111"/>
  <c r="E22" i="111"/>
  <c r="G22" i="111" s="1"/>
  <c r="D22" i="111"/>
  <c r="C22" i="111"/>
  <c r="E21" i="111"/>
  <c r="E20" i="112" s="1"/>
  <c r="D21" i="111"/>
  <c r="C21" i="111"/>
  <c r="E20" i="111"/>
  <c r="E19" i="112" s="1"/>
  <c r="D20" i="111"/>
  <c r="C20" i="111"/>
  <c r="E19" i="111"/>
  <c r="E18" i="112" s="1"/>
  <c r="G18" i="112" s="1"/>
  <c r="D19" i="111"/>
  <c r="C19" i="111"/>
  <c r="E18" i="111"/>
  <c r="E17" i="112" s="1"/>
  <c r="G17" i="112" s="1"/>
  <c r="D18" i="111"/>
  <c r="C18" i="111"/>
  <c r="E17" i="111"/>
  <c r="D17" i="111"/>
  <c r="C17" i="111"/>
  <c r="E15" i="111"/>
  <c r="AG11" i="111"/>
  <c r="AF11" i="111"/>
  <c r="AE11" i="111"/>
  <c r="AD11" i="111"/>
  <c r="B7" i="111"/>
  <c r="B6" i="111"/>
  <c r="B5" i="111"/>
  <c r="B4" i="111"/>
  <c r="B3" i="111"/>
  <c r="B2" i="111"/>
  <c r="B1" i="111"/>
  <c r="E98" i="13"/>
  <c r="H28" i="113" l="1"/>
  <c r="Q43" i="113"/>
  <c r="AD30" i="111"/>
  <c r="AF29" i="111"/>
  <c r="I17" i="112"/>
  <c r="K17" i="112"/>
  <c r="K19" i="112"/>
  <c r="I19" i="112"/>
  <c r="H19" i="112"/>
  <c r="K20" i="112"/>
  <c r="I20" i="112"/>
  <c r="H20" i="112"/>
  <c r="K21" i="112"/>
  <c r="I21" i="112"/>
  <c r="H21" i="112"/>
  <c r="K22" i="112"/>
  <c r="I22" i="112"/>
  <c r="H22" i="112"/>
  <c r="K23" i="112"/>
  <c r="I23" i="112"/>
  <c r="H23" i="112"/>
  <c r="I18" i="10"/>
  <c r="K18" i="10"/>
  <c r="K19" i="10"/>
  <c r="I19" i="10"/>
  <c r="H19" i="10"/>
  <c r="K20" i="10"/>
  <c r="I20" i="10"/>
  <c r="H20" i="10"/>
  <c r="K21" i="10"/>
  <c r="I21" i="10"/>
  <c r="H21" i="10"/>
  <c r="K22" i="10"/>
  <c r="I22" i="10"/>
  <c r="H22" i="10"/>
  <c r="K23" i="10"/>
  <c r="I23" i="10"/>
  <c r="H23" i="10"/>
  <c r="E99" i="13"/>
  <c r="K16" i="112"/>
  <c r="K17" i="10"/>
  <c r="K16" i="10"/>
  <c r="K18" i="112"/>
  <c r="H19" i="115"/>
  <c r="E21" i="10"/>
  <c r="L21" i="10" s="1"/>
  <c r="P21" i="10" s="1"/>
  <c r="E35" i="111"/>
  <c r="H18" i="115"/>
  <c r="E16" i="115"/>
  <c r="H17" i="115"/>
  <c r="L23" i="112"/>
  <c r="O23" i="112" s="1"/>
  <c r="G23" i="112"/>
  <c r="G19" i="112"/>
  <c r="E31" i="111"/>
  <c r="E16" i="112"/>
  <c r="G20" i="112"/>
  <c r="E21" i="112"/>
  <c r="E13" i="105"/>
  <c r="E31" i="105" s="1"/>
  <c r="H21" i="105" s="1"/>
  <c r="E33" i="105"/>
  <c r="E18" i="10"/>
  <c r="E20" i="10"/>
  <c r="E32" i="115"/>
  <c r="E13" i="111"/>
  <c r="E36" i="111"/>
  <c r="E22" i="112"/>
  <c r="F33" i="105"/>
  <c r="E23" i="10"/>
  <c r="L23" i="10" s="1"/>
  <c r="P23" i="10" s="1"/>
  <c r="E27" i="115"/>
  <c r="F17" i="111"/>
  <c r="G24" i="111"/>
  <c r="H23" i="105"/>
  <c r="E34" i="105"/>
  <c r="G58" i="113" l="1"/>
  <c r="G65" i="113"/>
  <c r="G48" i="113"/>
  <c r="G44" i="113"/>
  <c r="G61" i="113"/>
  <c r="G85" i="113"/>
  <c r="G41" i="113"/>
  <c r="G42" i="113"/>
  <c r="G63" i="113"/>
  <c r="G71" i="113"/>
  <c r="G79" i="113"/>
  <c r="G87" i="113"/>
  <c r="G95" i="113"/>
  <c r="G56" i="113"/>
  <c r="G47" i="113"/>
  <c r="G77" i="113"/>
  <c r="G53" i="113"/>
  <c r="G86" i="113"/>
  <c r="G64" i="113"/>
  <c r="G72" i="113"/>
  <c r="G80" i="113"/>
  <c r="G88" i="113"/>
  <c r="G96" i="113"/>
  <c r="G57" i="113"/>
  <c r="G43" i="113"/>
  <c r="G67" i="113"/>
  <c r="G99" i="113"/>
  <c r="G78" i="113"/>
  <c r="G73" i="113"/>
  <c r="G81" i="113"/>
  <c r="G89" i="113"/>
  <c r="G97" i="113"/>
  <c r="G49" i="113"/>
  <c r="G75" i="113"/>
  <c r="G60" i="113"/>
  <c r="G94" i="113"/>
  <c r="G66" i="113"/>
  <c r="G74" i="113"/>
  <c r="G82" i="113"/>
  <c r="G90" i="113"/>
  <c r="G98" i="113"/>
  <c r="G59" i="113"/>
  <c r="G50" i="113"/>
  <c r="G83" i="113"/>
  <c r="G91" i="113"/>
  <c r="G51" i="113"/>
  <c r="G93" i="113"/>
  <c r="G101" i="113"/>
  <c r="G70" i="113"/>
  <c r="G46" i="113"/>
  <c r="G68" i="113"/>
  <c r="G76" i="113"/>
  <c r="G84" i="113"/>
  <c r="G92" i="113"/>
  <c r="G100" i="113"/>
  <c r="G52" i="113"/>
  <c r="G69" i="113"/>
  <c r="G54" i="113"/>
  <c r="G62" i="113"/>
  <c r="G55" i="113"/>
  <c r="G45" i="113"/>
  <c r="L19" i="112"/>
  <c r="O19" i="112" s="1"/>
  <c r="L20" i="10"/>
  <c r="P20" i="10" s="1"/>
  <c r="L19" i="10"/>
  <c r="P19" i="10" s="1"/>
  <c r="L20" i="112"/>
  <c r="O20" i="112" s="1"/>
  <c r="AD31" i="111"/>
  <c r="AF30" i="111"/>
  <c r="H18" i="105"/>
  <c r="H20" i="105"/>
  <c r="E14" i="10"/>
  <c r="N18" i="115"/>
  <c r="E30" i="115"/>
  <c r="N17" i="115"/>
  <c r="N19" i="115"/>
  <c r="L22" i="112"/>
  <c r="O22" i="112" s="1"/>
  <c r="G22" i="112"/>
  <c r="L21" i="112"/>
  <c r="O21" i="112" s="1"/>
  <c r="G21" i="112"/>
  <c r="E33" i="115"/>
  <c r="G16" i="112"/>
  <c r="E14" i="112"/>
  <c r="F19" i="115"/>
  <c r="F17" i="115"/>
  <c r="F18" i="115"/>
  <c r="H17" i="105"/>
  <c r="H16" i="10" s="1"/>
  <c r="L16" i="10" s="1"/>
  <c r="F17" i="105"/>
  <c r="H19" i="105"/>
  <c r="H18" i="10" s="1"/>
  <c r="L18" i="10" s="1"/>
  <c r="P18" i="10" s="1"/>
  <c r="H17" i="10" l="1"/>
  <c r="L17" i="10" s="1"/>
  <c r="P17" i="10" s="1"/>
  <c r="AD32" i="111"/>
  <c r="AF31" i="111"/>
  <c r="G19" i="115"/>
  <c r="P30" i="10"/>
  <c r="P27" i="10"/>
  <c r="P24" i="10"/>
  <c r="P26" i="10"/>
  <c r="P25" i="10"/>
  <c r="P31" i="10"/>
  <c r="P16" i="10"/>
  <c r="P29" i="10"/>
  <c r="P28" i="10"/>
  <c r="G17" i="105"/>
  <c r="F16" i="10"/>
  <c r="G18" i="115"/>
  <c r="G17" i="115"/>
  <c r="I25" i="115"/>
  <c r="I24" i="115"/>
  <c r="I17" i="115"/>
  <c r="I19" i="115"/>
  <c r="AD33" i="111" l="1"/>
  <c r="AF32" i="111"/>
  <c r="R20" i="10"/>
  <c r="S20" i="10" s="1"/>
  <c r="R22" i="10"/>
  <c r="S22" i="10" s="1"/>
  <c r="R17" i="10"/>
  <c r="S17" i="10" s="1"/>
  <c r="R24" i="10"/>
  <c r="S24" i="10" s="1"/>
  <c r="R16" i="10"/>
  <c r="R18" i="10"/>
  <c r="S18" i="10" s="1"/>
  <c r="R23" i="10"/>
  <c r="S23" i="10" s="1"/>
  <c r="R21" i="10"/>
  <c r="S21" i="10" s="1"/>
  <c r="R19" i="10"/>
  <c r="S19" i="10" s="1"/>
  <c r="AD34" i="111" l="1"/>
  <c r="AF33" i="111"/>
  <c r="Q13" i="10"/>
  <c r="S16" i="10"/>
  <c r="AD35" i="111" l="1"/>
  <c r="AF34" i="111"/>
  <c r="AD36" i="111" l="1"/>
  <c r="AF35" i="111"/>
  <c r="AD37" i="111" l="1"/>
  <c r="AF36" i="111"/>
  <c r="AD38" i="111" l="1"/>
  <c r="AF37" i="111"/>
  <c r="AD39" i="111" l="1"/>
  <c r="AF38" i="111"/>
  <c r="AD40" i="111" l="1"/>
  <c r="AF39" i="111"/>
  <c r="AD41" i="111" l="1"/>
  <c r="AF40" i="111"/>
  <c r="AD42" i="111" l="1"/>
  <c r="AF41" i="111"/>
  <c r="AD43" i="111" l="1"/>
  <c r="AF42" i="111"/>
  <c r="AD44" i="111" l="1"/>
  <c r="AF43" i="111"/>
  <c r="AD45" i="111" l="1"/>
  <c r="AF44" i="111"/>
  <c r="AD46" i="111" l="1"/>
  <c r="AF45" i="111"/>
  <c r="AD47" i="111" l="1"/>
  <c r="AF46" i="111"/>
  <c r="AD48" i="111" l="1"/>
  <c r="AF47" i="111"/>
  <c r="AD49" i="111" l="1"/>
  <c r="AF48" i="111"/>
  <c r="AD50" i="111" l="1"/>
  <c r="AF49" i="111"/>
  <c r="AD51" i="111" l="1"/>
  <c r="AF50" i="111"/>
  <c r="AD52" i="111" l="1"/>
  <c r="AF51" i="111"/>
  <c r="AD53" i="111" l="1"/>
  <c r="AF52" i="111"/>
  <c r="AD54" i="111" l="1"/>
  <c r="AF53" i="111"/>
  <c r="AD55" i="111" l="1"/>
  <c r="AF54" i="111"/>
  <c r="AD56" i="111" l="1"/>
  <c r="AF55" i="111"/>
  <c r="AD57" i="111" l="1"/>
  <c r="AF56" i="111"/>
  <c r="AD58" i="111" l="1"/>
  <c r="AF57" i="111"/>
  <c r="AD59" i="111" l="1"/>
  <c r="AF58" i="111"/>
  <c r="AD60" i="111" l="1"/>
  <c r="AF59" i="111"/>
  <c r="E32" i="111"/>
  <c r="E33" i="111" l="1"/>
  <c r="E34" i="111" s="1"/>
  <c r="AD61" i="111"/>
  <c r="AF60" i="111"/>
  <c r="AD62" i="111" l="1"/>
  <c r="AF61" i="111"/>
  <c r="G21" i="111"/>
  <c r="F20" i="112"/>
  <c r="G18" i="111"/>
  <c r="F21" i="112"/>
  <c r="F22" i="112"/>
  <c r="G19" i="111"/>
  <c r="F23" i="112"/>
  <c r="G20" i="111"/>
  <c r="F18" i="112"/>
  <c r="F16" i="112"/>
  <c r="F19" i="112"/>
  <c r="F17" i="112"/>
  <c r="G17" i="111"/>
  <c r="H18" i="112" l="1"/>
  <c r="L18" i="112" s="1"/>
  <c r="O18" i="112" s="1"/>
  <c r="H17" i="112"/>
  <c r="L17" i="112" s="1"/>
  <c r="O17" i="112" s="1"/>
  <c r="G16" i="111"/>
  <c r="H16" i="112"/>
  <c r="L16" i="112" s="1"/>
  <c r="O16" i="112" s="1"/>
  <c r="AD63" i="111"/>
  <c r="AF62" i="111"/>
  <c r="AD64" i="111" l="1"/>
  <c r="AF63" i="111"/>
  <c r="Q23" i="112"/>
  <c r="R23" i="112" s="1"/>
  <c r="Q19" i="112"/>
  <c r="R19" i="112" s="1"/>
  <c r="Q21" i="112"/>
  <c r="R21" i="112" s="1"/>
  <c r="Q22" i="112"/>
  <c r="R22" i="112" s="1"/>
  <c r="Q17" i="112"/>
  <c r="R17" i="112" s="1"/>
  <c r="Q16" i="112"/>
  <c r="Q20" i="112"/>
  <c r="R20" i="112" s="1"/>
  <c r="Q18" i="112"/>
  <c r="R18" i="112" s="1"/>
  <c r="R16" i="112" l="1"/>
  <c r="P13" i="112"/>
  <c r="P28" i="112" s="1"/>
  <c r="AD65" i="111"/>
  <c r="AF64" i="111"/>
  <c r="AD66" i="111" l="1"/>
  <c r="AF65" i="111"/>
  <c r="AD67" i="111" l="1"/>
  <c r="AF66" i="111"/>
  <c r="AD68" i="111" l="1"/>
  <c r="AF67" i="111"/>
  <c r="AD69" i="111" l="1"/>
  <c r="AF68" i="111"/>
  <c r="AD70" i="111" l="1"/>
  <c r="AF69" i="111"/>
  <c r="AD71" i="111" l="1"/>
  <c r="AF70" i="111"/>
  <c r="AD72" i="111" l="1"/>
  <c r="AF71" i="111"/>
  <c r="AD73" i="111" l="1"/>
  <c r="AF72" i="111"/>
  <c r="AD74" i="111" l="1"/>
  <c r="AF73" i="111"/>
  <c r="AD75" i="111" l="1"/>
  <c r="AF74" i="111"/>
  <c r="AD76" i="111" l="1"/>
  <c r="AF75" i="111"/>
  <c r="AD77" i="111" l="1"/>
  <c r="AF76" i="111"/>
  <c r="AD78" i="111" l="1"/>
  <c r="AF77" i="111"/>
  <c r="AD79" i="111" l="1"/>
  <c r="AF78" i="111"/>
  <c r="AD80" i="111" l="1"/>
  <c r="AF79" i="111"/>
  <c r="AD81" i="111" l="1"/>
  <c r="AF80" i="111"/>
  <c r="AD82" i="111" l="1"/>
  <c r="AF81" i="111"/>
  <c r="AD83" i="111" l="1"/>
  <c r="AF82" i="111"/>
  <c r="AD84" i="111" l="1"/>
  <c r="AD85" i="111" s="1"/>
  <c r="AD86" i="111" s="1"/>
  <c r="AD87" i="111" s="1"/>
  <c r="AD88" i="111" s="1"/>
  <c r="AD89" i="111" s="1"/>
  <c r="AD90" i="111" s="1"/>
  <c r="AD91" i="111" s="1"/>
  <c r="AD92" i="111" s="1"/>
  <c r="AD93" i="111" s="1"/>
  <c r="AD94" i="111" s="1"/>
  <c r="AD95" i="111" s="1"/>
  <c r="AD96" i="111" s="1"/>
  <c r="AD97" i="111" s="1"/>
  <c r="AD98" i="111" s="1"/>
  <c r="AD99" i="111" s="1"/>
  <c r="AD100" i="111" s="1"/>
  <c r="AD101" i="111" s="1"/>
  <c r="AD102" i="111" s="1"/>
  <c r="AD103" i="111" s="1"/>
  <c r="AD104" i="111" s="1"/>
  <c r="AD105" i="111" s="1"/>
  <c r="AD106" i="111" s="1"/>
  <c r="AD107" i="111" s="1"/>
  <c r="AD108" i="111" s="1"/>
  <c r="AD109" i="111" s="1"/>
  <c r="AD110" i="111" s="1"/>
  <c r="AD111" i="111" s="1"/>
  <c r="AD112" i="111" s="1"/>
  <c r="AD113" i="111" s="1"/>
  <c r="AD114" i="111" s="1"/>
  <c r="AD115" i="111" s="1"/>
  <c r="AD116" i="111" s="1"/>
  <c r="AD117" i="111" s="1"/>
  <c r="AD118" i="111" s="1"/>
  <c r="AD119" i="111" s="1"/>
  <c r="AD120" i="111" s="1"/>
  <c r="AD121" i="111" s="1"/>
  <c r="AD122" i="111" s="1"/>
  <c r="AD123" i="111" s="1"/>
  <c r="AD124" i="111" s="1"/>
  <c r="AD125" i="111" s="1"/>
  <c r="AD126" i="111" s="1"/>
  <c r="AD127" i="111" s="1"/>
  <c r="AD128" i="111" s="1"/>
  <c r="AD129" i="111" s="1"/>
  <c r="AD130" i="111" s="1"/>
  <c r="AD131" i="111" s="1"/>
  <c r="AD132" i="111" s="1"/>
  <c r="AD133" i="111" s="1"/>
  <c r="AD134" i="111" s="1"/>
  <c r="AD135" i="111" s="1"/>
  <c r="AD136" i="111" s="1"/>
  <c r="AD137" i="111" s="1"/>
  <c r="AD138" i="111" s="1"/>
  <c r="AF83" i="111"/>
  <c r="F19" i="114"/>
  <c r="M19" i="114" s="1"/>
  <c r="F36" i="114"/>
  <c r="M36" i="114" s="1"/>
  <c r="F60" i="114"/>
  <c r="M60" i="114" s="1"/>
  <c r="F23" i="114"/>
  <c r="M23" i="114" s="1"/>
  <c r="F72" i="114"/>
  <c r="M72" i="114" s="1"/>
  <c r="F65" i="114"/>
  <c r="M65" i="114" s="1"/>
  <c r="F69" i="114"/>
  <c r="M69" i="114" s="1"/>
  <c r="F75" i="114"/>
  <c r="M75" i="114" s="1"/>
  <c r="F30" i="114"/>
  <c r="M30" i="114" s="1"/>
  <c r="F33" i="114"/>
  <c r="M33" i="114" s="1"/>
  <c r="F47" i="114"/>
  <c r="M47" i="114" s="1"/>
  <c r="F39" i="114"/>
  <c r="M39" i="114" s="1"/>
  <c r="F25" i="114"/>
  <c r="M25" i="114" s="1"/>
  <c r="F54" i="114"/>
  <c r="M54" i="114" s="1"/>
  <c r="F58" i="114"/>
  <c r="M58" i="114" s="1"/>
  <c r="F40" i="114"/>
  <c r="M40" i="114" s="1"/>
  <c r="F50" i="114"/>
  <c r="M50" i="114" s="1"/>
  <c r="F35" i="114"/>
  <c r="M35" i="114" s="1"/>
  <c r="F68" i="114"/>
  <c r="M68" i="114" s="1"/>
  <c r="F59" i="114"/>
  <c r="M59" i="114" s="1"/>
  <c r="F37" i="114"/>
  <c r="M37" i="114" s="1"/>
  <c r="F61" i="114"/>
  <c r="M61" i="114" s="1"/>
  <c r="F71" i="114"/>
  <c r="M71" i="114" s="1"/>
  <c r="F24" i="114"/>
  <c r="M24" i="114" s="1"/>
  <c r="F41" i="114"/>
  <c r="M41" i="114" s="1"/>
  <c r="F56" i="114"/>
  <c r="M56" i="114" s="1"/>
  <c r="F63" i="114"/>
  <c r="M63" i="114" s="1"/>
  <c r="F76" i="114"/>
  <c r="M76" i="114" s="1"/>
  <c r="F49" i="114"/>
  <c r="M49" i="114" s="1"/>
  <c r="F51" i="114"/>
  <c r="M51" i="114" s="1"/>
  <c r="F55" i="114"/>
  <c r="M55" i="114" s="1"/>
  <c r="F28" i="114"/>
  <c r="M28" i="114" s="1"/>
  <c r="F53" i="114"/>
  <c r="M53" i="114" s="1"/>
  <c r="F73" i="114"/>
  <c r="M73" i="114" s="1"/>
  <c r="F66" i="114"/>
  <c r="M66" i="114" s="1"/>
  <c r="F43" i="114"/>
  <c r="M43" i="114" s="1"/>
  <c r="F62" i="114"/>
  <c r="M62" i="114" s="1"/>
  <c r="F57" i="114"/>
  <c r="M57" i="114" s="1"/>
  <c r="F45" i="114"/>
  <c r="M45" i="114" s="1"/>
  <c r="F70" i="114"/>
  <c r="M70" i="114" s="1"/>
  <c r="F38" i="114"/>
  <c r="M38" i="114" s="1"/>
  <c r="F20" i="114"/>
  <c r="M20" i="114" s="1"/>
  <c r="F29" i="114"/>
  <c r="M29" i="114" s="1"/>
  <c r="F67" i="114"/>
  <c r="M67" i="114" s="1"/>
  <c r="F18" i="114"/>
  <c r="M18" i="114" s="1"/>
  <c r="F21" i="114"/>
  <c r="M21" i="114" s="1"/>
  <c r="F44" i="114"/>
  <c r="M44" i="114" s="1"/>
  <c r="F34" i="114"/>
  <c r="M34" i="114" s="1"/>
  <c r="F22" i="114"/>
  <c r="M22" i="114" s="1"/>
  <c r="F26" i="114"/>
  <c r="M26" i="114" s="1"/>
  <c r="F52" i="114"/>
  <c r="M52" i="114" s="1"/>
  <c r="F42" i="114"/>
  <c r="M42" i="114" s="1"/>
  <c r="F48" i="114"/>
  <c r="M48" i="114" s="1"/>
  <c r="F31" i="114"/>
  <c r="M31" i="114" s="1"/>
  <c r="F27" i="114"/>
  <c r="M27" i="114" s="1"/>
  <c r="F64" i="114"/>
  <c r="M64" i="114" s="1"/>
  <c r="F46" i="114"/>
  <c r="M46" i="114" s="1"/>
  <c r="F74" i="114"/>
  <c r="M74" i="114" s="1"/>
  <c r="F32" i="114"/>
  <c r="M32" i="114" s="1"/>
  <c r="F16" i="114"/>
  <c r="M16" i="114" s="1"/>
  <c r="F17" i="114"/>
  <c r="M17" i="114" s="1"/>
  <c r="Q74" i="114" l="1"/>
  <c r="Q59" i="114"/>
  <c r="Q30" i="114"/>
  <c r="Q63" i="114"/>
  <c r="Q54" i="114"/>
  <c r="Q34" i="114"/>
  <c r="Q42" i="114"/>
  <c r="Q40" i="114"/>
  <c r="Q76" i="114"/>
  <c r="Q50" i="114"/>
  <c r="Q64" i="114"/>
  <c r="Q60" i="114"/>
  <c r="Q52" i="114"/>
  <c r="Q24" i="114"/>
  <c r="Q22" i="114"/>
  <c r="Q57" i="114"/>
  <c r="Q49" i="114"/>
  <c r="Q55" i="114"/>
  <c r="Q26" i="114"/>
  <c r="Q17" i="114"/>
  <c r="Q71" i="114"/>
  <c r="Q47" i="114"/>
  <c r="Q32" i="114"/>
  <c r="Q39" i="114"/>
  <c r="Q19" i="114"/>
  <c r="Q61" i="114"/>
  <c r="Q23" i="114"/>
  <c r="Q62" i="114"/>
  <c r="Q53" i="114"/>
  <c r="Q67" i="114"/>
  <c r="Q25" i="114"/>
  <c r="Q65" i="114"/>
  <c r="Q69" i="114"/>
  <c r="Q35" i="114"/>
  <c r="Q43" i="114"/>
  <c r="Q66" i="114"/>
  <c r="Q41" i="114"/>
  <c r="Q33" i="114"/>
  <c r="Q46" i="114"/>
  <c r="Q38" i="114"/>
  <c r="Q56" i="114"/>
  <c r="Q75" i="114"/>
  <c r="Q36" i="114"/>
  <c r="Q45" i="114"/>
  <c r="Q21" i="114"/>
  <c r="Q51" i="114"/>
  <c r="Q20" i="114"/>
  <c r="Q73" i="114"/>
  <c r="Q68" i="114"/>
  <c r="Q70" i="114"/>
  <c r="Q27" i="114"/>
  <c r="Q44" i="114"/>
  <c r="Q28" i="114"/>
  <c r="Q31" i="114"/>
  <c r="Q48" i="114"/>
  <c r="Q29" i="114"/>
  <c r="Q16" i="114"/>
  <c r="Q72" i="114"/>
  <c r="Q37" i="114"/>
  <c r="Q58" i="114"/>
  <c r="Q18" i="114"/>
  <c r="S25" i="114" l="1"/>
  <c r="T25" i="114" s="1"/>
  <c r="S18" i="114"/>
  <c r="T18" i="114" s="1"/>
  <c r="S37" i="114"/>
  <c r="T37" i="114" s="1"/>
  <c r="S48" i="114"/>
  <c r="T48" i="114" s="1"/>
  <c r="S63" i="114"/>
  <c r="T63" i="114" s="1"/>
  <c r="S67" i="114"/>
  <c r="T67" i="114" s="1"/>
  <c r="S55" i="114"/>
  <c r="T55" i="114" s="1"/>
  <c r="S64" i="114"/>
  <c r="T64" i="114" s="1"/>
  <c r="S60" i="114"/>
  <c r="T60" i="114" s="1"/>
  <c r="S17" i="114"/>
  <c r="T17" i="114" s="1"/>
  <c r="S74" i="114"/>
  <c r="T74" i="114" s="1"/>
  <c r="S66" i="114"/>
  <c r="T66" i="114" s="1"/>
  <c r="S71" i="114"/>
  <c r="T71" i="114" s="1"/>
  <c r="S31" i="114"/>
  <c r="T31" i="114" s="1"/>
  <c r="S41" i="114"/>
  <c r="T41" i="114" s="1"/>
  <c r="S28" i="114"/>
  <c r="T28" i="114" s="1"/>
  <c r="S32" i="114"/>
  <c r="T32" i="114" s="1"/>
  <c r="S53" i="114"/>
  <c r="T53" i="114" s="1"/>
  <c r="S19" i="114"/>
  <c r="T19" i="114" s="1"/>
  <c r="S26" i="114"/>
  <c r="T26" i="114" s="1"/>
  <c r="S34" i="114"/>
  <c r="T34" i="114" s="1"/>
  <c r="S72" i="114"/>
  <c r="T72" i="114" s="1"/>
  <c r="S45" i="114"/>
  <c r="T45" i="114" s="1"/>
  <c r="S70" i="114"/>
  <c r="T70" i="114" s="1"/>
  <c r="S47" i="114"/>
  <c r="T47" i="114" s="1"/>
  <c r="S73" i="114"/>
  <c r="T73" i="114" s="1"/>
  <c r="S52" i="114"/>
  <c r="T52" i="114" s="1"/>
  <c r="S75" i="114"/>
  <c r="T75" i="114" s="1"/>
  <c r="S36" i="114"/>
  <c r="T36" i="114" s="1"/>
  <c r="S56" i="114"/>
  <c r="T56" i="114" s="1"/>
  <c r="S43" i="114"/>
  <c r="T43" i="114" s="1"/>
  <c r="S16" i="114"/>
  <c r="T16" i="114" s="1"/>
  <c r="S65" i="114"/>
  <c r="T65" i="114" s="1"/>
  <c r="S46" i="114"/>
  <c r="T46" i="114" s="1"/>
  <c r="S69" i="114"/>
  <c r="T69" i="114" s="1"/>
  <c r="S33" i="114"/>
  <c r="T33" i="114" s="1"/>
  <c r="S58" i="114"/>
  <c r="T58" i="114" s="1"/>
  <c r="S57" i="114"/>
  <c r="T57" i="114" s="1"/>
  <c r="S51" i="114"/>
  <c r="T51" i="114" s="1"/>
  <c r="S42" i="114"/>
  <c r="T42" i="114" s="1"/>
  <c r="S38" i="114"/>
  <c r="T38" i="114" s="1"/>
  <c r="S22" i="114"/>
  <c r="T22" i="114" s="1"/>
  <c r="S68" i="114"/>
  <c r="T68" i="114" s="1"/>
  <c r="S59" i="114"/>
  <c r="T59" i="114" s="1"/>
  <c r="S23" i="114"/>
  <c r="T23" i="114" s="1"/>
  <c r="S61" i="114"/>
  <c r="T61" i="114" s="1"/>
  <c r="S54" i="114"/>
  <c r="T54" i="114" s="1"/>
  <c r="S76" i="114"/>
  <c r="T76" i="114" s="1"/>
  <c r="S30" i="114"/>
  <c r="T30" i="114" s="1"/>
  <c r="S62" i="114"/>
  <c r="T62" i="114" s="1"/>
  <c r="S49" i="114"/>
  <c r="T49" i="114" s="1"/>
  <c r="S40" i="114"/>
  <c r="T40" i="114" s="1"/>
  <c r="S29" i="114"/>
  <c r="T29" i="114" s="1"/>
  <c r="S24" i="114"/>
  <c r="T24" i="114" s="1"/>
  <c r="S27" i="114"/>
  <c r="T27" i="114" s="1"/>
  <c r="S50" i="114"/>
  <c r="T50" i="114" s="1"/>
  <c r="S44" i="114"/>
  <c r="T44" i="114" s="1"/>
  <c r="S35" i="114"/>
  <c r="T35" i="114" s="1"/>
  <c r="S20" i="114"/>
  <c r="T20" i="114" s="1"/>
  <c r="S21" i="114"/>
  <c r="T21" i="114" s="1"/>
  <c r="S39" i="114"/>
  <c r="T39" i="114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<sst xmlns="http://schemas.openxmlformats.org/spreadsheetml/2006/main" count="376" uniqueCount="206">
  <si>
    <t>INSTITUTO NACIONAL DE VÍAS</t>
  </si>
  <si>
    <t>DIRECCIÓN GENERAL</t>
  </si>
  <si>
    <t>DIRECCIÓN TERRITORIAL MAGDALENA</t>
  </si>
  <si>
    <t>CONCURSO DE MÉRITOS ABIERTO No  CMA-DT-MAG-001-2024</t>
  </si>
  <si>
    <t>OBJETO: “INTERVENTORIA TÉCNICA, ADMINISTRATIVA, FINANCIERA Y AMBIENTAL, PARA EL MEJORAMIENTO Y MANTENIMIENTO DE LAS VÍAS: RICAURTE – HATOVIEJO CÓDIGO 78218 EN EL MUNICIPIO DE GUAMAL; Y SAN SEBASTIÁN - LOS GALVIS CÓDIGO 78141, EN EL MUNICIPIO DE SAN SEBASTIÁN DE BUENAVISTA, DEPARTAMENTO DEL MAGDALENA”.</t>
  </si>
  <si>
    <t>CUADRO No. 1</t>
  </si>
  <si>
    <t>RESULTADO FINAL DEL PROCESO DE EVALUACIÓN</t>
  </si>
  <si>
    <t>CONSECUTIVO</t>
  </si>
  <si>
    <t>PROPUESTA NÚMERO</t>
  </si>
  <si>
    <t>PROPONENTE</t>
  </si>
  <si>
    <t>CALIFICACIÓN OBTENIDA</t>
  </si>
  <si>
    <t>PUNTAJES OTORGADOS A LOS SIGUIENTES CRITERIOS:</t>
  </si>
  <si>
    <t>Equipo de trabajo</t>
  </si>
  <si>
    <t>Factor de sostenibilidad</t>
  </si>
  <si>
    <t xml:space="preserve">Apoyo a la industria nacional </t>
  </si>
  <si>
    <t>Vinculación de personas con discapacidad</t>
  </si>
  <si>
    <t>Emprendimientos y empresas mujeres</t>
  </si>
  <si>
    <t>Mipyme</t>
  </si>
  <si>
    <t>CONSORCIO CAP-SAS</t>
  </si>
  <si>
    <t>HÁBIL</t>
  </si>
  <si>
    <t>BRAIN INGENIERIA VIAL SAS</t>
  </si>
  <si>
    <t>CONSORCIO INTER CONSTR
UCCION VIAL</t>
  </si>
  <si>
    <t>RECHAZADO</t>
  </si>
  <si>
    <t>CONSORCIO INFRAVIAL</t>
  </si>
  <si>
    <t>C&amp;A PROFESIONALES DE IN
GENIERÍA S.A.S</t>
  </si>
  <si>
    <t>CONSORCIO VIAS NRT</t>
  </si>
  <si>
    <t>INTERSA S.A.</t>
  </si>
  <si>
    <t>PROESING</t>
  </si>
  <si>
    <t>INTERVAL2</t>
  </si>
  <si>
    <t>CONINTER JMJ SAS</t>
  </si>
  <si>
    <t>CONSORCIO METRO CINCO</t>
  </si>
  <si>
    <t>Consorcio INTERING</t>
  </si>
  <si>
    <t>CONSORCIO INFRAESTRUCT
URA CAUCA</t>
  </si>
  <si>
    <t>CONSORCIO HUPK VIAS MAG
DALENA</t>
  </si>
  <si>
    <t>CONSORCIO INTER VIAL G&amp;
G</t>
  </si>
  <si>
    <t>IC INGENIO CIVIL</t>
  </si>
  <si>
    <t>MORAM CONSULTORIA SAS</t>
  </si>
  <si>
    <t>VELNEC S.A.</t>
  </si>
  <si>
    <t>CONSULTORES SOLANO NA
VAS LTDA</t>
  </si>
  <si>
    <t>MAVECA INGENIERIA S.A.S</t>
  </si>
  <si>
    <t>CONSORCIO SF 2023</t>
  </si>
  <si>
    <t xml:space="preserve">ALMA INTERVENTORÍA &amp; CONSULTORÍA S.A.S.
</t>
  </si>
  <si>
    <t xml:space="preserve">JMELO INGENIERÍA DE PROYECTOS S.A.S.
</t>
  </si>
  <si>
    <t>SEIING SAS BIC</t>
  </si>
  <si>
    <t>JET INGENIERIA SAS</t>
  </si>
  <si>
    <t>EQUILATERO SAS</t>
  </si>
  <si>
    <t>CONSORCIO CB-TALATAA</t>
  </si>
  <si>
    <t>D&amp;B INGENIEROS CIVILES S.
A.S.</t>
  </si>
  <si>
    <t>CONSORCIO OJB</t>
  </si>
  <si>
    <t>PROYECTISTAS DE COLOMB
IA &amp; CIA SAS</t>
  </si>
  <si>
    <t>CONSORCIO AESA-BALER</t>
  </si>
  <si>
    <t>CONSORCIO INTERVIAL GM</t>
  </si>
  <si>
    <t>G&amp;C</t>
  </si>
  <si>
    <t>CONSORCIO GC</t>
  </si>
  <si>
    <t>CONSORCIO CABAC-AZIMUT</t>
  </si>
  <si>
    <t>ARQUICIVILES CONSTRUCTO
RA SAS</t>
  </si>
  <si>
    <t>VERTICE INTERVENTORIA D
E PROYECTOS SAS</t>
  </si>
  <si>
    <t>CONSORCIO INTERVENTORE
S AC</t>
  </si>
  <si>
    <t>CONSORCIO RED VIAL HUILA</t>
  </si>
  <si>
    <t>CONSORCIO SAMUEL 2024</t>
  </si>
  <si>
    <t>CONSORCIO NOGAC</t>
  </si>
  <si>
    <t>HR ING SAS</t>
  </si>
  <si>
    <t>UCPI MAGDALENA</t>
  </si>
  <si>
    <t>VIGAVI ZOMAC S.A.S</t>
  </si>
  <si>
    <t>CONSTRUCTORA VISAA S.A.
S.</t>
  </si>
  <si>
    <t>CONSORCIO INTERVIAS A.S.
A.</t>
  </si>
  <si>
    <t>LEMOINE RIVERA INGENIEROS ASOCIADOS SAS</t>
  </si>
  <si>
    <t>AVGR INGENIERIA S.A.S.</t>
  </si>
  <si>
    <t>ICE S.A.S.</t>
  </si>
  <si>
    <t>CONSORCIO INTER JC MAG</t>
  </si>
  <si>
    <t>CONSORCIO VIAL 2023</t>
  </si>
  <si>
    <t>SAICON SAS</t>
  </si>
  <si>
    <t>SOTA LTDA</t>
  </si>
  <si>
    <t>JAMES ALBERTO KAMMERER JIMENEZ</t>
  </si>
  <si>
    <t>DBB INGENIERÍA SAS</t>
  </si>
  <si>
    <t>LITORAL CONSULTING SAS</t>
  </si>
  <si>
    <t>CONSORCIO HGR - INCON</t>
  </si>
  <si>
    <t>INGEOCILCON S.A.S.</t>
  </si>
  <si>
    <t>CONSORCIO VÍAS PROTEV</t>
  </si>
  <si>
    <t>GER&amp;PRO S.A.S</t>
  </si>
  <si>
    <t>INTEGRAL MAGDALENA 78</t>
  </si>
  <si>
    <t>TOTALES</t>
  </si>
  <si>
    <t>NO HÁBIL</t>
  </si>
  <si>
    <t>TOTAL</t>
  </si>
  <si>
    <t>CUADRO No. 3</t>
  </si>
  <si>
    <t>DETERMINACIÓN DEL PUNTAJE POR VALOR DE LA PROPUESTA</t>
  </si>
  <si>
    <t>MEDIA GEOMETRICA</t>
  </si>
  <si>
    <t>PROP. No.</t>
  </si>
  <si>
    <t>PROPUESTA ECONÓMICA</t>
  </si>
  <si>
    <t>PORCENTAJE DE OFRECIMIENTO MENOR AL PRECIO OFICIAL</t>
  </si>
  <si>
    <t>PUNTAJE ASIGNADO</t>
  </si>
  <si>
    <t>($)</t>
  </si>
  <si>
    <t>PROPUESTAS VALIDAS</t>
  </si>
  <si>
    <t>CONDICION</t>
  </si>
  <si>
    <t>PRESUPUESTO OFICIAL</t>
  </si>
  <si>
    <t>admisible</t>
  </si>
  <si>
    <t xml:space="preserve">PROPUESTAS VALIDAS=n </t>
  </si>
  <si>
    <r>
      <t>NUMERO DE VECES A REPETIR EN PRESUPUESTO OFICIAL=</t>
    </r>
    <r>
      <rPr>
        <b/>
        <sz val="16"/>
        <rFont val="Arial"/>
        <family val="2"/>
      </rPr>
      <t xml:space="preserve"> nv</t>
    </r>
  </si>
  <si>
    <t>nv+n</t>
  </si>
  <si>
    <t>MEDIA GEOMETRICA = Gpo</t>
  </si>
  <si>
    <t xml:space="preserve">MAXIMO </t>
  </si>
  <si>
    <t>MINIMO</t>
  </si>
  <si>
    <t>VALOR MAXIMO DE PUNTAJE PARA EL PROCESO</t>
  </si>
  <si>
    <t>SEGÚN PROCESO</t>
  </si>
  <si>
    <t>CUADRO No. 4</t>
  </si>
  <si>
    <t>CUADRO No. 5</t>
  </si>
  <si>
    <t>RESÚMEN DE LA PONDERACIÓN OTORGADA</t>
  </si>
  <si>
    <t>ORDEN DE ELEGIBILIDAD</t>
  </si>
  <si>
    <t xml:space="preserve"> </t>
  </si>
  <si>
    <t>JERARQUIA</t>
  </si>
  <si>
    <t>PROPUESTA NUMERO</t>
  </si>
  <si>
    <t>DIFERENCIA RESPECTO A LA MEDIA $</t>
  </si>
  <si>
    <t>CONDICIÓN FINAL</t>
  </si>
  <si>
    <t>PUNTAJE DEFINITIVO</t>
  </si>
  <si>
    <t>CIFRA DE AJUSTE</t>
  </si>
  <si>
    <t>Precio</t>
  </si>
  <si>
    <t>Industria  Nacional</t>
  </si>
  <si>
    <t>Reincorporados</t>
  </si>
  <si>
    <t>Condiciones Técnicas Adicionales.Y/0 FACTOR DE CALIDAD</t>
  </si>
  <si>
    <t>PROPUESTAS VÁLIDAS</t>
  </si>
  <si>
    <t>No.</t>
  </si>
  <si>
    <t>PUNTAJE</t>
  </si>
  <si>
    <t>MEDIA ARITMETICA</t>
  </si>
  <si>
    <t>DIFERENCIA ENTRE LA MEDIA Y LA PROPUESTA</t>
  </si>
  <si>
    <t>PUNTAJE POR PRECIO OFRECIDO</t>
  </si>
  <si>
    <t>CON RESPECTO A PRESUPUESTO OFICIAL</t>
  </si>
  <si>
    <t>CON RESPECTO A PRECIO DE REFERENCIA ( 1 )</t>
  </si>
  <si>
    <t>CON RESPECTO A PRECIO DE REFERENCIA ( 2 )</t>
  </si>
  <si>
    <t>Porcentaje mejora</t>
  </si>
  <si>
    <t>&lt;0</t>
  </si>
  <si>
    <t>PORCENTAJE DE MEJORA</t>
  </si>
  <si>
    <t>ESTADO PROPUESTA DE ACUERDO AL RANGO</t>
  </si>
  <si>
    <r>
      <t>Media Aritmética =</t>
    </r>
    <r>
      <rPr>
        <b/>
        <sz val="12"/>
        <rFont val="Arial"/>
        <family val="2"/>
      </rPr>
      <t>X</t>
    </r>
    <r>
      <rPr>
        <b/>
        <vertAlign val="subscript"/>
        <sz val="12"/>
        <rFont val="Arial"/>
        <family val="2"/>
      </rPr>
      <t>1</t>
    </r>
  </si>
  <si>
    <t>CANTIDAD</t>
  </si>
  <si>
    <t>VALOR DE LA PROPUESTA PARA ESTE PROCESO</t>
  </si>
  <si>
    <t>VALOR MAXIMO</t>
  </si>
  <si>
    <t>VALOR MINIMO</t>
  </si>
  <si>
    <t>(%)</t>
  </si>
  <si>
    <t>Condiciones Técnicas Adicionales.</t>
  </si>
  <si>
    <t>SI(N19="","",DESREF($C$15,COINCIDIR(B19,$M$16:$M$19,0),0))</t>
  </si>
  <si>
    <t xml:space="preserve">CONTRATOS VALIDOS </t>
  </si>
  <si>
    <t>PROMEDIO CONTRATOS VALIDOS</t>
  </si>
  <si>
    <t>CALIFICACION OBTENIDA</t>
  </si>
  <si>
    <t>(SMMLV)</t>
  </si>
  <si>
    <t>LOTE A EJECUTAR</t>
  </si>
  <si>
    <t>No. de Módulos del Proceso</t>
  </si>
  <si>
    <t>Determinación del Método para la Ponderación de la Propuesta Económica</t>
  </si>
  <si>
    <t>TRM DEL DÍA DE LA INSTALACIÓN DE LA AUDIENCIA DE ASIGNACIÓN DE PUNTAJE</t>
  </si>
  <si>
    <t xml:space="preserve">Valor = </t>
  </si>
  <si>
    <t>Último Método Utilizado</t>
  </si>
  <si>
    <t>CENTESIMAS =</t>
  </si>
  <si>
    <t>NO APLICA</t>
  </si>
  <si>
    <t>MÉTODO DE PONDERACIÓN =</t>
  </si>
  <si>
    <t>Parámetros para la ponderación de la propuesta económica</t>
  </si>
  <si>
    <t>Número de propuestas válidas</t>
  </si>
  <si>
    <t>Mínimo</t>
  </si>
  <si>
    <t>Máximo</t>
  </si>
  <si>
    <t>Media Aritmética = X</t>
  </si>
  <si>
    <t>Mediana= Me</t>
  </si>
  <si>
    <t>Presupuesto Oficial</t>
  </si>
  <si>
    <t>Puntaje por Experiencia</t>
  </si>
  <si>
    <t>1. Mediana con Valor Absoluto</t>
  </si>
  <si>
    <t>¿Número de Propuestas Válidas es Par o Impar?</t>
  </si>
  <si>
    <t>Impar</t>
  </si>
  <si>
    <t>Valor de la Mediana</t>
  </si>
  <si>
    <t xml:space="preserve">2. Media Geométrica </t>
  </si>
  <si>
    <t>Valor de la Propuesta más cercana al valor de la Media Geometrica:</t>
  </si>
  <si>
    <t>Media geométrica aproximada a números enteros = Mg</t>
  </si>
  <si>
    <t>3. Media Aritmética Alta</t>
  </si>
  <si>
    <r>
      <t>Media artimética Alta (X</t>
    </r>
    <r>
      <rPr>
        <b/>
        <vertAlign val="subscript"/>
        <sz val="10"/>
        <rFont val="Arial"/>
        <family val="2"/>
      </rPr>
      <t>A</t>
    </r>
    <r>
      <rPr>
        <b/>
        <sz val="10"/>
        <rFont val="Arial"/>
        <family val="2"/>
      </rPr>
      <t>)</t>
    </r>
  </si>
  <si>
    <t>Estadistico usado para ponderar :</t>
  </si>
  <si>
    <t>NÚMERO DE CONTRATOS ACREDITADOS VÁLIDOS</t>
  </si>
  <si>
    <t>PUNTAJE DE LA PROPUESTA</t>
  </si>
  <si>
    <t>SMMLV</t>
  </si>
  <si>
    <t>EN CASO DE PROPUESTA 0 ENTONCES COLOCA 1</t>
  </si>
  <si>
    <t>DESCARTA EL VALOR MAXIMO PARA LA MEDIA ARITMETICA ALTA</t>
  </si>
  <si>
    <t>DESCARTA EL VALOR MINIMO PARA LA MEDIA ARITMETICA BAJA</t>
  </si>
  <si>
    <t xml:space="preserve">MEDIANA </t>
  </si>
  <si>
    <t>PUNTAJE MAXIMO</t>
  </si>
  <si>
    <t>VALOR IMENDIATAMENTE POR DEBAJO DE LA MEDIA ARITMETICA (XB)</t>
  </si>
  <si>
    <t>MEDIA GEOMETRICA (MG)</t>
  </si>
  <si>
    <t>MEDIA ARITMETICA ALTA (Xa)</t>
  </si>
  <si>
    <t xml:space="preserve">EXPERIENCIA PROPUESTA </t>
  </si>
  <si>
    <t>Experiencia</t>
  </si>
  <si>
    <t xml:space="preserve">Vinculación de personas con discapacidad </t>
  </si>
  <si>
    <t>MEDIA ARITMETICA ALTA</t>
  </si>
  <si>
    <t>DESCARTADOS VALORES MENORES AL 90 PO</t>
  </si>
  <si>
    <t>90% preupuesto oficial</t>
  </si>
  <si>
    <t>VALOR PROPUESTA MAYOR</t>
  </si>
  <si>
    <t>ID</t>
  </si>
  <si>
    <t>DEPENDENCIAS</t>
  </si>
  <si>
    <t>RESULTADO</t>
  </si>
  <si>
    <t>DIRECCIÓN GENERAL - OFICINA DE PREVENCIÓN Y ATENCIÓN DE EMERGENCIAS</t>
  </si>
  <si>
    <t>ADMISIBLE</t>
  </si>
  <si>
    <t>SECRETARÍA GENERAL ADMINISTRATIVA - SUBDIRECCIÓN ADMINISTRATIVA</t>
  </si>
  <si>
    <t>NO ADMISIBLE</t>
  </si>
  <si>
    <t>SECRETARÍA GENERAL ADMINISTRATIVA - SUBDIRECCIÓN FINANCIERA</t>
  </si>
  <si>
    <t>RECHAZO</t>
  </si>
  <si>
    <t>SECRETARÍA GENERAL TÉCNICA - DIRECCIONES TERRITORIALES</t>
  </si>
  <si>
    <t>SECRETARÍA GENERAL TÉCNICA - GERENCIA DE GRANDES PROYECTOS</t>
  </si>
  <si>
    <t>SECRETARÍA GENERAL TÉCNICA - GRUPO PLAN 2500</t>
  </si>
  <si>
    <t>SECRETARÍA GENERAL TÉCNICA - SUBDIRECCIÓN DE APOYO TÉCNICO</t>
  </si>
  <si>
    <t>SECRETARÍA GENERAL TÉCNICA - SUBDIRECCIÓN DE MEDIO AMBIENTE Y GESTIÓN SOCIAL</t>
  </si>
  <si>
    <t>SECRETARÍA GENERAL TÉCNICA - SUBDIRECCIÓN MARÍTIMA Y FLUVIAL</t>
  </si>
  <si>
    <t>SECRETARÍA GENERAL TÉCNICA - SUBDIRECCIÓN RED NACIONAL DE CARRETERAS</t>
  </si>
  <si>
    <t>SECRETARÍA GENERAL TÉCNICA - SUBDIRECCIÓN RED TERCIARIA Y FÉRREA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</si>
</sst>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2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* #,##0.00\ &quot;€&quot;_-;\-* #,##0.00\ &quot;€&quot;_-;_-* &quot;-&quot;??\ &quot;€&quot;_-;_-@_-"/>
    <numFmt numFmtId="165" formatCode="_-&quot;$&quot;* #,##0.00_-;\-&quot;$&quot;* #,##0.00_-;_-&quot;$&quot;* &quot;-&quot;??_-;_-@_-"/>
    <numFmt numFmtId="166" formatCode="_(&quot;$&quot;* #,##0.00_);_(&quot;$&quot;* \(#,##0.00\);_(&quot;$&quot;* &quot;-&quot;??_);_(@_)"/>
    <numFmt numFmtId="167" formatCode="_(* #,##0.00_);_(* \(#,##0.00\);_(* &quot;-&quot;??_);_(@_)"/>
    <numFmt numFmtId="168" formatCode="&quot;$&quot;\ #,##0_);[Red]\(&quot;$&quot;\ #,##0\)"/>
    <numFmt numFmtId="169" formatCode="&quot;$&quot;\ #,##0.00_);\(&quot;$&quot;\ #,##0.00\)"/>
    <numFmt numFmtId="170" formatCode="_(&quot;$&quot;\ * #,##0.00_);_(&quot;$&quot;\ * \(#,##0.00\);_(&quot;$&quot;\ * &quot;-&quot;??_);_(@_)"/>
    <numFmt numFmtId="171" formatCode="_ &quot;$&quot;\ * #,##0.00_ ;_ &quot;$&quot;\ * \-#,##0.00_ ;_ &quot;$&quot;\ * &quot;-&quot;??_ ;_ @_ "/>
    <numFmt numFmtId="172" formatCode="_ * #,##0.00_ ;_ * \-#,##0.00_ ;_ * &quot;-&quot;??_ ;_ @_ "/>
    <numFmt numFmtId="173" formatCode="_-* #,##0\ _P_t_s_-;\-* #,##0\ _P_t_s_-;_-* &quot;-&quot;\ _P_t_s_-;_-@_-"/>
    <numFmt numFmtId="174" formatCode="_-* #,##0.00\ &quot;Pts&quot;_-;\-* #,##0.00\ &quot;Pts&quot;_-;_-* &quot;-&quot;??\ &quot;Pts&quot;_-;_-@_-"/>
    <numFmt numFmtId="175" formatCode="_-* #,##0.00\ _P_t_s_-;\-* #,##0.00\ _P_t_s_-;_-* &quot;-&quot;??\ _P_t_s_-;_-@_-"/>
    <numFmt numFmtId="176" formatCode="#,##0.0"/>
    <numFmt numFmtId="177" formatCode="#,##0.00000000000"/>
    <numFmt numFmtId="178" formatCode="0.0%"/>
    <numFmt numFmtId="179" formatCode="&quot;VALOR PARA EL CONTRATO=$&quot;\ #,##0.00"/>
    <numFmt numFmtId="180" formatCode="#,##0&quot;º&quot;"/>
    <numFmt numFmtId="181" formatCode="0.0000000"/>
    <numFmt numFmtId="182" formatCode="_ [$€-2]\ * #,##0.00_ ;_ [$€-2]\ * \-#,##0.00_ ;_ [$€-2]\ * &quot;-&quot;??_ "/>
    <numFmt numFmtId="183" formatCode="0.0000E+00"/>
    <numFmt numFmtId="184" formatCode="&quot;$&quot;\ #,##0.00"/>
    <numFmt numFmtId="185" formatCode="#,##0.000"/>
    <numFmt numFmtId="186" formatCode="0.000"/>
    <numFmt numFmtId="187" formatCode="_-* #,##0.00\ [$€]_-;\-* #,##0.00\ [$€]_-;_-* &quot;-&quot;??\ [$€]_-;_-@_-"/>
    <numFmt numFmtId="188" formatCode="_(* #,##0\ &quot;pta&quot;_);_(* \(#,##0\ &quot;pta&quot;\);_(* &quot;-&quot;??\ &quot;pta&quot;_);_(@_)"/>
    <numFmt numFmtId="189" formatCode="\$#,##0\ ;\(\$#,##0\)"/>
    <numFmt numFmtId="190" formatCode="[$$-500A]\ #,##0.00"/>
    <numFmt numFmtId="191" formatCode="_([$$-240A]\ * #,##0.00_);_([$$-240A]\ * \(#,##0.00\);_([$$-240A]\ * &quot;-&quot;??_);_(@_)"/>
    <numFmt numFmtId="192" formatCode="_ &quot;$&quot;\ * #,##0_ ;_ &quot;$&quot;\ * \-#,##0_ ;_ &quot;$&quot;\ * &quot;-&quot;_ ;_ @_ "/>
    <numFmt numFmtId="193" formatCode="0.0"/>
    <numFmt numFmtId="194" formatCode="dddd\-dd\-mmmm"/>
    <numFmt numFmtId="195" formatCode="0&quot; LOTES&quot;"/>
    <numFmt numFmtId="196" formatCode="&quot;No. &quot;0"/>
    <numFmt numFmtId="197" formatCode="&quot;MODULO No. &quot;0&quot;→→&quot;"/>
    <numFmt numFmtId="198" formatCode="_-* #,##0\ _P_t_s_-;\-* #,##0\ _P_t_s_-;_-* &quot;-&quot;??\ _P_t_s_-;_-@_-"/>
    <numFmt numFmtId="199" formatCode="_(* #,##0_);_(* \(#,##0\);_(* &quot;-&quot;??_);_(@_)"/>
    <numFmt numFmtId="200" formatCode="0.000000000000000E+00"/>
    <numFmt numFmtId="201" formatCode="_([$$-240A]\ * #,##0.0000000_);_([$$-240A]\ * \(#,##0.0000000\);_([$$-240A]\ * &quot;-&quot;??_);_(@_)"/>
    <numFmt numFmtId="202" formatCode="_-[$$-240A]\ * #,##0.0000000_-;\-[$$-240A]\ * #,##0.0000000_-;_-[$$-240A]\ * &quot;-&quot;???????_-;_-@_-"/>
    <numFmt numFmtId="203" formatCode="&quot;$&quot;\ #,##0.00_);[Red]\(&quot;$&quot;\ #,##0.00\)"/>
  </numFmts>
  <fonts count="69" x14ac:knownFonts="1">
    <font>
      <sz val="10"/>
      <name val="Arial"/>
    </font>
    <font>
      <sz val="10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b/>
      <sz val="9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10"/>
      <name val="Arial"/>
      <family val="2"/>
    </font>
    <font>
      <i/>
      <sz val="8"/>
      <name val="Arial"/>
      <family val="2"/>
    </font>
    <font>
      <u/>
      <sz val="10"/>
      <color indexed="12"/>
      <name val="Arial"/>
      <family val="2"/>
    </font>
    <font>
      <b/>
      <sz val="7"/>
      <name val="Arial"/>
      <family val="2"/>
    </font>
    <font>
      <b/>
      <sz val="11"/>
      <name val="Arial"/>
      <family val="2"/>
    </font>
    <font>
      <b/>
      <sz val="10"/>
      <color indexed="8"/>
      <name val="Arial"/>
      <family val="2"/>
    </font>
    <font>
      <b/>
      <vertAlign val="subscript"/>
      <sz val="12"/>
      <name val="Arial"/>
      <family val="2"/>
    </font>
    <font>
      <b/>
      <sz val="12"/>
      <name val="Times New Roman"/>
      <family val="1"/>
    </font>
    <font>
      <b/>
      <sz val="16"/>
      <name val="Times New Roman"/>
      <family val="1"/>
    </font>
    <font>
      <sz val="10"/>
      <name val="Times New Roman"/>
      <family val="1"/>
    </font>
    <font>
      <b/>
      <i/>
      <sz val="8"/>
      <name val="Arial"/>
      <family val="2"/>
    </font>
    <font>
      <sz val="14"/>
      <name val="Arial"/>
      <family val="2"/>
    </font>
    <font>
      <b/>
      <sz val="14"/>
      <name val="Times New Roman"/>
      <family val="1"/>
    </font>
    <font>
      <sz val="22"/>
      <name val="Arial"/>
      <family val="2"/>
    </font>
    <font>
      <b/>
      <sz val="18"/>
      <name val="Times New Roman"/>
      <family val="1"/>
    </font>
    <font>
      <b/>
      <sz val="15"/>
      <name val="Times New Roman"/>
      <family val="1"/>
    </font>
    <font>
      <sz val="9"/>
      <name val="Arial"/>
      <family val="2"/>
    </font>
    <font>
      <sz val="10"/>
      <color indexed="8"/>
      <name val="Arial"/>
      <family val="2"/>
    </font>
    <font>
      <b/>
      <sz val="8"/>
      <color indexed="12"/>
      <name val="Arial"/>
      <family val="2"/>
    </font>
    <font>
      <b/>
      <i/>
      <sz val="10"/>
      <name val="Arial"/>
      <family val="2"/>
    </font>
    <font>
      <b/>
      <sz val="16"/>
      <name val="Arial"/>
      <family val="2"/>
    </font>
    <font>
      <b/>
      <sz val="20"/>
      <name val="Arial"/>
      <family val="2"/>
    </font>
    <font>
      <b/>
      <i/>
      <sz val="9"/>
      <name val="Arial"/>
      <family val="2"/>
    </font>
    <font>
      <sz val="11"/>
      <color indexed="8"/>
      <name val="Calibri"/>
      <family val="2"/>
    </font>
    <font>
      <b/>
      <sz val="11"/>
      <color indexed="8"/>
      <name val="Calibri"/>
      <family val="2"/>
    </font>
    <font>
      <b/>
      <sz val="9"/>
      <color indexed="9"/>
      <name val="Arial"/>
      <family val="2"/>
    </font>
    <font>
      <sz val="8"/>
      <name val="Arial"/>
      <family val="2"/>
    </font>
    <font>
      <sz val="10"/>
      <color indexed="10"/>
      <name val="Arial"/>
      <family val="2"/>
    </font>
    <font>
      <b/>
      <sz val="5"/>
      <name val="Arial"/>
      <family val="2"/>
    </font>
    <font>
      <sz val="1"/>
      <color indexed="8"/>
      <name val="Courier"/>
      <family val="3"/>
    </font>
    <font>
      <i/>
      <sz val="1"/>
      <color indexed="8"/>
      <name val="Courier"/>
      <family val="3"/>
    </font>
    <font>
      <b/>
      <sz val="11"/>
      <color indexed="10"/>
      <name val="Arial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9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sz val="10"/>
      <color indexed="24"/>
      <name val="Arial"/>
      <family val="2"/>
    </font>
    <font>
      <b/>
      <sz val="18"/>
      <color indexed="24"/>
      <name val="Arial"/>
      <family val="2"/>
    </font>
    <font>
      <b/>
      <sz val="12"/>
      <color indexed="24"/>
      <name val="Arial"/>
      <family val="2"/>
    </font>
    <font>
      <sz val="10"/>
      <name val="Arial"/>
      <family val="2"/>
    </font>
    <font>
      <b/>
      <sz val="8"/>
      <name val="MS Sans Serif"/>
      <family val="2"/>
    </font>
    <font>
      <b/>
      <sz val="11"/>
      <color indexed="10"/>
      <name val="Calibri"/>
      <family val="2"/>
    </font>
    <font>
      <b/>
      <sz val="11"/>
      <color indexed="62"/>
      <name val="Calibri"/>
      <family val="2"/>
    </font>
    <font>
      <sz val="11"/>
      <color indexed="19"/>
      <name val="Calibri"/>
      <family val="2"/>
    </font>
    <font>
      <b/>
      <sz val="8"/>
      <name val="MS Sans Serif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8"/>
      <color indexed="62"/>
      <name val="Cambria"/>
      <family val="2"/>
    </font>
    <font>
      <sz val="11"/>
      <color theme="1"/>
      <name val="Calibri"/>
      <family val="2"/>
      <scheme val="minor"/>
    </font>
    <font>
      <u/>
      <sz val="7.5"/>
      <color theme="10"/>
      <name val="Arial"/>
      <family val="2"/>
    </font>
    <font>
      <sz val="5"/>
      <color theme="0"/>
      <name val="Arial"/>
      <family val="2"/>
    </font>
    <font>
      <b/>
      <sz val="10"/>
      <color theme="0"/>
      <name val="Arial"/>
      <family val="2"/>
    </font>
    <font>
      <b/>
      <sz val="11"/>
      <color theme="0"/>
      <name val="Arial"/>
      <family val="2"/>
    </font>
    <font>
      <sz val="10"/>
      <color theme="0"/>
      <name val="Arial"/>
      <family val="2"/>
    </font>
    <font>
      <sz val="10"/>
      <color rgb="FFFF0000"/>
      <name val="Arial"/>
      <family val="2"/>
    </font>
    <font>
      <b/>
      <sz val="24"/>
      <name val="Arial"/>
      <family val="2"/>
    </font>
    <font>
      <b/>
      <vertAlign val="subscript"/>
      <sz val="10"/>
      <name val="Arial"/>
      <family val="2"/>
    </font>
  </fonts>
  <fills count="30">
    <fill>
      <patternFill patternType="none"/>
    </fill>
    <fill>
      <patternFill patternType="gray125"/>
    </fill>
    <fill>
      <patternFill patternType="solid">
        <fgColor indexed="44"/>
      </patternFill>
    </fill>
    <fill>
      <patternFill patternType="solid">
        <fgColor indexed="45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51"/>
      </patternFill>
    </fill>
    <fill>
      <patternFill patternType="solid">
        <fgColor indexed="53"/>
      </patternFill>
    </fill>
    <fill>
      <patternFill patternType="solid">
        <fgColor indexed="49"/>
      </patternFill>
    </fill>
    <fill>
      <patternFill patternType="solid">
        <fgColor indexed="9"/>
      </patternFill>
    </fill>
    <fill>
      <patternFill patternType="solid">
        <fgColor indexed="55"/>
      </patternFill>
    </fill>
    <fill>
      <patternFill patternType="solid">
        <fgColor indexed="56"/>
      </patternFill>
    </fill>
    <fill>
      <patternFill patternType="solid">
        <fgColor indexed="10"/>
      </patternFill>
    </fill>
    <fill>
      <patternFill patternType="solid">
        <fgColor indexed="54"/>
      </patternFill>
    </fill>
    <fill>
      <patternFill patternType="solid">
        <fgColor indexed="9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644646"/>
        <bgColor rgb="FF000000"/>
      </patternFill>
    </fill>
    <fill>
      <patternFill patternType="solid">
        <fgColor rgb="FF644646"/>
        <bgColor indexed="64"/>
      </patternFill>
    </fill>
    <fill>
      <patternFill patternType="solid">
        <fgColor rgb="FFC8BEBE"/>
        <bgColor indexed="64"/>
      </patternFill>
    </fill>
    <fill>
      <patternFill patternType="solid">
        <fgColor rgb="FFC8BEBE"/>
        <bgColor rgb="FF000000"/>
      </patternFill>
    </fill>
  </fills>
  <borders count="17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1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 style="medium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dotted">
        <color indexed="64"/>
      </bottom>
      <diagonal/>
    </border>
    <border>
      <left style="double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uble">
        <color indexed="64"/>
      </right>
      <top style="dotted">
        <color indexed="64"/>
      </top>
      <bottom style="dotted">
        <color indexed="64"/>
      </bottom>
      <diagonal/>
    </border>
    <border>
      <left style="double">
        <color indexed="64"/>
      </left>
      <right style="thin">
        <color indexed="64"/>
      </right>
      <top style="dotted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tted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double">
        <color indexed="64"/>
      </right>
      <top style="dotted">
        <color indexed="64"/>
      </top>
      <bottom/>
      <diagonal/>
    </border>
    <border>
      <left style="thin">
        <color indexed="64"/>
      </left>
      <right style="double">
        <color indexed="64"/>
      </right>
      <top/>
      <bottom style="dotted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dotted">
        <color indexed="64"/>
      </bottom>
      <diagonal/>
    </border>
    <border>
      <left style="double">
        <color indexed="64"/>
      </left>
      <right style="double">
        <color indexed="64"/>
      </right>
      <top/>
      <bottom style="dotted">
        <color indexed="64"/>
      </bottom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ashed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ashed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/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medium">
        <color indexed="64"/>
      </left>
      <right style="dashed">
        <color indexed="64"/>
      </right>
      <top style="dashed">
        <color indexed="64"/>
      </top>
      <bottom/>
      <diagonal/>
    </border>
    <border>
      <left style="dashed">
        <color indexed="64"/>
      </left>
      <right style="dashed">
        <color indexed="64"/>
      </right>
      <top style="dashed">
        <color indexed="64"/>
      </top>
      <bottom/>
      <diagonal/>
    </border>
    <border>
      <left style="dashed">
        <color indexed="64"/>
      </left>
      <right/>
      <top style="dashed">
        <color indexed="64"/>
      </top>
      <bottom/>
      <diagonal/>
    </border>
    <border>
      <left style="medium">
        <color indexed="64"/>
      </left>
      <right/>
      <top style="dashed">
        <color indexed="64"/>
      </top>
      <bottom style="dashed">
        <color indexed="64"/>
      </bottom>
      <diagonal/>
    </border>
    <border>
      <left/>
      <right/>
      <top style="dashed">
        <color indexed="64"/>
      </top>
      <bottom style="dashed">
        <color indexed="64"/>
      </bottom>
      <diagonal/>
    </border>
    <border>
      <left/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tted">
        <color indexed="64"/>
      </bottom>
      <diagonal/>
    </border>
    <border>
      <left/>
      <right style="thin">
        <color indexed="64"/>
      </right>
      <top style="medium">
        <color indexed="64"/>
      </top>
      <bottom style="dotted">
        <color indexed="64"/>
      </bottom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uble">
        <color indexed="64"/>
      </left>
      <right/>
      <top/>
      <bottom style="medium">
        <color indexed="64"/>
      </bottom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medium">
        <color indexed="64"/>
      </bottom>
      <diagonal/>
    </border>
    <border>
      <left/>
      <right style="thin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</borders>
  <cellStyleXfs count="238">
    <xf numFmtId="0" fontId="0" fillId="0" borderId="0"/>
    <xf numFmtId="0" fontId="31" fillId="2" borderId="0" applyNumberFormat="0" applyBorder="0" applyAlignment="0" applyProtection="0"/>
    <xf numFmtId="0" fontId="31" fillId="4" borderId="0" applyNumberFormat="0" applyBorder="0" applyAlignment="0" applyProtection="0"/>
    <xf numFmtId="0" fontId="31" fillId="5" borderId="0" applyNumberFormat="0" applyBorder="0" applyAlignment="0" applyProtection="0"/>
    <xf numFmtId="0" fontId="31" fillId="7" borderId="0" applyNumberFormat="0" applyBorder="0" applyAlignment="0" applyProtection="0"/>
    <xf numFmtId="0" fontId="31" fillId="8" borderId="0" applyNumberFormat="0" applyBorder="0" applyAlignment="0" applyProtection="0"/>
    <xf numFmtId="0" fontId="31" fillId="5" borderId="0" applyNumberFormat="0" applyBorder="0" applyAlignment="0" applyProtection="0"/>
    <xf numFmtId="0" fontId="31" fillId="8" borderId="0" applyNumberFormat="0" applyBorder="0" applyAlignment="0" applyProtection="0"/>
    <xf numFmtId="0" fontId="31" fillId="4" borderId="0" applyNumberFormat="0" applyBorder="0" applyAlignment="0" applyProtection="0"/>
    <xf numFmtId="0" fontId="31" fillId="9" borderId="0" applyNumberFormat="0" applyBorder="0" applyAlignment="0" applyProtection="0"/>
    <xf numFmtId="0" fontId="31" fillId="3" borderId="0" applyNumberFormat="0" applyBorder="0" applyAlignment="0" applyProtection="0"/>
    <xf numFmtId="0" fontId="31" fillId="8" borderId="0" applyNumberFormat="0" applyBorder="0" applyAlignment="0" applyProtection="0"/>
    <xf numFmtId="0" fontId="31" fillId="5" borderId="0" applyNumberFormat="0" applyBorder="0" applyAlignment="0" applyProtection="0"/>
    <xf numFmtId="0" fontId="40" fillId="8" borderId="0" applyNumberFormat="0" applyBorder="0" applyAlignment="0" applyProtection="0"/>
    <xf numFmtId="0" fontId="40" fillId="11" borderId="0" applyNumberFormat="0" applyBorder="0" applyAlignment="0" applyProtection="0"/>
    <xf numFmtId="0" fontId="40" fillId="10" borderId="0" applyNumberFormat="0" applyBorder="0" applyAlignment="0" applyProtection="0"/>
    <xf numFmtId="0" fontId="40" fillId="3" borderId="0" applyNumberFormat="0" applyBorder="0" applyAlignment="0" applyProtection="0"/>
    <xf numFmtId="0" fontId="40" fillId="8" borderId="0" applyNumberFormat="0" applyBorder="0" applyAlignment="0" applyProtection="0"/>
    <xf numFmtId="0" fontId="40" fillId="4" borderId="0" applyNumberFormat="0" applyBorder="0" applyAlignment="0" applyProtection="0"/>
    <xf numFmtId="0" fontId="41" fillId="8" borderId="0" applyNumberFormat="0" applyBorder="0" applyAlignment="0" applyProtection="0"/>
    <xf numFmtId="0" fontId="53" fillId="13" borderId="1" applyNumberFormat="0" applyAlignment="0" applyProtection="0"/>
    <xf numFmtId="0" fontId="42" fillId="14" borderId="2" applyNumberFormat="0" applyAlignment="0" applyProtection="0"/>
    <xf numFmtId="0" fontId="46" fillId="0" borderId="3" applyNumberFormat="0" applyFill="0" applyAlignment="0" applyProtection="0"/>
    <xf numFmtId="165" fontId="1" fillId="0" borderId="0" applyFont="0" applyFill="0" applyBorder="0" applyAlignment="0" applyProtection="0"/>
    <xf numFmtId="3" fontId="48" fillId="0" borderId="0" applyFont="0" applyFill="0" applyBorder="0" applyAlignment="0" applyProtection="0"/>
    <xf numFmtId="189" fontId="48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4" fillId="0" borderId="0" applyNumberFormat="0" applyFill="0" applyBorder="0" applyAlignment="0" applyProtection="0"/>
    <xf numFmtId="0" fontId="40" fillId="15" borderId="0" applyNumberFormat="0" applyBorder="0" applyAlignment="0" applyProtection="0"/>
    <xf numFmtId="0" fontId="40" fillId="11" borderId="0" applyNumberFormat="0" applyBorder="0" applyAlignment="0" applyProtection="0"/>
    <xf numFmtId="0" fontId="40" fillId="10" borderId="0" applyNumberFormat="0" applyBorder="0" applyAlignment="0" applyProtection="0"/>
    <xf numFmtId="0" fontId="40" fillId="17" borderId="0" applyNumberFormat="0" applyBorder="0" applyAlignment="0" applyProtection="0"/>
    <xf numFmtId="0" fontId="40" fillId="12" borderId="0" applyNumberFormat="0" applyBorder="0" applyAlignment="0" applyProtection="0"/>
    <xf numFmtId="0" fontId="40" fillId="16" borderId="0" applyNumberFormat="0" applyBorder="0" applyAlignment="0" applyProtection="0"/>
    <xf numFmtId="0" fontId="43" fillId="9" borderId="1" applyNumberFormat="0" applyAlignment="0" applyProtection="0"/>
    <xf numFmtId="0" fontId="25" fillId="0" borderId="0">
      <alignment vertical="top"/>
    </xf>
    <xf numFmtId="182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187" fontId="1" fillId="0" borderId="0" applyFont="0" applyFill="0" applyBorder="0" applyAlignment="0" applyProtection="0"/>
    <xf numFmtId="4" fontId="37" fillId="0" borderId="0">
      <protection locked="0"/>
    </xf>
    <xf numFmtId="4" fontId="37" fillId="0" borderId="0">
      <protection locked="0"/>
    </xf>
    <xf numFmtId="4" fontId="38" fillId="0" borderId="0">
      <protection locked="0"/>
    </xf>
    <xf numFmtId="4" fontId="37" fillId="0" borderId="0">
      <protection locked="0"/>
    </xf>
    <xf numFmtId="4" fontId="37" fillId="0" borderId="0">
      <protection locked="0"/>
    </xf>
    <xf numFmtId="4" fontId="37" fillId="0" borderId="0">
      <protection locked="0"/>
    </xf>
    <xf numFmtId="4" fontId="38" fillId="0" borderId="0">
      <protection locked="0"/>
    </xf>
    <xf numFmtId="2" fontId="48" fillId="0" borderId="0" applyFont="0" applyFill="0" applyBorder="0" applyAlignment="0" applyProtection="0"/>
    <xf numFmtId="0" fontId="49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10" fillId="0" borderId="0" applyNumberFormat="0" applyFill="0" applyBorder="0" applyAlignment="0" applyProtection="0">
      <alignment vertical="top"/>
      <protection locked="0"/>
    </xf>
    <xf numFmtId="0" fontId="61" fillId="0" borderId="0" applyNumberFormat="0" applyFill="0" applyBorder="0" applyAlignment="0" applyProtection="0">
      <alignment vertical="top"/>
      <protection locked="0"/>
    </xf>
    <xf numFmtId="0" fontId="44" fillId="6" borderId="0" applyNumberFormat="0" applyBorder="0" applyAlignment="0" applyProtection="0"/>
    <xf numFmtId="175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172" fontId="51" fillId="0" borderId="0" applyFont="0" applyFill="0" applyBorder="0" applyAlignment="0" applyProtection="0"/>
    <xf numFmtId="17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167" fontId="8" fillId="0" borderId="0" applyFont="0" applyFill="0" applyBorder="0" applyAlignment="0" applyProtection="0"/>
    <xf numFmtId="172" fontId="1" fillId="0" borderId="0" applyFont="0" applyFill="0" applyBorder="0" applyAlignment="0" applyProtection="0"/>
    <xf numFmtId="0" fontId="1" fillId="0" borderId="0" applyFill="0" applyBorder="0" applyAlignment="0" applyProtection="0"/>
    <xf numFmtId="184" fontId="1" fillId="0" borderId="0" applyFont="0" applyFill="0" applyBorder="0" applyAlignment="0" applyProtection="0"/>
    <xf numFmtId="187" fontId="1" fillId="0" borderId="0" applyFont="0" applyFill="0" applyBorder="0" applyAlignment="0" applyProtection="0"/>
    <xf numFmtId="0" fontId="1" fillId="0" borderId="0" applyFill="0" applyBorder="0" applyAlignment="0" applyProtection="0"/>
    <xf numFmtId="43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186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75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86" fontId="1" fillId="0" borderId="0" applyFont="0" applyFill="0" applyBorder="0" applyAlignment="0" applyProtection="0"/>
    <xf numFmtId="190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0" fontId="60" fillId="0" borderId="0" applyFont="0" applyFill="0" applyBorder="0" applyAlignment="0" applyProtection="0"/>
    <xf numFmtId="164" fontId="5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55" fillId="9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6" fillId="0" borderId="0" applyAlignment="0">
      <alignment vertical="top" wrapText="1"/>
      <protection locked="0"/>
    </xf>
    <xf numFmtId="0" fontId="52" fillId="0" borderId="0" applyAlignment="0">
      <alignment vertical="top" wrapText="1"/>
      <protection locked="0"/>
    </xf>
    <xf numFmtId="0" fontId="60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0" fillId="0" borderId="0"/>
    <xf numFmtId="0" fontId="1" fillId="0" borderId="0"/>
    <xf numFmtId="0" fontId="31" fillId="0" borderId="0"/>
    <xf numFmtId="0" fontId="1" fillId="0" borderId="0"/>
    <xf numFmtId="0" fontId="31" fillId="0" borderId="0"/>
    <xf numFmtId="0" fontId="1" fillId="0" borderId="0"/>
    <xf numFmtId="0" fontId="1" fillId="0" borderId="0"/>
    <xf numFmtId="0" fontId="60" fillId="0" borderId="0"/>
    <xf numFmtId="0" fontId="6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5" borderId="4" applyNumberFormat="0" applyFont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5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60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45" fillId="13" borderId="5" applyNumberFormat="0" applyAlignment="0" applyProtection="0"/>
    <xf numFmtId="0" fontId="46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57" fillId="0" borderId="6" applyNumberFormat="0" applyFill="0" applyAlignment="0" applyProtection="0"/>
    <xf numFmtId="0" fontId="58" fillId="0" borderId="7" applyNumberFormat="0" applyFill="0" applyAlignment="0" applyProtection="0"/>
    <xf numFmtId="0" fontId="54" fillId="0" borderId="8" applyNumberFormat="0" applyFill="0" applyAlignment="0" applyProtection="0"/>
    <xf numFmtId="0" fontId="59" fillId="0" borderId="0" applyNumberFormat="0" applyFill="0" applyBorder="0" applyAlignment="0" applyProtection="0"/>
    <xf numFmtId="0" fontId="32" fillId="0" borderId="9" applyNumberFormat="0" applyFill="0" applyAlignment="0" applyProtection="0"/>
    <xf numFmtId="188" fontId="1" fillId="0" borderId="0" applyFont="0" applyFill="0" applyBorder="0" applyAlignment="0" applyProtection="0"/>
    <xf numFmtId="0" fontId="1" fillId="0" borderId="0"/>
    <xf numFmtId="17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192" fontId="1" fillId="0" borderId="0" applyFont="0" applyFill="0" applyBorder="0" applyAlignment="0" applyProtection="0"/>
  </cellStyleXfs>
  <cellXfs count="551">
    <xf numFmtId="0" fontId="0" fillId="0" borderId="0" xfId="0"/>
    <xf numFmtId="0" fontId="2" fillId="0" borderId="0" xfId="0" applyFont="1" applyAlignment="1" applyProtection="1">
      <alignment horizontal="centerContinuous" vertical="center" wrapText="1"/>
      <protection hidden="1"/>
    </xf>
    <xf numFmtId="0" fontId="8" fillId="0" borderId="0" xfId="0" applyFont="1" applyProtection="1">
      <protection hidden="1"/>
    </xf>
    <xf numFmtId="0" fontId="8" fillId="0" borderId="0" xfId="0" applyFont="1" applyAlignment="1" applyProtection="1">
      <alignment horizontal="center" vertical="center"/>
      <protection hidden="1"/>
    </xf>
    <xf numFmtId="0" fontId="3" fillId="0" borderId="0" xfId="0" applyFont="1" applyAlignment="1" applyProtection="1">
      <alignment horizontal="centerContinuous" vertical="center" wrapText="1"/>
      <protection hidden="1"/>
    </xf>
    <xf numFmtId="0" fontId="4" fillId="0" borderId="0" xfId="0" applyFont="1" applyAlignment="1" applyProtection="1">
      <alignment horizontal="centerContinuous" vertical="center" wrapText="1"/>
      <protection hidden="1"/>
    </xf>
    <xf numFmtId="0" fontId="5" fillId="0" borderId="0" xfId="0" applyFont="1" applyAlignment="1" applyProtection="1">
      <alignment horizontal="centerContinuous" vertical="center" wrapText="1"/>
      <protection hidden="1"/>
    </xf>
    <xf numFmtId="1" fontId="7" fillId="0" borderId="10" xfId="0" applyNumberFormat="1" applyFont="1" applyBorder="1" applyAlignment="1" applyProtection="1">
      <alignment horizontal="center" vertical="center"/>
      <protection hidden="1"/>
    </xf>
    <xf numFmtId="0" fontId="7" fillId="0" borderId="11" xfId="0" applyFont="1" applyBorder="1" applyAlignment="1" applyProtection="1">
      <alignment horizontal="centerContinuous" vertical="center" wrapText="1"/>
      <protection hidden="1"/>
    </xf>
    <xf numFmtId="4" fontId="7" fillId="0" borderId="11" xfId="0" applyNumberFormat="1" applyFont="1" applyBorder="1" applyProtection="1">
      <protection hidden="1"/>
    </xf>
    <xf numFmtId="3" fontId="7" fillId="0" borderId="11" xfId="0" applyNumberFormat="1" applyFont="1" applyBorder="1" applyProtection="1">
      <protection hidden="1"/>
    </xf>
    <xf numFmtId="3" fontId="7" fillId="0" borderId="12" xfId="0" applyNumberFormat="1" applyFont="1" applyBorder="1" applyAlignment="1" applyProtection="1">
      <alignment horizontal="right"/>
      <protection hidden="1"/>
    </xf>
    <xf numFmtId="0" fontId="7" fillId="0" borderId="13" xfId="0" applyFont="1" applyBorder="1" applyProtection="1">
      <protection hidden="1"/>
    </xf>
    <xf numFmtId="0" fontId="6" fillId="0" borderId="13" xfId="0" applyFont="1" applyBorder="1" applyAlignment="1" applyProtection="1">
      <alignment horizontal="centerContinuous" vertical="center" wrapText="1"/>
      <protection hidden="1"/>
    </xf>
    <xf numFmtId="4" fontId="7" fillId="0" borderId="13" xfId="0" applyNumberFormat="1" applyFont="1" applyBorder="1" applyProtection="1">
      <protection hidden="1"/>
    </xf>
    <xf numFmtId="3" fontId="7" fillId="0" borderId="13" xfId="0" applyNumberFormat="1" applyFont="1" applyBorder="1" applyProtection="1">
      <protection hidden="1"/>
    </xf>
    <xf numFmtId="4" fontId="6" fillId="0" borderId="13" xfId="0" applyNumberFormat="1" applyFont="1" applyBorder="1" applyProtection="1">
      <protection hidden="1"/>
    </xf>
    <xf numFmtId="3" fontId="7" fillId="0" borderId="13" xfId="0" applyNumberFormat="1" applyFont="1" applyBorder="1" applyAlignment="1" applyProtection="1">
      <alignment horizontal="right"/>
      <protection hidden="1"/>
    </xf>
    <xf numFmtId="0" fontId="17" fillId="0" borderId="0" xfId="0" applyFont="1" applyProtection="1">
      <protection hidden="1"/>
    </xf>
    <xf numFmtId="0" fontId="17" fillId="0" borderId="0" xfId="0" applyFont="1" applyAlignment="1" applyProtection="1">
      <alignment horizontal="center" vertical="center"/>
      <protection hidden="1"/>
    </xf>
    <xf numFmtId="0" fontId="8" fillId="0" borderId="0" xfId="0" applyFont="1" applyAlignment="1" applyProtection="1">
      <alignment horizontal="center"/>
      <protection hidden="1"/>
    </xf>
    <xf numFmtId="0" fontId="19" fillId="0" borderId="14" xfId="0" applyFont="1" applyBorder="1" applyAlignment="1" applyProtection="1">
      <alignment horizontal="center" vertical="center"/>
      <protection hidden="1"/>
    </xf>
    <xf numFmtId="0" fontId="19" fillId="0" borderId="15" xfId="0" applyFont="1" applyBorder="1" applyProtection="1">
      <protection hidden="1"/>
    </xf>
    <xf numFmtId="0" fontId="19" fillId="0" borderId="16" xfId="0" applyFont="1" applyBorder="1" applyProtection="1">
      <protection hidden="1"/>
    </xf>
    <xf numFmtId="0" fontId="19" fillId="0" borderId="0" xfId="0" applyFont="1" applyProtection="1">
      <protection hidden="1"/>
    </xf>
    <xf numFmtId="0" fontId="20" fillId="0" borderId="0" xfId="0" applyFont="1" applyAlignment="1" applyProtection="1">
      <alignment horizontal="centerContinuous" vertical="center" wrapText="1"/>
      <protection locked="0"/>
    </xf>
    <xf numFmtId="2" fontId="7" fillId="0" borderId="17" xfId="0" applyNumberFormat="1" applyFont="1" applyBorder="1" applyProtection="1">
      <protection hidden="1"/>
    </xf>
    <xf numFmtId="0" fontId="2" fillId="18" borderId="0" xfId="193" applyFont="1" applyFill="1" applyAlignment="1">
      <alignment horizontal="centerContinuous" vertical="center" wrapText="1"/>
    </xf>
    <xf numFmtId="0" fontId="1" fillId="18" borderId="0" xfId="193" applyFill="1" applyAlignment="1">
      <alignment horizontal="left" vertical="top" wrapText="1"/>
    </xf>
    <xf numFmtId="0" fontId="1" fillId="18" borderId="0" xfId="193" applyFill="1" applyAlignment="1">
      <alignment wrapText="1"/>
    </xf>
    <xf numFmtId="0" fontId="1" fillId="18" borderId="0" xfId="193" applyFill="1"/>
    <xf numFmtId="0" fontId="3" fillId="18" borderId="0" xfId="193" applyFont="1" applyFill="1" applyAlignment="1">
      <alignment horizontal="centerContinuous" vertical="center" wrapText="1"/>
    </xf>
    <xf numFmtId="0" fontId="13" fillId="18" borderId="0" xfId="193" applyFont="1" applyFill="1" applyAlignment="1">
      <alignment horizontal="centerContinuous" vertical="center" wrapText="1"/>
    </xf>
    <xf numFmtId="0" fontId="1" fillId="18" borderId="0" xfId="193" applyFill="1" applyAlignment="1">
      <alignment horizontal="center" vertical="center"/>
    </xf>
    <xf numFmtId="0" fontId="1" fillId="18" borderId="21" xfId="193" applyFill="1" applyBorder="1" applyAlignment="1">
      <alignment horizontal="left" vertical="top" wrapText="1"/>
    </xf>
    <xf numFmtId="0" fontId="1" fillId="18" borderId="22" xfId="193" applyFill="1" applyBorder="1" applyAlignment="1">
      <alignment wrapText="1"/>
    </xf>
    <xf numFmtId="1" fontId="6" fillId="18" borderId="23" xfId="193" applyNumberFormat="1" applyFont="1" applyFill="1" applyBorder="1" applyAlignment="1">
      <alignment horizontal="left" vertical="center" wrapText="1"/>
    </xf>
    <xf numFmtId="3" fontId="6" fillId="0" borderId="24" xfId="193" applyNumberFormat="1" applyFont="1" applyBorder="1" applyAlignment="1">
      <alignment horizontal="center" vertical="center" wrapText="1"/>
    </xf>
    <xf numFmtId="10" fontId="4" fillId="18" borderId="21" xfId="193" applyNumberFormat="1" applyFont="1" applyFill="1" applyBorder="1" applyAlignment="1">
      <alignment horizontal="center" vertical="top" wrapText="1"/>
    </xf>
    <xf numFmtId="10" fontId="4" fillId="18" borderId="22" xfId="193" applyNumberFormat="1" applyFont="1" applyFill="1" applyBorder="1" applyAlignment="1">
      <alignment horizontal="center" vertical="top" wrapText="1"/>
    </xf>
    <xf numFmtId="1" fontId="7" fillId="18" borderId="25" xfId="193" applyNumberFormat="1" applyFont="1" applyFill="1" applyBorder="1" applyAlignment="1">
      <alignment horizontal="center" vertical="center"/>
    </xf>
    <xf numFmtId="1" fontId="6" fillId="18" borderId="13" xfId="193" applyNumberFormat="1" applyFont="1" applyFill="1" applyBorder="1" applyAlignment="1">
      <alignment horizontal="left" vertical="center"/>
    </xf>
    <xf numFmtId="3" fontId="6" fillId="18" borderId="13" xfId="193" applyNumberFormat="1" applyFont="1" applyFill="1" applyBorder="1" applyAlignment="1">
      <alignment horizontal="center"/>
    </xf>
    <xf numFmtId="1" fontId="7" fillId="18" borderId="26" xfId="193" applyNumberFormat="1" applyFont="1" applyFill="1" applyBorder="1" applyAlignment="1">
      <alignment horizontal="center" vertical="center"/>
    </xf>
    <xf numFmtId="0" fontId="7" fillId="18" borderId="0" xfId="193" applyFont="1" applyFill="1" applyAlignment="1">
      <alignment horizontal="centerContinuous" vertical="center" wrapText="1"/>
    </xf>
    <xf numFmtId="4" fontId="7" fillId="18" borderId="0" xfId="193" applyNumberFormat="1" applyFont="1" applyFill="1"/>
    <xf numFmtId="4" fontId="7" fillId="18" borderId="27" xfId="193" applyNumberFormat="1" applyFont="1" applyFill="1" applyBorder="1"/>
    <xf numFmtId="4" fontId="7" fillId="18" borderId="28" xfId="193" applyNumberFormat="1" applyFont="1" applyFill="1" applyBorder="1"/>
    <xf numFmtId="4" fontId="6" fillId="18" borderId="28" xfId="193" applyNumberFormat="1" applyFont="1" applyFill="1" applyBorder="1"/>
    <xf numFmtId="4" fontId="7" fillId="18" borderId="29" xfId="193" applyNumberFormat="1" applyFont="1" applyFill="1" applyBorder="1"/>
    <xf numFmtId="10" fontId="1" fillId="18" borderId="0" xfId="193" applyNumberFormat="1" applyFill="1"/>
    <xf numFmtId="0" fontId="6" fillId="18" borderId="13" xfId="193" applyFont="1" applyFill="1" applyBorder="1" applyAlignment="1">
      <alignment horizontal="center" vertical="center"/>
    </xf>
    <xf numFmtId="1" fontId="2" fillId="0" borderId="0" xfId="193" applyNumberFormat="1" applyFont="1" applyAlignment="1">
      <alignment horizontal="centerContinuous" vertical="center" wrapText="1"/>
    </xf>
    <xf numFmtId="1" fontId="15" fillId="0" borderId="0" xfId="193" applyNumberFormat="1" applyFont="1" applyAlignment="1">
      <alignment horizontal="centerContinuous" vertical="center" wrapText="1"/>
    </xf>
    <xf numFmtId="1" fontId="4" fillId="0" borderId="0" xfId="193" applyNumberFormat="1" applyFont="1" applyAlignment="1">
      <alignment horizontal="centerContinuous" vertical="center" wrapText="1"/>
    </xf>
    <xf numFmtId="0" fontId="4" fillId="0" borderId="0" xfId="193" applyFont="1" applyAlignment="1">
      <alignment horizontal="centerContinuous" vertical="center"/>
    </xf>
    <xf numFmtId="1" fontId="20" fillId="0" borderId="0" xfId="193" applyNumberFormat="1" applyFont="1" applyAlignment="1">
      <alignment horizontal="centerContinuous" vertical="center" wrapText="1"/>
    </xf>
    <xf numFmtId="0" fontId="6" fillId="0" borderId="30" xfId="0" applyFont="1" applyBorder="1" applyAlignment="1" applyProtection="1">
      <alignment horizontal="centerContinuous"/>
      <protection hidden="1"/>
    </xf>
    <xf numFmtId="0" fontId="6" fillId="0" borderId="13" xfId="0" applyFont="1" applyBorder="1" applyAlignment="1" applyProtection="1">
      <alignment horizontal="center" vertical="center"/>
      <protection hidden="1"/>
    </xf>
    <xf numFmtId="0" fontId="4" fillId="0" borderId="31" xfId="182" applyFont="1" applyBorder="1" applyAlignment="1" applyProtection="1">
      <alignment horizontal="center"/>
      <protection hidden="1"/>
    </xf>
    <xf numFmtId="0" fontId="4" fillId="0" borderId="32" xfId="182" applyFont="1" applyBorder="1" applyAlignment="1" applyProtection="1">
      <alignment horizontal="center"/>
      <protection hidden="1"/>
    </xf>
    <xf numFmtId="0" fontId="4" fillId="0" borderId="16" xfId="182" applyFont="1" applyBorder="1" applyAlignment="1" applyProtection="1">
      <alignment horizontal="center"/>
      <protection hidden="1"/>
    </xf>
    <xf numFmtId="0" fontId="1" fillId="0" borderId="36" xfId="0" applyFont="1" applyBorder="1" applyAlignment="1" applyProtection="1">
      <alignment horizontal="center"/>
      <protection hidden="1"/>
    </xf>
    <xf numFmtId="1" fontId="6" fillId="0" borderId="37" xfId="0" applyNumberFormat="1" applyFont="1" applyBorder="1" applyAlignment="1" applyProtection="1">
      <alignment horizontal="center" vertical="center"/>
      <protection hidden="1"/>
    </xf>
    <xf numFmtId="0" fontId="6" fillId="19" borderId="38" xfId="0" applyFont="1" applyFill="1" applyBorder="1" applyAlignment="1" applyProtection="1">
      <alignment horizontal="center" vertical="center" wrapText="1"/>
      <protection locked="0"/>
    </xf>
    <xf numFmtId="0" fontId="32" fillId="19" borderId="39" xfId="200" applyFont="1" applyFill="1" applyBorder="1" applyAlignment="1">
      <alignment horizontal="center" vertical="center"/>
    </xf>
    <xf numFmtId="0" fontId="27" fillId="20" borderId="40" xfId="182" applyFont="1" applyFill="1" applyBorder="1"/>
    <xf numFmtId="0" fontId="27" fillId="20" borderId="41" xfId="182" applyFont="1" applyFill="1" applyBorder="1"/>
    <xf numFmtId="0" fontId="1" fillId="0" borderId="42" xfId="182" applyBorder="1"/>
    <xf numFmtId="0" fontId="27" fillId="20" borderId="43" xfId="182" applyFont="1" applyFill="1" applyBorder="1"/>
    <xf numFmtId="0" fontId="1" fillId="0" borderId="44" xfId="182" applyBorder="1"/>
    <xf numFmtId="0" fontId="27" fillId="20" borderId="45" xfId="182" applyFont="1" applyFill="1" applyBorder="1"/>
    <xf numFmtId="0" fontId="1" fillId="0" borderId="46" xfId="182" applyBorder="1"/>
    <xf numFmtId="0" fontId="1" fillId="0" borderId="47" xfId="182" applyBorder="1"/>
    <xf numFmtId="0" fontId="4" fillId="0" borderId="0" xfId="193" applyFont="1" applyAlignment="1">
      <alignment horizontal="centerContinuous" vertical="center" wrapText="1"/>
    </xf>
    <xf numFmtId="1" fontId="3" fillId="18" borderId="0" xfId="193" applyNumberFormat="1" applyFont="1" applyFill="1" applyAlignment="1">
      <alignment horizontal="centerContinuous" vertical="center" wrapText="1"/>
    </xf>
    <xf numFmtId="0" fontId="5" fillId="0" borderId="52" xfId="193" applyFont="1" applyBorder="1" applyAlignment="1">
      <alignment horizontal="center"/>
    </xf>
    <xf numFmtId="0" fontId="30" fillId="0" borderId="53" xfId="193" applyFont="1" applyBorder="1" applyAlignment="1">
      <alignment horizontal="center" vertical="center"/>
    </xf>
    <xf numFmtId="3" fontId="5" fillId="0" borderId="54" xfId="193" applyNumberFormat="1" applyFont="1" applyBorder="1" applyAlignment="1">
      <alignment horizontal="center" vertical="center"/>
    </xf>
    <xf numFmtId="0" fontId="5" fillId="0" borderId="52" xfId="193" applyFont="1" applyBorder="1" applyAlignment="1">
      <alignment horizontal="center" vertical="center"/>
    </xf>
    <xf numFmtId="0" fontId="5" fillId="18" borderId="26" xfId="193" applyFont="1" applyFill="1" applyBorder="1" applyAlignment="1">
      <alignment horizontal="center"/>
    </xf>
    <xf numFmtId="3" fontId="5" fillId="18" borderId="53" xfId="193" applyNumberFormat="1" applyFont="1" applyFill="1" applyBorder="1" applyAlignment="1">
      <alignment horizontal="center" vertical="center"/>
    </xf>
    <xf numFmtId="0" fontId="33" fillId="18" borderId="53" xfId="193" applyFont="1" applyFill="1" applyBorder="1" applyAlignment="1">
      <alignment horizontal="center" vertical="center"/>
    </xf>
    <xf numFmtId="0" fontId="5" fillId="18" borderId="52" xfId="193" applyFont="1" applyFill="1" applyBorder="1" applyAlignment="1">
      <alignment horizontal="center"/>
    </xf>
    <xf numFmtId="0" fontId="30" fillId="18" borderId="55" xfId="193" applyFont="1" applyFill="1" applyBorder="1" applyAlignment="1">
      <alignment horizontal="center" vertical="center"/>
    </xf>
    <xf numFmtId="167" fontId="5" fillId="18" borderId="54" xfId="148" applyNumberFormat="1" applyFont="1" applyFill="1" applyBorder="1" applyAlignment="1" applyProtection="1">
      <alignment vertical="center"/>
      <protection locked="0"/>
    </xf>
    <xf numFmtId="0" fontId="30" fillId="18" borderId="53" xfId="193" applyFont="1" applyFill="1" applyBorder="1" applyAlignment="1">
      <alignment horizontal="center" vertical="center"/>
    </xf>
    <xf numFmtId="167" fontId="5" fillId="18" borderId="53" xfId="148" applyNumberFormat="1" applyFont="1" applyFill="1" applyBorder="1" applyAlignment="1">
      <alignment vertical="center"/>
    </xf>
    <xf numFmtId="0" fontId="5" fillId="0" borderId="55" xfId="193" applyFont="1" applyBorder="1" applyAlignment="1">
      <alignment horizontal="center" vertical="center"/>
    </xf>
    <xf numFmtId="0" fontId="33" fillId="18" borderId="55" xfId="193" applyFont="1" applyFill="1" applyBorder="1" applyAlignment="1">
      <alignment horizontal="center" vertical="center"/>
    </xf>
    <xf numFmtId="0" fontId="5" fillId="19" borderId="57" xfId="193" applyFont="1" applyFill="1" applyBorder="1" applyAlignment="1">
      <alignment horizontal="center" vertical="center" wrapText="1"/>
    </xf>
    <xf numFmtId="0" fontId="16" fillId="21" borderId="0" xfId="0" applyFont="1" applyFill="1" applyAlignment="1" applyProtection="1">
      <alignment horizontal="centerContinuous" vertical="center" wrapText="1"/>
      <protection hidden="1"/>
    </xf>
    <xf numFmtId="0" fontId="6" fillId="18" borderId="58" xfId="0" applyFont="1" applyFill="1" applyBorder="1" applyAlignment="1" applyProtection="1">
      <alignment horizontal="center"/>
      <protection hidden="1"/>
    </xf>
    <xf numFmtId="0" fontId="9" fillId="18" borderId="59" xfId="0" applyFont="1" applyFill="1" applyBorder="1" applyAlignment="1" applyProtection="1">
      <alignment horizontal="center" vertical="center"/>
      <protection hidden="1"/>
    </xf>
    <xf numFmtId="3" fontId="6" fillId="0" borderId="59" xfId="0" applyNumberFormat="1" applyFont="1" applyBorder="1" applyAlignment="1" applyProtection="1">
      <alignment horizontal="center" vertical="center"/>
      <protection hidden="1"/>
    </xf>
    <xf numFmtId="176" fontId="6" fillId="0" borderId="59" xfId="0" applyNumberFormat="1" applyFont="1" applyBorder="1" applyProtection="1">
      <protection hidden="1"/>
    </xf>
    <xf numFmtId="0" fontId="6" fillId="0" borderId="59" xfId="0" applyFont="1" applyBorder="1" applyAlignment="1" applyProtection="1">
      <alignment horizontal="center" vertical="center"/>
      <protection hidden="1"/>
    </xf>
    <xf numFmtId="0" fontId="6" fillId="0" borderId="60" xfId="0" applyFont="1" applyBorder="1" applyAlignment="1" applyProtection="1">
      <alignment horizontal="center" vertical="center"/>
      <protection hidden="1"/>
    </xf>
    <xf numFmtId="0" fontId="6" fillId="19" borderId="52" xfId="0" applyFont="1" applyFill="1" applyBorder="1" applyAlignment="1" applyProtection="1">
      <alignment horizontal="center"/>
      <protection hidden="1"/>
    </xf>
    <xf numFmtId="3" fontId="6" fillId="19" borderId="54" xfId="0" applyNumberFormat="1" applyFont="1" applyFill="1" applyBorder="1" applyAlignment="1" applyProtection="1">
      <alignment horizontal="center" vertical="center"/>
      <protection hidden="1"/>
    </xf>
    <xf numFmtId="176" fontId="6" fillId="19" borderId="53" xfId="0" applyNumberFormat="1" applyFont="1" applyFill="1" applyBorder="1" applyProtection="1">
      <protection hidden="1"/>
    </xf>
    <xf numFmtId="0" fontId="4" fillId="19" borderId="61" xfId="0" applyFont="1" applyFill="1" applyBorder="1" applyAlignment="1" applyProtection="1">
      <alignment horizontal="center"/>
      <protection hidden="1"/>
    </xf>
    <xf numFmtId="0" fontId="4" fillId="19" borderId="62" xfId="0" applyFont="1" applyFill="1" applyBorder="1" applyAlignment="1" applyProtection="1">
      <alignment horizontal="center"/>
      <protection hidden="1"/>
    </xf>
    <xf numFmtId="0" fontId="5" fillId="19" borderId="63" xfId="0" applyFont="1" applyFill="1" applyBorder="1" applyAlignment="1" applyProtection="1">
      <alignment horizontal="center"/>
      <protection hidden="1"/>
    </xf>
    <xf numFmtId="0" fontId="4" fillId="0" borderId="64" xfId="0" applyFont="1" applyBorder="1" applyAlignment="1" applyProtection="1">
      <alignment horizontal="center"/>
      <protection hidden="1"/>
    </xf>
    <xf numFmtId="0" fontId="4" fillId="0" borderId="65" xfId="0" applyFont="1" applyBorder="1" applyAlignment="1" applyProtection="1">
      <alignment horizontal="center"/>
      <protection hidden="1"/>
    </xf>
    <xf numFmtId="0" fontId="4" fillId="0" borderId="66" xfId="0" applyFont="1" applyBorder="1" applyAlignment="1" applyProtection="1">
      <alignment horizontal="center"/>
      <protection hidden="1"/>
    </xf>
    <xf numFmtId="2" fontId="6" fillId="0" borderId="67" xfId="0" applyNumberFormat="1" applyFont="1" applyBorder="1" applyAlignment="1" applyProtection="1">
      <alignment horizontal="center" vertical="center"/>
      <protection hidden="1"/>
    </xf>
    <xf numFmtId="1" fontId="6" fillId="0" borderId="68" xfId="0" applyNumberFormat="1" applyFont="1" applyBorder="1" applyAlignment="1" applyProtection="1">
      <alignment horizontal="center" vertical="center"/>
      <protection hidden="1"/>
    </xf>
    <xf numFmtId="3" fontId="6" fillId="0" borderId="69" xfId="0" applyNumberFormat="1" applyFont="1" applyBorder="1" applyAlignment="1" applyProtection="1">
      <alignment horizontal="center" vertical="center"/>
      <protection hidden="1"/>
    </xf>
    <xf numFmtId="177" fontId="6" fillId="0" borderId="69" xfId="0" applyNumberFormat="1" applyFont="1" applyBorder="1" applyAlignment="1" applyProtection="1">
      <alignment horizontal="center" vertical="center"/>
      <protection hidden="1"/>
    </xf>
    <xf numFmtId="4" fontId="26" fillId="0" borderId="69" xfId="0" applyNumberFormat="1" applyFont="1" applyBorder="1" applyAlignment="1" applyProtection="1">
      <alignment horizontal="center" vertical="center"/>
      <protection locked="0"/>
    </xf>
    <xf numFmtId="183" fontId="6" fillId="0" borderId="70" xfId="0" applyNumberFormat="1" applyFont="1" applyBorder="1" applyAlignment="1" applyProtection="1">
      <alignment horizontal="center" vertical="center"/>
      <protection hidden="1"/>
    </xf>
    <xf numFmtId="0" fontId="4" fillId="0" borderId="0" xfId="0" applyFont="1" applyAlignment="1" applyProtection="1">
      <alignment horizontal="center" vertical="center"/>
      <protection hidden="1"/>
    </xf>
    <xf numFmtId="180" fontId="2" fillId="0" borderId="71" xfId="0" applyNumberFormat="1" applyFont="1" applyBorder="1" applyAlignment="1" applyProtection="1">
      <alignment horizontal="center" vertical="center"/>
      <protection hidden="1"/>
    </xf>
    <xf numFmtId="4" fontId="2" fillId="0" borderId="72" xfId="0" applyNumberFormat="1" applyFont="1" applyBorder="1" applyAlignment="1" applyProtection="1">
      <alignment horizontal="right" vertical="center"/>
      <protection hidden="1"/>
    </xf>
    <xf numFmtId="0" fontId="18" fillId="19" borderId="53" xfId="0" applyFont="1" applyFill="1" applyBorder="1" applyAlignment="1" applyProtection="1">
      <alignment horizontal="center" vertical="center"/>
      <protection hidden="1"/>
    </xf>
    <xf numFmtId="0" fontId="6" fillId="19" borderId="74" xfId="0" applyFont="1" applyFill="1" applyBorder="1" applyAlignment="1" applyProtection="1">
      <alignment horizontal="center" vertical="center" wrapText="1"/>
      <protection locked="0"/>
    </xf>
    <xf numFmtId="0" fontId="6" fillId="19" borderId="38" xfId="0" applyFont="1" applyFill="1" applyBorder="1" applyAlignment="1" applyProtection="1">
      <alignment horizontal="center" vertical="center"/>
      <protection locked="0"/>
    </xf>
    <xf numFmtId="0" fontId="6" fillId="19" borderId="38" xfId="0" applyFont="1" applyFill="1" applyBorder="1" applyAlignment="1" applyProtection="1">
      <alignment horizontal="center" vertical="center"/>
      <protection hidden="1"/>
    </xf>
    <xf numFmtId="0" fontId="6" fillId="19" borderId="75" xfId="0" applyFont="1" applyFill="1" applyBorder="1" applyAlignment="1" applyProtection="1">
      <alignment horizontal="center" vertical="center"/>
      <protection hidden="1"/>
    </xf>
    <xf numFmtId="0" fontId="28" fillId="0" borderId="0" xfId="0" applyFont="1" applyAlignment="1" applyProtection="1">
      <alignment horizontal="centerContinuous" vertical="center"/>
      <protection hidden="1"/>
    </xf>
    <xf numFmtId="0" fontId="31" fillId="19" borderId="31" xfId="200" applyFont="1" applyFill="1" applyBorder="1" applyAlignment="1">
      <alignment horizontal="center" vertical="center"/>
    </xf>
    <xf numFmtId="0" fontId="1" fillId="0" borderId="76" xfId="182" applyBorder="1"/>
    <xf numFmtId="0" fontId="1" fillId="0" borderId="77" xfId="182" applyBorder="1"/>
    <xf numFmtId="0" fontId="1" fillId="0" borderId="78" xfId="182" applyBorder="1"/>
    <xf numFmtId="0" fontId="4" fillId="0" borderId="79" xfId="0" applyFont="1" applyBorder="1" applyAlignment="1" applyProtection="1">
      <alignment horizontal="center" vertical="center"/>
      <protection hidden="1"/>
    </xf>
    <xf numFmtId="0" fontId="4" fillId="0" borderId="80" xfId="0" applyFont="1" applyBorder="1" applyAlignment="1" applyProtection="1">
      <alignment horizontal="center" vertical="center"/>
      <protection hidden="1"/>
    </xf>
    <xf numFmtId="0" fontId="6" fillId="0" borderId="13" xfId="0" applyFont="1" applyBorder="1" applyAlignment="1" applyProtection="1">
      <alignment horizontal="centerContinuous"/>
      <protection hidden="1"/>
    </xf>
    <xf numFmtId="0" fontId="5" fillId="0" borderId="53" xfId="193" applyFont="1" applyBorder="1" applyAlignment="1">
      <alignment horizontal="center"/>
    </xf>
    <xf numFmtId="0" fontId="5" fillId="18" borderId="0" xfId="193" applyFont="1" applyFill="1" applyAlignment="1">
      <alignment horizontal="center"/>
    </xf>
    <xf numFmtId="0" fontId="5" fillId="18" borderId="53" xfId="193" applyFont="1" applyFill="1" applyBorder="1" applyAlignment="1">
      <alignment horizontal="center"/>
    </xf>
    <xf numFmtId="1" fontId="7" fillId="18" borderId="13" xfId="193" applyNumberFormat="1" applyFont="1" applyFill="1" applyBorder="1" applyAlignment="1">
      <alignment horizontal="center" vertical="center"/>
    </xf>
    <xf numFmtId="1" fontId="7" fillId="18" borderId="0" xfId="193" applyNumberFormat="1" applyFont="1" applyFill="1" applyAlignment="1">
      <alignment horizontal="center" vertical="center"/>
    </xf>
    <xf numFmtId="3" fontId="6" fillId="22" borderId="81" xfId="182" applyNumberFormat="1" applyFont="1" applyFill="1" applyBorder="1" applyAlignment="1" applyProtection="1">
      <alignment horizontal="right"/>
      <protection hidden="1"/>
    </xf>
    <xf numFmtId="3" fontId="6" fillId="20" borderId="21" xfId="182" applyNumberFormat="1" applyFont="1" applyFill="1" applyBorder="1" applyAlignment="1" applyProtection="1">
      <alignment horizontal="right"/>
      <protection hidden="1"/>
    </xf>
    <xf numFmtId="3" fontId="6" fillId="23" borderId="82" xfId="182" applyNumberFormat="1" applyFont="1" applyFill="1" applyBorder="1" applyAlignment="1" applyProtection="1">
      <alignment horizontal="right"/>
      <protection hidden="1"/>
    </xf>
    <xf numFmtId="0" fontId="4" fillId="0" borderId="83" xfId="182" applyFont="1" applyBorder="1" applyAlignment="1" applyProtection="1">
      <alignment horizontal="center"/>
      <protection hidden="1"/>
    </xf>
    <xf numFmtId="3" fontId="6" fillId="19" borderId="84" xfId="182" applyNumberFormat="1" applyFont="1" applyFill="1" applyBorder="1" applyAlignment="1" applyProtection="1">
      <alignment horizontal="right"/>
      <protection hidden="1"/>
    </xf>
    <xf numFmtId="0" fontId="6" fillId="19" borderId="53" xfId="0" applyFont="1" applyFill="1" applyBorder="1" applyAlignment="1" applyProtection="1">
      <alignment horizontal="center"/>
      <protection hidden="1"/>
    </xf>
    <xf numFmtId="0" fontId="6" fillId="18" borderId="59" xfId="0" applyFont="1" applyFill="1" applyBorder="1" applyAlignment="1" applyProtection="1">
      <alignment horizontal="center"/>
      <protection hidden="1"/>
    </xf>
    <xf numFmtId="1" fontId="6" fillId="0" borderId="85" xfId="0" applyNumberFormat="1" applyFont="1" applyBorder="1" applyAlignment="1" applyProtection="1">
      <alignment horizontal="center" vertical="center"/>
      <protection hidden="1"/>
    </xf>
    <xf numFmtId="1" fontId="7" fillId="0" borderId="11" xfId="0" applyNumberFormat="1" applyFont="1" applyBorder="1" applyAlignment="1" applyProtection="1">
      <alignment horizontal="center" vertical="center"/>
      <protection hidden="1"/>
    </xf>
    <xf numFmtId="1" fontId="6" fillId="18" borderId="23" xfId="193" applyNumberFormat="1" applyFont="1" applyFill="1" applyBorder="1" applyAlignment="1">
      <alignment horizontal="center" vertical="center" wrapText="1"/>
    </xf>
    <xf numFmtId="0" fontId="2" fillId="0" borderId="22" xfId="0" applyFont="1" applyBorder="1" applyAlignment="1" applyProtection="1">
      <alignment horizontal="left" vertical="center" wrapText="1"/>
      <protection hidden="1"/>
    </xf>
    <xf numFmtId="1" fontId="6" fillId="0" borderId="69" xfId="0" applyNumberFormat="1" applyFont="1" applyBorder="1" applyAlignment="1" applyProtection="1">
      <alignment horizontal="center" vertical="center" wrapText="1"/>
      <protection hidden="1"/>
    </xf>
    <xf numFmtId="0" fontId="5" fillId="0" borderId="53" xfId="193" applyFont="1" applyBorder="1" applyAlignment="1">
      <alignment horizontal="center" vertical="center"/>
    </xf>
    <xf numFmtId="0" fontId="35" fillId="18" borderId="0" xfId="193" applyFont="1" applyFill="1"/>
    <xf numFmtId="11" fontId="7" fillId="18" borderId="0" xfId="193" applyNumberFormat="1" applyFont="1" applyFill="1"/>
    <xf numFmtId="2" fontId="6" fillId="18" borderId="0" xfId="193" applyNumberFormat="1" applyFont="1" applyFill="1" applyAlignment="1">
      <alignment horizontal="center" vertical="center" wrapText="1"/>
    </xf>
    <xf numFmtId="0" fontId="1" fillId="0" borderId="0" xfId="193" applyAlignment="1">
      <alignment horizontal="left" vertical="top" wrapText="1"/>
    </xf>
    <xf numFmtId="0" fontId="1" fillId="0" borderId="0" xfId="193" applyAlignment="1">
      <alignment wrapText="1"/>
    </xf>
    <xf numFmtId="0" fontId="1" fillId="0" borderId="0" xfId="193"/>
    <xf numFmtId="10" fontId="4" fillId="0" borderId="0" xfId="193" applyNumberFormat="1" applyFont="1" applyAlignment="1">
      <alignment horizontal="center" vertical="top" wrapText="1"/>
    </xf>
    <xf numFmtId="3" fontId="5" fillId="0" borderId="52" xfId="193" applyNumberFormat="1" applyFont="1" applyBorder="1" applyAlignment="1">
      <alignment horizontal="center" vertical="center"/>
    </xf>
    <xf numFmtId="2" fontId="5" fillId="18" borderId="53" xfId="148" applyNumberFormat="1" applyFont="1" applyFill="1" applyBorder="1" applyAlignment="1" applyProtection="1">
      <alignment vertical="center"/>
      <protection locked="0"/>
    </xf>
    <xf numFmtId="4" fontId="7" fillId="18" borderId="13" xfId="193" applyNumberFormat="1" applyFont="1" applyFill="1" applyBorder="1"/>
    <xf numFmtId="2" fontId="6" fillId="18" borderId="19" xfId="193" applyNumberFormat="1" applyFont="1" applyFill="1" applyBorder="1" applyAlignment="1">
      <alignment horizontal="center" vertical="center" wrapText="1"/>
    </xf>
    <xf numFmtId="2" fontId="6" fillId="0" borderId="69" xfId="0" applyNumberFormat="1" applyFont="1" applyBorder="1" applyAlignment="1" applyProtection="1">
      <alignment horizontal="center" vertical="center"/>
      <protection hidden="1"/>
    </xf>
    <xf numFmtId="4" fontId="6" fillId="19" borderId="86" xfId="0" applyNumberFormat="1" applyFont="1" applyFill="1" applyBorder="1" applyAlignment="1" applyProtection="1">
      <alignment horizontal="center" vertical="center"/>
      <protection locked="0"/>
    </xf>
    <xf numFmtId="0" fontId="36" fillId="18" borderId="13" xfId="193" applyFont="1" applyFill="1" applyBorder="1" applyAlignment="1">
      <alignment horizontal="center" vertical="center"/>
    </xf>
    <xf numFmtId="4" fontId="6" fillId="18" borderId="19" xfId="193" applyNumberFormat="1" applyFont="1" applyFill="1" applyBorder="1" applyAlignment="1">
      <alignment horizontal="center" vertical="center" wrapText="1"/>
    </xf>
    <xf numFmtId="10" fontId="6" fillId="0" borderId="56" xfId="193" applyNumberFormat="1" applyFont="1" applyBorder="1" applyAlignment="1">
      <alignment horizontal="center" vertical="center" wrapText="1"/>
    </xf>
    <xf numFmtId="10" fontId="6" fillId="18" borderId="87" xfId="193" applyNumberFormat="1" applyFont="1" applyFill="1" applyBorder="1" applyAlignment="1">
      <alignment horizontal="center" vertical="center" wrapText="1"/>
    </xf>
    <xf numFmtId="10" fontId="6" fillId="18" borderId="0" xfId="193" applyNumberFormat="1" applyFont="1" applyFill="1" applyAlignment="1">
      <alignment horizontal="center" vertical="center" wrapText="1"/>
    </xf>
    <xf numFmtId="0" fontId="6" fillId="18" borderId="0" xfId="193" applyFont="1" applyFill="1" applyAlignment="1">
      <alignment horizontal="center" vertical="center"/>
    </xf>
    <xf numFmtId="4" fontId="6" fillId="0" borderId="67" xfId="0" applyNumberFormat="1" applyFont="1" applyBorder="1" applyAlignment="1" applyProtection="1">
      <alignment horizontal="center" vertical="center"/>
      <protection hidden="1"/>
    </xf>
    <xf numFmtId="0" fontId="36" fillId="18" borderId="0" xfId="193" applyFont="1" applyFill="1" applyAlignment="1">
      <alignment horizontal="center" vertical="center"/>
    </xf>
    <xf numFmtId="4" fontId="6" fillId="18" borderId="0" xfId="193" applyNumberFormat="1" applyFont="1" applyFill="1"/>
    <xf numFmtId="1" fontId="7" fillId="0" borderId="69" xfId="182" applyNumberFormat="1" applyFont="1" applyBorder="1" applyAlignment="1" applyProtection="1">
      <alignment horizontal="centerContinuous" vertical="center" wrapText="1"/>
      <protection hidden="1"/>
    </xf>
    <xf numFmtId="3" fontId="7" fillId="0" borderId="88" xfId="182" applyNumberFormat="1" applyFont="1" applyBorder="1" applyAlignment="1" applyProtection="1">
      <alignment horizontal="center" vertical="center"/>
      <protection hidden="1"/>
    </xf>
    <xf numFmtId="4" fontId="12" fillId="18" borderId="28" xfId="193" applyNumberFormat="1" applyFont="1" applyFill="1" applyBorder="1"/>
    <xf numFmtId="4" fontId="12" fillId="0" borderId="89" xfId="193" applyNumberFormat="1" applyFont="1" applyBorder="1" applyAlignment="1">
      <alignment vertical="center"/>
    </xf>
    <xf numFmtId="4" fontId="12" fillId="0" borderId="89" xfId="193" applyNumberFormat="1" applyFont="1" applyBorder="1"/>
    <xf numFmtId="4" fontId="12" fillId="18" borderId="27" xfId="193" applyNumberFormat="1" applyFont="1" applyFill="1" applyBorder="1"/>
    <xf numFmtId="1" fontId="6" fillId="18" borderId="0" xfId="193" applyNumberFormat="1" applyFont="1" applyFill="1" applyAlignment="1">
      <alignment horizontal="left" vertical="center"/>
    </xf>
    <xf numFmtId="1" fontId="6" fillId="18" borderId="13" xfId="193" applyNumberFormat="1" applyFont="1" applyFill="1" applyBorder="1" applyAlignment="1">
      <alignment horizontal="left" vertical="center" wrapText="1"/>
    </xf>
    <xf numFmtId="1" fontId="6" fillId="0" borderId="13" xfId="193" applyNumberFormat="1" applyFont="1" applyBorder="1" applyAlignment="1">
      <alignment horizontal="center" vertical="center" wrapText="1"/>
    </xf>
    <xf numFmtId="0" fontId="1" fillId="18" borderId="13" xfId="193" applyFill="1" applyBorder="1"/>
    <xf numFmtId="3" fontId="6" fillId="18" borderId="13" xfId="193" applyNumberFormat="1" applyFont="1" applyFill="1" applyBorder="1" applyAlignment="1">
      <alignment horizontal="center" vertical="center" wrapText="1"/>
    </xf>
    <xf numFmtId="10" fontId="7" fillId="0" borderId="11" xfId="0" applyNumberFormat="1" applyFont="1" applyBorder="1" applyProtection="1">
      <protection hidden="1"/>
    </xf>
    <xf numFmtId="184" fontId="6" fillId="0" borderId="69" xfId="0" applyNumberFormat="1" applyFont="1" applyBorder="1" applyAlignment="1" applyProtection="1">
      <alignment horizontal="center" vertical="center"/>
      <protection hidden="1"/>
    </xf>
    <xf numFmtId="176" fontId="6" fillId="0" borderId="69" xfId="0" applyNumberFormat="1" applyFont="1" applyBorder="1" applyAlignment="1" applyProtection="1">
      <alignment horizontal="center" vertical="center"/>
      <protection hidden="1"/>
    </xf>
    <xf numFmtId="0" fontId="21" fillId="0" borderId="0" xfId="0" applyFont="1" applyAlignment="1" applyProtection="1">
      <alignment vertical="center"/>
      <protection hidden="1"/>
    </xf>
    <xf numFmtId="0" fontId="24" fillId="0" borderId="0" xfId="0" applyFont="1" applyAlignment="1" applyProtection="1">
      <alignment vertical="center"/>
      <protection hidden="1"/>
    </xf>
    <xf numFmtId="4" fontId="1" fillId="18" borderId="0" xfId="193" applyNumberFormat="1" applyFill="1"/>
    <xf numFmtId="1" fontId="6" fillId="18" borderId="90" xfId="193" applyNumberFormat="1" applyFont="1" applyFill="1" applyBorder="1" applyAlignment="1">
      <alignment horizontal="center" vertical="center" wrapText="1"/>
    </xf>
    <xf numFmtId="2" fontId="39" fillId="0" borderId="91" xfId="193" applyNumberFormat="1" applyFont="1" applyBorder="1"/>
    <xf numFmtId="3" fontId="6" fillId="0" borderId="93" xfId="193" applyNumberFormat="1" applyFont="1" applyBorder="1" applyAlignment="1">
      <alignment horizontal="center" vertical="center" wrapText="1"/>
    </xf>
    <xf numFmtId="3" fontId="6" fillId="0" borderId="51" xfId="193" applyNumberFormat="1" applyFont="1" applyBorder="1" applyAlignment="1">
      <alignment horizontal="center" vertical="center" wrapText="1"/>
    </xf>
    <xf numFmtId="10" fontId="6" fillId="0" borderId="94" xfId="193" applyNumberFormat="1" applyFont="1" applyBorder="1" applyAlignment="1">
      <alignment horizontal="center" vertical="center" wrapText="1"/>
    </xf>
    <xf numFmtId="175" fontId="5" fillId="18" borderId="54" xfId="54" applyFont="1" applyFill="1" applyBorder="1" applyAlignment="1" applyProtection="1">
      <alignment vertical="center"/>
      <protection locked="0"/>
    </xf>
    <xf numFmtId="4" fontId="26" fillId="24" borderId="69" xfId="0" applyNumberFormat="1" applyFont="1" applyFill="1" applyBorder="1" applyAlignment="1" applyProtection="1">
      <alignment horizontal="center" vertical="center"/>
      <protection locked="0"/>
    </xf>
    <xf numFmtId="1" fontId="6" fillId="0" borderId="69" xfId="0" applyNumberFormat="1" applyFont="1" applyBorder="1" applyAlignment="1" applyProtection="1">
      <alignment horizontal="left" vertical="center" wrapText="1"/>
      <protection hidden="1"/>
    </xf>
    <xf numFmtId="0" fontId="5" fillId="18" borderId="25" xfId="193" applyFont="1" applyFill="1" applyBorder="1" applyAlignment="1">
      <alignment horizontal="center"/>
    </xf>
    <xf numFmtId="0" fontId="5" fillId="18" borderId="13" xfId="193" applyFont="1" applyFill="1" applyBorder="1" applyAlignment="1">
      <alignment horizontal="center"/>
    </xf>
    <xf numFmtId="0" fontId="30" fillId="18" borderId="13" xfId="193" applyFont="1" applyFill="1" applyBorder="1" applyAlignment="1">
      <alignment horizontal="center" vertical="center"/>
    </xf>
    <xf numFmtId="167" fontId="5" fillId="18" borderId="13" xfId="148" applyNumberFormat="1" applyFont="1" applyFill="1" applyBorder="1" applyAlignment="1">
      <alignment vertical="center"/>
    </xf>
    <xf numFmtId="0" fontId="33" fillId="18" borderId="13" xfId="193" applyFont="1" applyFill="1" applyBorder="1" applyAlignment="1">
      <alignment horizontal="center" vertical="center"/>
    </xf>
    <xf numFmtId="0" fontId="33" fillId="18" borderId="99" xfId="193" applyFont="1" applyFill="1" applyBorder="1" applyAlignment="1">
      <alignment horizontal="center" vertical="center"/>
    </xf>
    <xf numFmtId="1" fontId="6" fillId="18" borderId="100" xfId="193" applyNumberFormat="1" applyFont="1" applyFill="1" applyBorder="1" applyAlignment="1">
      <alignment horizontal="center" vertical="center" wrapText="1"/>
    </xf>
    <xf numFmtId="1" fontId="6" fillId="18" borderId="22" xfId="193" applyNumberFormat="1" applyFont="1" applyFill="1" applyBorder="1" applyAlignment="1">
      <alignment horizontal="center" vertical="center" wrapText="1"/>
    </xf>
    <xf numFmtId="1" fontId="6" fillId="18" borderId="22" xfId="193" applyNumberFormat="1" applyFont="1" applyFill="1" applyBorder="1" applyAlignment="1">
      <alignment horizontal="left" vertical="center" wrapText="1"/>
    </xf>
    <xf numFmtId="3" fontId="6" fillId="0" borderId="22" xfId="193" applyNumberFormat="1" applyFont="1" applyBorder="1" applyAlignment="1">
      <alignment horizontal="center" vertical="center" wrapText="1"/>
    </xf>
    <xf numFmtId="4" fontId="6" fillId="18" borderId="22" xfId="193" applyNumberFormat="1" applyFont="1" applyFill="1" applyBorder="1" applyAlignment="1">
      <alignment horizontal="center" vertical="center" wrapText="1"/>
    </xf>
    <xf numFmtId="10" fontId="6" fillId="18" borderId="22" xfId="193" applyNumberFormat="1" applyFont="1" applyFill="1" applyBorder="1" applyAlignment="1">
      <alignment horizontal="center" vertical="center" wrapText="1"/>
    </xf>
    <xf numFmtId="1" fontId="6" fillId="18" borderId="101" xfId="193" applyNumberFormat="1" applyFont="1" applyFill="1" applyBorder="1" applyAlignment="1">
      <alignment horizontal="center" vertical="center" wrapText="1"/>
    </xf>
    <xf numFmtId="1" fontId="6" fillId="18" borderId="102" xfId="193" applyNumberFormat="1" applyFont="1" applyFill="1" applyBorder="1" applyAlignment="1">
      <alignment horizontal="center" vertical="center" wrapText="1"/>
    </xf>
    <xf numFmtId="1" fontId="6" fillId="18" borderId="102" xfId="193" applyNumberFormat="1" applyFont="1" applyFill="1" applyBorder="1" applyAlignment="1">
      <alignment horizontal="left" vertical="center" wrapText="1"/>
    </xf>
    <xf numFmtId="3" fontId="6" fillId="0" borderId="102" xfId="193" applyNumberFormat="1" applyFont="1" applyBorder="1" applyAlignment="1">
      <alignment horizontal="center" vertical="center" wrapText="1"/>
    </xf>
    <xf numFmtId="4" fontId="6" fillId="18" borderId="102" xfId="193" applyNumberFormat="1" applyFont="1" applyFill="1" applyBorder="1" applyAlignment="1">
      <alignment horizontal="center" vertical="center" wrapText="1"/>
    </xf>
    <xf numFmtId="10" fontId="6" fillId="18" borderId="102" xfId="193" applyNumberFormat="1" applyFont="1" applyFill="1" applyBorder="1" applyAlignment="1">
      <alignment horizontal="center" vertical="center" wrapText="1"/>
    </xf>
    <xf numFmtId="1" fontId="6" fillId="18" borderId="103" xfId="193" applyNumberFormat="1" applyFont="1" applyFill="1" applyBorder="1" applyAlignment="1">
      <alignment horizontal="center" vertical="center" wrapText="1"/>
    </xf>
    <xf numFmtId="1" fontId="6" fillId="18" borderId="104" xfId="193" applyNumberFormat="1" applyFont="1" applyFill="1" applyBorder="1" applyAlignment="1">
      <alignment horizontal="center" vertical="center" wrapText="1"/>
    </xf>
    <xf numFmtId="1" fontId="6" fillId="18" borderId="96" xfId="193" applyNumberFormat="1" applyFont="1" applyFill="1" applyBorder="1" applyAlignment="1">
      <alignment horizontal="center" vertical="center" wrapText="1"/>
    </xf>
    <xf numFmtId="1" fontId="6" fillId="18" borderId="105" xfId="193" applyNumberFormat="1" applyFont="1" applyFill="1" applyBorder="1" applyAlignment="1">
      <alignment horizontal="center" vertical="center" wrapText="1"/>
    </xf>
    <xf numFmtId="1" fontId="6" fillId="18" borderId="38" xfId="193" applyNumberFormat="1" applyFont="1" applyFill="1" applyBorder="1" applyAlignment="1">
      <alignment horizontal="center" vertical="center" wrapText="1"/>
    </xf>
    <xf numFmtId="1" fontId="6" fillId="18" borderId="38" xfId="193" applyNumberFormat="1" applyFont="1" applyFill="1" applyBorder="1" applyAlignment="1">
      <alignment horizontal="left" vertical="center" wrapText="1"/>
    </xf>
    <xf numFmtId="3" fontId="6" fillId="0" borderId="38" xfId="193" applyNumberFormat="1" applyFont="1" applyBorder="1" applyAlignment="1">
      <alignment horizontal="center" vertical="center" wrapText="1"/>
    </xf>
    <xf numFmtId="4" fontId="6" fillId="18" borderId="38" xfId="193" applyNumberFormat="1" applyFont="1" applyFill="1" applyBorder="1" applyAlignment="1">
      <alignment horizontal="center" vertical="center" wrapText="1"/>
    </xf>
    <xf numFmtId="10" fontId="6" fillId="18" borderId="38" xfId="193" applyNumberFormat="1" applyFont="1" applyFill="1" applyBorder="1" applyAlignment="1">
      <alignment horizontal="center" vertical="center" wrapText="1"/>
    </xf>
    <xf numFmtId="1" fontId="6" fillId="18" borderId="75" xfId="193" applyNumberFormat="1" applyFont="1" applyFill="1" applyBorder="1" applyAlignment="1">
      <alignment horizontal="center" vertical="center" wrapText="1"/>
    </xf>
    <xf numFmtId="0" fontId="6" fillId="19" borderId="106" xfId="0" applyFont="1" applyFill="1" applyBorder="1" applyAlignment="1" applyProtection="1">
      <alignment horizontal="center" vertical="center"/>
      <protection hidden="1"/>
    </xf>
    <xf numFmtId="0" fontId="5" fillId="19" borderId="74" xfId="193" applyFont="1" applyFill="1" applyBorder="1" applyAlignment="1">
      <alignment horizontal="center" vertical="center" wrapText="1"/>
    </xf>
    <xf numFmtId="1" fontId="6" fillId="0" borderId="107" xfId="0" applyNumberFormat="1" applyFont="1" applyBorder="1" applyAlignment="1" applyProtection="1">
      <alignment horizontal="center" vertical="center"/>
      <protection hidden="1"/>
    </xf>
    <xf numFmtId="1" fontId="6" fillId="0" borderId="95" xfId="0" applyNumberFormat="1" applyFont="1" applyBorder="1" applyAlignment="1" applyProtection="1">
      <alignment horizontal="center" vertical="center"/>
      <protection hidden="1"/>
    </xf>
    <xf numFmtId="1" fontId="6" fillId="0" borderId="19" xfId="0" applyNumberFormat="1" applyFont="1" applyBorder="1" applyAlignment="1" applyProtection="1">
      <alignment horizontal="left" vertical="center" wrapText="1"/>
      <protection hidden="1"/>
    </xf>
    <xf numFmtId="3" fontId="6" fillId="0" borderId="19" xfId="0" applyNumberFormat="1" applyFont="1" applyBorder="1" applyAlignment="1" applyProtection="1">
      <alignment horizontal="center" vertical="center"/>
      <protection hidden="1"/>
    </xf>
    <xf numFmtId="2" fontId="6" fillId="0" borderId="19" xfId="0" applyNumberFormat="1" applyFont="1" applyBorder="1" applyAlignment="1" applyProtection="1">
      <alignment horizontal="center" vertical="center"/>
      <protection hidden="1"/>
    </xf>
    <xf numFmtId="177" fontId="6" fillId="0" borderId="19" xfId="0" applyNumberFormat="1" applyFont="1" applyBorder="1" applyAlignment="1" applyProtection="1">
      <alignment horizontal="center" vertical="center"/>
      <protection hidden="1"/>
    </xf>
    <xf numFmtId="4" fontId="26" fillId="0" borderId="19" xfId="0" applyNumberFormat="1" applyFont="1" applyBorder="1" applyAlignment="1" applyProtection="1">
      <alignment horizontal="center" vertical="center"/>
      <protection locked="0"/>
    </xf>
    <xf numFmtId="2" fontId="6" fillId="0" borderId="108" xfId="0" applyNumberFormat="1" applyFont="1" applyBorder="1" applyAlignment="1" applyProtection="1">
      <alignment horizontal="center" vertical="center"/>
      <protection hidden="1"/>
    </xf>
    <xf numFmtId="4" fontId="6" fillId="19" borderId="61" xfId="0" applyNumberFormat="1" applyFont="1" applyFill="1" applyBorder="1" applyAlignment="1" applyProtection="1">
      <alignment horizontal="center" vertical="center"/>
      <protection locked="0"/>
    </xf>
    <xf numFmtId="0" fontId="6" fillId="19" borderId="62" xfId="0" applyFont="1" applyFill="1" applyBorder="1" applyAlignment="1" applyProtection="1">
      <alignment horizontal="center" vertical="center"/>
      <protection locked="0"/>
    </xf>
    <xf numFmtId="0" fontId="6" fillId="19" borderId="62" xfId="0" applyFont="1" applyFill="1" applyBorder="1" applyAlignment="1" applyProtection="1">
      <alignment horizontal="center" vertical="center"/>
      <protection hidden="1"/>
    </xf>
    <xf numFmtId="0" fontId="6" fillId="19" borderId="109" xfId="0" applyFont="1" applyFill="1" applyBorder="1" applyAlignment="1" applyProtection="1">
      <alignment horizontal="center" vertical="center"/>
      <protection hidden="1"/>
    </xf>
    <xf numFmtId="1" fontId="6" fillId="0" borderId="110" xfId="0" applyNumberFormat="1" applyFont="1" applyBorder="1" applyAlignment="1" applyProtection="1">
      <alignment horizontal="center" vertical="center"/>
      <protection hidden="1"/>
    </xf>
    <xf numFmtId="1" fontId="6" fillId="0" borderId="111" xfId="0" applyNumberFormat="1" applyFont="1" applyBorder="1" applyAlignment="1" applyProtection="1">
      <alignment horizontal="center" vertical="center"/>
      <protection hidden="1"/>
    </xf>
    <xf numFmtId="1" fontId="6" fillId="0" borderId="112" xfId="0" applyNumberFormat="1" applyFont="1" applyBorder="1" applyAlignment="1" applyProtection="1">
      <alignment horizontal="left" vertical="center" wrapText="1"/>
      <protection hidden="1"/>
    </xf>
    <xf numFmtId="3" fontId="6" fillId="0" borderId="112" xfId="0" applyNumberFormat="1" applyFont="1" applyBorder="1" applyAlignment="1" applyProtection="1">
      <alignment horizontal="center" vertical="center"/>
      <protection hidden="1"/>
    </xf>
    <xf numFmtId="2" fontId="6" fillId="0" borderId="112" xfId="0" applyNumberFormat="1" applyFont="1" applyBorder="1" applyAlignment="1" applyProtection="1">
      <alignment horizontal="center" vertical="center"/>
      <protection hidden="1"/>
    </xf>
    <xf numFmtId="177" fontId="6" fillId="0" borderId="112" xfId="0" applyNumberFormat="1" applyFont="1" applyBorder="1" applyAlignment="1" applyProtection="1">
      <alignment horizontal="center" vertical="center"/>
      <protection hidden="1"/>
    </xf>
    <xf numFmtId="4" fontId="26" fillId="0" borderId="112" xfId="0" applyNumberFormat="1" applyFont="1" applyBorder="1" applyAlignment="1" applyProtection="1">
      <alignment horizontal="center" vertical="center"/>
      <protection locked="0"/>
    </xf>
    <xf numFmtId="2" fontId="6" fillId="0" borderId="113" xfId="0" applyNumberFormat="1" applyFont="1" applyBorder="1" applyAlignment="1" applyProtection="1">
      <alignment horizontal="center" vertical="center"/>
      <protection hidden="1"/>
    </xf>
    <xf numFmtId="1" fontId="6" fillId="18" borderId="58" xfId="193" applyNumberFormat="1" applyFont="1" applyFill="1" applyBorder="1" applyAlignment="1">
      <alignment horizontal="center" vertical="center" wrapText="1"/>
    </xf>
    <xf numFmtId="1" fontId="6" fillId="18" borderId="58" xfId="193" applyNumberFormat="1" applyFont="1" applyFill="1" applyBorder="1" applyAlignment="1">
      <alignment horizontal="left" vertical="center" wrapText="1"/>
    </xf>
    <xf numFmtId="3" fontId="6" fillId="0" borderId="54" xfId="193" applyNumberFormat="1" applyFont="1" applyBorder="1" applyAlignment="1">
      <alignment horizontal="center" vertical="center" wrapText="1"/>
    </xf>
    <xf numFmtId="1" fontId="6" fillId="0" borderId="114" xfId="0" applyNumberFormat="1" applyFont="1" applyBorder="1" applyAlignment="1" applyProtection="1">
      <alignment horizontal="center" vertical="center"/>
      <protection hidden="1"/>
    </xf>
    <xf numFmtId="3" fontId="24" fillId="0" borderId="102" xfId="182" applyNumberFormat="1" applyFont="1" applyBorder="1" applyAlignment="1" applyProtection="1">
      <alignment horizontal="center" vertical="center"/>
      <protection hidden="1"/>
    </xf>
    <xf numFmtId="0" fontId="5" fillId="0" borderId="102" xfId="0" applyFont="1" applyBorder="1" applyAlignment="1" applyProtection="1">
      <alignment horizontal="center" vertical="center"/>
      <protection hidden="1"/>
    </xf>
    <xf numFmtId="1" fontId="6" fillId="0" borderId="105" xfId="0" applyNumberFormat="1" applyFont="1" applyBorder="1" applyAlignment="1" applyProtection="1">
      <alignment horizontal="center" vertical="center"/>
      <protection hidden="1"/>
    </xf>
    <xf numFmtId="0" fontId="62" fillId="18" borderId="13" xfId="193" applyFont="1" applyFill="1" applyBorder="1" applyAlignment="1">
      <alignment horizontal="center" vertical="center"/>
    </xf>
    <xf numFmtId="0" fontId="62" fillId="18" borderId="0" xfId="193" applyFont="1" applyFill="1" applyAlignment="1">
      <alignment horizontal="center" vertical="center"/>
    </xf>
    <xf numFmtId="10" fontId="6" fillId="0" borderId="100" xfId="193" applyNumberFormat="1" applyFont="1" applyBorder="1" applyAlignment="1">
      <alignment horizontal="center" vertical="center" wrapText="1"/>
    </xf>
    <xf numFmtId="1" fontId="6" fillId="18" borderId="10" xfId="193" applyNumberFormat="1" applyFont="1" applyFill="1" applyBorder="1" applyAlignment="1">
      <alignment horizontal="center" vertical="center" wrapText="1"/>
    </xf>
    <xf numFmtId="1" fontId="6" fillId="18" borderId="10" xfId="193" applyNumberFormat="1" applyFont="1" applyFill="1" applyBorder="1" applyAlignment="1">
      <alignment horizontal="left" vertical="center" wrapText="1"/>
    </xf>
    <xf numFmtId="10" fontId="6" fillId="0" borderId="115" xfId="193" applyNumberFormat="1" applyFont="1" applyBorder="1" applyAlignment="1">
      <alignment horizontal="center" vertical="center" wrapText="1"/>
    </xf>
    <xf numFmtId="173" fontId="4" fillId="0" borderId="0" xfId="55" applyFont="1" applyFill="1" applyBorder="1" applyAlignment="1">
      <alignment horizontal="center" vertical="top" wrapText="1"/>
    </xf>
    <xf numFmtId="1" fontId="6" fillId="0" borderId="22" xfId="0" applyNumberFormat="1" applyFont="1" applyBorder="1" applyAlignment="1" applyProtection="1">
      <alignment horizontal="center" vertical="center"/>
      <protection hidden="1"/>
    </xf>
    <xf numFmtId="1" fontId="6" fillId="0" borderId="101" xfId="0" applyNumberFormat="1" applyFont="1" applyBorder="1" applyAlignment="1" applyProtection="1">
      <alignment horizontal="center" vertical="center"/>
      <protection hidden="1"/>
    </xf>
    <xf numFmtId="1" fontId="6" fillId="0" borderId="102" xfId="0" applyNumberFormat="1" applyFont="1" applyBorder="1" applyAlignment="1" applyProtection="1">
      <alignment horizontal="center" vertical="center"/>
      <protection hidden="1"/>
    </xf>
    <xf numFmtId="1" fontId="6" fillId="0" borderId="104" xfId="0" applyNumberFormat="1" applyFont="1" applyBorder="1" applyAlignment="1" applyProtection="1">
      <alignment horizontal="center" vertical="center"/>
      <protection hidden="1"/>
    </xf>
    <xf numFmtId="1" fontId="6" fillId="0" borderId="38" xfId="0" applyNumberFormat="1" applyFont="1" applyBorder="1" applyAlignment="1" applyProtection="1">
      <alignment horizontal="center" vertical="center"/>
      <protection hidden="1"/>
    </xf>
    <xf numFmtId="1" fontId="63" fillId="0" borderId="0" xfId="193" applyNumberFormat="1" applyFont="1" applyAlignment="1">
      <alignment horizontal="centerContinuous" vertical="center" wrapText="1"/>
    </xf>
    <xf numFmtId="4" fontId="6" fillId="19" borderId="38" xfId="0" applyNumberFormat="1" applyFont="1" applyFill="1" applyBorder="1" applyAlignment="1" applyProtection="1">
      <alignment horizontal="center" vertical="center"/>
      <protection hidden="1"/>
    </xf>
    <xf numFmtId="0" fontId="1" fillId="0" borderId="0" xfId="0" applyFont="1" applyProtection="1">
      <protection hidden="1"/>
    </xf>
    <xf numFmtId="0" fontId="1" fillId="0" borderId="13" xfId="0" applyFont="1" applyBorder="1" applyAlignment="1" applyProtection="1">
      <alignment horizontal="center"/>
      <protection hidden="1"/>
    </xf>
    <xf numFmtId="0" fontId="1" fillId="0" borderId="0" xfId="0" applyFont="1" applyAlignment="1" applyProtection="1">
      <alignment horizontal="center"/>
      <protection hidden="1"/>
    </xf>
    <xf numFmtId="0" fontId="1" fillId="0" borderId="34" xfId="0" applyFont="1" applyBorder="1" applyAlignment="1" applyProtection="1">
      <alignment horizontal="center"/>
      <protection hidden="1"/>
    </xf>
    <xf numFmtId="0" fontId="1" fillId="0" borderId="48" xfId="0" applyFont="1" applyBorder="1" applyAlignment="1" applyProtection="1">
      <alignment horizontal="center"/>
      <protection hidden="1"/>
    </xf>
    <xf numFmtId="0" fontId="1" fillId="0" borderId="49" xfId="0" applyFont="1" applyBorder="1" applyAlignment="1" applyProtection="1">
      <alignment horizontal="center"/>
      <protection hidden="1"/>
    </xf>
    <xf numFmtId="0" fontId="1" fillId="0" borderId="50" xfId="0" applyFont="1" applyBorder="1" applyProtection="1">
      <protection hidden="1"/>
    </xf>
    <xf numFmtId="0" fontId="1" fillId="0" borderId="33" xfId="0" applyFont="1" applyBorder="1" applyAlignment="1" applyProtection="1">
      <alignment horizontal="center"/>
      <protection hidden="1"/>
    </xf>
    <xf numFmtId="0" fontId="1" fillId="0" borderId="34" xfId="0" applyFont="1" applyBorder="1" applyProtection="1">
      <protection hidden="1"/>
    </xf>
    <xf numFmtId="0" fontId="1" fillId="0" borderId="18" xfId="0" applyFont="1" applyBorder="1" applyAlignment="1" applyProtection="1">
      <alignment horizontal="center"/>
      <protection hidden="1"/>
    </xf>
    <xf numFmtId="0" fontId="1" fillId="0" borderId="35" xfId="0" applyFont="1" applyBorder="1" applyAlignment="1" applyProtection="1">
      <alignment horizontal="center"/>
      <protection hidden="1"/>
    </xf>
    <xf numFmtId="0" fontId="1" fillId="0" borderId="20" xfId="0" applyFont="1" applyBorder="1" applyProtection="1">
      <protection hidden="1"/>
    </xf>
    <xf numFmtId="0" fontId="1" fillId="0" borderId="0" xfId="0" applyFont="1" applyAlignment="1" applyProtection="1">
      <alignment horizontal="center" vertical="center"/>
      <protection hidden="1"/>
    </xf>
    <xf numFmtId="0" fontId="1" fillId="0" borderId="0" xfId="0" applyFont="1" applyAlignment="1" applyProtection="1">
      <alignment horizontal="centerContinuous" vertical="center" wrapText="1"/>
      <protection hidden="1"/>
    </xf>
    <xf numFmtId="0" fontId="1" fillId="0" borderId="35" xfId="0" applyFont="1" applyBorder="1" applyAlignment="1" applyProtection="1">
      <alignment horizontal="centerContinuous" vertical="center" wrapText="1"/>
      <protection hidden="1"/>
    </xf>
    <xf numFmtId="0" fontId="1" fillId="0" borderId="35" xfId="0" applyFont="1" applyBorder="1" applyAlignment="1" applyProtection="1">
      <alignment horizontal="center" vertical="center" wrapText="1"/>
      <protection hidden="1"/>
    </xf>
    <xf numFmtId="181" fontId="1" fillId="0" borderId="0" xfId="0" applyNumberFormat="1" applyFont="1" applyProtection="1">
      <protection hidden="1"/>
    </xf>
    <xf numFmtId="4" fontId="6" fillId="0" borderId="90" xfId="193" applyNumberFormat="1" applyFont="1" applyBorder="1" applyAlignment="1">
      <alignment horizontal="center" vertical="center" wrapText="1"/>
    </xf>
    <xf numFmtId="0" fontId="5" fillId="19" borderId="56" xfId="193" applyFont="1" applyFill="1" applyBorder="1" applyAlignment="1">
      <alignment horizontal="center" vertical="center"/>
    </xf>
    <xf numFmtId="0" fontId="5" fillId="19" borderId="51" xfId="193" applyFont="1" applyFill="1" applyBorder="1" applyAlignment="1">
      <alignment horizontal="center" vertical="center"/>
    </xf>
    <xf numFmtId="0" fontId="6" fillId="19" borderId="57" xfId="0" applyFont="1" applyFill="1" applyBorder="1" applyAlignment="1" applyProtection="1">
      <alignment horizontal="center" vertical="center" wrapText="1"/>
      <protection hidden="1"/>
    </xf>
    <xf numFmtId="0" fontId="6" fillId="19" borderId="38" xfId="0" applyFont="1" applyFill="1" applyBorder="1" applyAlignment="1" applyProtection="1">
      <alignment horizontal="center" vertical="center" wrapText="1"/>
      <protection hidden="1"/>
    </xf>
    <xf numFmtId="4" fontId="7" fillId="0" borderId="0" xfId="193" applyNumberFormat="1" applyFont="1" applyAlignment="1">
      <alignment horizontal="center" vertical="center" wrapText="1"/>
    </xf>
    <xf numFmtId="3" fontId="7" fillId="0" borderId="0" xfId="193" applyNumberFormat="1" applyFont="1" applyAlignment="1">
      <alignment horizontal="center" vertical="center" wrapText="1"/>
    </xf>
    <xf numFmtId="2" fontId="7" fillId="0" borderId="0" xfId="193" applyNumberFormat="1" applyFont="1" applyAlignment="1">
      <alignment horizontal="center" vertical="center" wrapText="1"/>
    </xf>
    <xf numFmtId="0" fontId="6" fillId="0" borderId="0" xfId="193" applyFont="1" applyAlignment="1">
      <alignment horizontal="center" vertical="center"/>
    </xf>
    <xf numFmtId="0" fontId="5" fillId="19" borderId="94" xfId="193" applyFont="1" applyFill="1" applyBorder="1" applyAlignment="1">
      <alignment horizontal="center" vertical="center" wrapText="1"/>
    </xf>
    <xf numFmtId="0" fontId="5" fillId="19" borderId="94" xfId="193" applyFont="1" applyFill="1" applyBorder="1" applyAlignment="1">
      <alignment horizontal="center" vertical="center"/>
    </xf>
    <xf numFmtId="0" fontId="6" fillId="19" borderId="73" xfId="0" applyFont="1" applyFill="1" applyBorder="1" applyAlignment="1" applyProtection="1">
      <alignment horizontal="center" vertical="center" wrapText="1"/>
      <protection hidden="1"/>
    </xf>
    <xf numFmtId="0" fontId="6" fillId="19" borderId="74" xfId="0" applyFont="1" applyFill="1" applyBorder="1" applyAlignment="1" applyProtection="1">
      <alignment horizontal="center" vertical="center" wrapText="1"/>
      <protection hidden="1"/>
    </xf>
    <xf numFmtId="10" fontId="7" fillId="0" borderId="0" xfId="193" applyNumberFormat="1" applyFont="1" applyAlignment="1">
      <alignment horizontal="center" vertical="center" wrapText="1"/>
    </xf>
    <xf numFmtId="4" fontId="6" fillId="0" borderId="93" xfId="193" applyNumberFormat="1" applyFont="1" applyBorder="1" applyAlignment="1">
      <alignment horizontal="center" vertical="center" wrapText="1"/>
    </xf>
    <xf numFmtId="0" fontId="5" fillId="19" borderId="118" xfId="0" applyFont="1" applyFill="1" applyBorder="1" applyAlignment="1" applyProtection="1">
      <alignment horizontal="center" vertical="center" wrapText="1"/>
      <protection hidden="1"/>
    </xf>
    <xf numFmtId="0" fontId="5" fillId="0" borderId="102" xfId="0" applyFont="1" applyBorder="1" applyAlignment="1" applyProtection="1">
      <alignment horizontal="left" vertical="top"/>
      <protection hidden="1"/>
    </xf>
    <xf numFmtId="0" fontId="0" fillId="0" borderId="0" xfId="0" applyAlignment="1">
      <alignment horizontal="center"/>
    </xf>
    <xf numFmtId="0" fontId="5" fillId="19" borderId="22" xfId="193" applyFont="1" applyFill="1" applyBorder="1" applyAlignment="1">
      <alignment horizontal="center" vertical="center"/>
    </xf>
    <xf numFmtId="3" fontId="6" fillId="0" borderId="90" xfId="193" applyNumberFormat="1" applyFont="1" applyBorder="1" applyAlignment="1">
      <alignment horizontal="center" vertical="center" wrapText="1"/>
    </xf>
    <xf numFmtId="4" fontId="7" fillId="0" borderId="90" xfId="193" applyNumberFormat="1" applyFont="1" applyBorder="1" applyAlignment="1">
      <alignment horizontal="center" vertical="center" wrapText="1"/>
    </xf>
    <xf numFmtId="0" fontId="6" fillId="19" borderId="142" xfId="0" applyFont="1" applyFill="1" applyBorder="1" applyAlignment="1" applyProtection="1">
      <alignment horizontal="center" vertical="center" wrapText="1"/>
      <protection hidden="1"/>
    </xf>
    <xf numFmtId="0" fontId="4" fillId="0" borderId="13" xfId="193" applyFont="1" applyBorder="1" applyAlignment="1">
      <alignment horizontal="center" vertical="center"/>
    </xf>
    <xf numFmtId="4" fontId="6" fillId="25" borderId="90" xfId="193" applyNumberFormat="1" applyFont="1" applyFill="1" applyBorder="1" applyAlignment="1">
      <alignment horizontal="center" vertical="center" wrapText="1"/>
    </xf>
    <xf numFmtId="193" fontId="0" fillId="0" borderId="0" xfId="0" applyNumberFormat="1"/>
    <xf numFmtId="0" fontId="2" fillId="18" borderId="0" xfId="193" applyFont="1" applyFill="1" applyAlignment="1">
      <alignment horizontal="center" vertical="center" wrapText="1"/>
    </xf>
    <xf numFmtId="3" fontId="5" fillId="0" borderId="56" xfId="193" applyNumberFormat="1" applyFont="1" applyBorder="1" applyAlignment="1">
      <alignment horizontal="center" vertical="center"/>
    </xf>
    <xf numFmtId="167" fontId="5" fillId="18" borderId="51" xfId="148" applyNumberFormat="1" applyFont="1" applyFill="1" applyBorder="1" applyAlignment="1" applyProtection="1">
      <alignment vertical="center"/>
      <protection locked="0"/>
    </xf>
    <xf numFmtId="3" fontId="5" fillId="18" borderId="54" xfId="193" applyNumberFormat="1" applyFont="1" applyFill="1" applyBorder="1" applyAlignment="1">
      <alignment horizontal="center" vertical="center"/>
    </xf>
    <xf numFmtId="4" fontId="1" fillId="18" borderId="0" xfId="193" applyNumberFormat="1" applyFill="1" applyAlignment="1">
      <alignment horizontal="center"/>
    </xf>
    <xf numFmtId="4" fontId="7" fillId="0" borderId="0" xfId="193" applyNumberFormat="1" applyFont="1" applyAlignment="1">
      <alignment horizontal="left" vertical="center" wrapText="1"/>
    </xf>
    <xf numFmtId="4" fontId="1" fillId="25" borderId="0" xfId="193" applyNumberFormat="1" applyFill="1"/>
    <xf numFmtId="0" fontId="1" fillId="18" borderId="0" xfId="193" applyFill="1" applyAlignment="1">
      <alignment horizontal="center"/>
    </xf>
    <xf numFmtId="0" fontId="1" fillId="18" borderId="0" xfId="193" applyFill="1" applyAlignment="1">
      <alignment vertical="center"/>
    </xf>
    <xf numFmtId="0" fontId="0" fillId="0" borderId="22" xfId="0" applyBorder="1" applyAlignment="1">
      <alignment wrapText="1"/>
    </xf>
    <xf numFmtId="0" fontId="0" fillId="0" borderId="38" xfId="0" applyBorder="1" applyAlignment="1">
      <alignment wrapText="1"/>
    </xf>
    <xf numFmtId="3" fontId="6" fillId="25" borderId="90" xfId="193" applyNumberFormat="1" applyFont="1" applyFill="1" applyBorder="1" applyAlignment="1">
      <alignment horizontal="center" vertical="center" wrapText="1"/>
    </xf>
    <xf numFmtId="0" fontId="6" fillId="19" borderId="163" xfId="0" applyFont="1" applyFill="1" applyBorder="1" applyAlignment="1" applyProtection="1">
      <alignment horizontal="center" vertical="center" wrapText="1"/>
      <protection hidden="1"/>
    </xf>
    <xf numFmtId="0" fontId="5" fillId="0" borderId="164" xfId="0" applyFont="1" applyBorder="1" applyAlignment="1" applyProtection="1">
      <alignment horizontal="center" vertical="center"/>
      <protection hidden="1"/>
    </xf>
    <xf numFmtId="0" fontId="5" fillId="0" borderId="0" xfId="0" applyFont="1" applyAlignment="1" applyProtection="1">
      <alignment horizontal="center" vertical="center"/>
      <protection hidden="1"/>
    </xf>
    <xf numFmtId="0" fontId="1" fillId="18" borderId="0" xfId="195" applyFill="1" applyAlignment="1">
      <alignment horizontal="center" vertical="center"/>
    </xf>
    <xf numFmtId="0" fontId="64" fillId="26" borderId="165" xfId="195" applyFont="1" applyFill="1" applyBorder="1" applyAlignment="1">
      <alignment horizontal="center" vertical="center" wrapText="1"/>
    </xf>
    <xf numFmtId="194" fontId="28" fillId="28" borderId="166" xfId="195" applyNumberFormat="1" applyFont="1" applyFill="1" applyBorder="1" applyAlignment="1">
      <alignment horizontal="center" vertical="center" wrapText="1"/>
    </xf>
    <xf numFmtId="0" fontId="12" fillId="0" borderId="0" xfId="195" applyFont="1" applyAlignment="1">
      <alignment horizontal="center" vertical="center" wrapText="1"/>
    </xf>
    <xf numFmtId="0" fontId="1" fillId="18" borderId="0" xfId="195" applyFill="1" applyAlignment="1">
      <alignment horizontal="left" vertical="top" wrapText="1"/>
    </xf>
    <xf numFmtId="0" fontId="1" fillId="18" borderId="0" xfId="195" applyFill="1" applyAlignment="1">
      <alignment wrapText="1"/>
    </xf>
    <xf numFmtId="0" fontId="65" fillId="18" borderId="0" xfId="195" applyFont="1" applyFill="1" applyAlignment="1">
      <alignment horizontal="center" vertical="center"/>
    </xf>
    <xf numFmtId="0" fontId="65" fillId="18" borderId="0" xfId="195" applyFont="1" applyFill="1"/>
    <xf numFmtId="0" fontId="1" fillId="18" borderId="0" xfId="195" applyFill="1"/>
    <xf numFmtId="0" fontId="66" fillId="18" borderId="0" xfId="195" applyFont="1" applyFill="1"/>
    <xf numFmtId="195" fontId="28" fillId="29" borderId="167" xfId="195" applyNumberFormat="1" applyFont="1" applyFill="1" applyBorder="1" applyAlignment="1">
      <alignment horizontal="center"/>
    </xf>
    <xf numFmtId="0" fontId="4" fillId="0" borderId="92" xfId="195" applyFont="1" applyBorder="1" applyAlignment="1">
      <alignment horizontal="right" vertical="center"/>
    </xf>
    <xf numFmtId="168" fontId="4" fillId="0" borderId="0" xfId="111" applyFont="1" applyFill="1" applyBorder="1" applyAlignment="1" applyProtection="1">
      <alignment horizontal="center" vertical="center" wrapText="1"/>
    </xf>
    <xf numFmtId="197" fontId="64" fillId="26" borderId="167" xfId="195" applyNumberFormat="1" applyFont="1" applyFill="1" applyBorder="1" applyAlignment="1">
      <alignment horizontal="center" vertical="center"/>
    </xf>
    <xf numFmtId="0" fontId="4" fillId="0" borderId="92" xfId="195" applyFont="1" applyBorder="1" applyAlignment="1">
      <alignment vertical="center"/>
    </xf>
    <xf numFmtId="198" fontId="28" fillId="18" borderId="167" xfId="111" applyNumberFormat="1" applyFont="1" applyFill="1" applyBorder="1" applyAlignment="1" applyProtection="1">
      <alignment horizontal="center" vertical="center" wrapText="1"/>
    </xf>
    <xf numFmtId="198" fontId="4" fillId="0" borderId="0" xfId="111" applyNumberFormat="1" applyFont="1" applyFill="1" applyBorder="1" applyAlignment="1" applyProtection="1">
      <alignment horizontal="center" vertical="center" wrapText="1"/>
    </xf>
    <xf numFmtId="0" fontId="4" fillId="29" borderId="106" xfId="195" applyFont="1" applyFill="1" applyBorder="1" applyAlignment="1">
      <alignment horizontal="center" vertical="center"/>
    </xf>
    <xf numFmtId="0" fontId="4" fillId="0" borderId="0" xfId="195" applyFont="1" applyAlignment="1">
      <alignment horizontal="center" vertical="center"/>
    </xf>
    <xf numFmtId="0" fontId="4" fillId="0" borderId="0" xfId="195" applyFont="1" applyAlignment="1">
      <alignment horizontal="centerContinuous" vertical="center"/>
    </xf>
    <xf numFmtId="0" fontId="3" fillId="18" borderId="0" xfId="195" applyFont="1" applyFill="1" applyAlignment="1">
      <alignment horizontal="centerContinuous" vertical="center" wrapText="1"/>
    </xf>
    <xf numFmtId="0" fontId="3" fillId="0" borderId="0" xfId="195" applyFont="1" applyAlignment="1">
      <alignment horizontal="centerContinuous" vertical="center" wrapText="1"/>
    </xf>
    <xf numFmtId="199" fontId="4" fillId="0" borderId="0" xfId="148" applyNumberFormat="1" applyFont="1" applyFill="1" applyBorder="1" applyAlignment="1" applyProtection="1">
      <alignment vertical="center"/>
      <protection locked="0"/>
    </xf>
    <xf numFmtId="191" fontId="4" fillId="0" borderId="0" xfId="155" applyNumberFormat="1" applyFont="1" applyFill="1" applyBorder="1" applyAlignment="1"/>
    <xf numFmtId="0" fontId="1" fillId="0" borderId="0" xfId="173"/>
    <xf numFmtId="0" fontId="66" fillId="0" borderId="0" xfId="173" applyFont="1"/>
    <xf numFmtId="0" fontId="65" fillId="0" borderId="0" xfId="195" applyFont="1"/>
    <xf numFmtId="167" fontId="4" fillId="0" borderId="0" xfId="148" applyNumberFormat="1" applyFont="1" applyFill="1" applyBorder="1" applyAlignment="1" applyProtection="1">
      <alignment vertical="center"/>
      <protection locked="0"/>
    </xf>
    <xf numFmtId="0" fontId="1" fillId="0" borderId="0" xfId="173" applyAlignment="1">
      <alignment horizontal="center" vertical="center"/>
    </xf>
    <xf numFmtId="0" fontId="65" fillId="0" borderId="0" xfId="173" applyFont="1" applyAlignment="1">
      <alignment horizontal="center" vertical="center"/>
    </xf>
    <xf numFmtId="0" fontId="65" fillId="0" borderId="0" xfId="173" applyFont="1"/>
    <xf numFmtId="0" fontId="12" fillId="0" borderId="0" xfId="195" applyFont="1" applyAlignment="1">
      <alignment horizontal="left" vertical="center" wrapText="1"/>
    </xf>
    <xf numFmtId="191" fontId="4" fillId="0" borderId="0" xfId="155" applyNumberFormat="1" applyFont="1" applyFill="1" applyBorder="1" applyAlignment="1">
      <alignment horizontal="center" vertical="center"/>
    </xf>
    <xf numFmtId="2" fontId="4" fillId="18" borderId="96" xfId="155" applyNumberFormat="1" applyFont="1" applyFill="1" applyBorder="1" applyAlignment="1"/>
    <xf numFmtId="2" fontId="4" fillId="0" borderId="0" xfId="155" applyNumberFormat="1" applyFont="1" applyFill="1" applyBorder="1" applyAlignment="1"/>
    <xf numFmtId="200" fontId="1" fillId="0" borderId="0" xfId="173" applyNumberFormat="1"/>
    <xf numFmtId="191" fontId="0" fillId="0" borderId="0" xfId="155" applyNumberFormat="1" applyFont="1" applyBorder="1"/>
    <xf numFmtId="0" fontId="6" fillId="18" borderId="0" xfId="195" applyFont="1" applyFill="1" applyAlignment="1">
      <alignment vertical="center"/>
    </xf>
    <xf numFmtId="191" fontId="12" fillId="18" borderId="0" xfId="155" applyNumberFormat="1" applyFont="1" applyFill="1" applyBorder="1" applyAlignment="1"/>
    <xf numFmtId="0" fontId="1" fillId="18" borderId="0" xfId="195" applyFill="1" applyAlignment="1">
      <alignment horizontal="center" vertical="center" wrapText="1"/>
    </xf>
    <xf numFmtId="0" fontId="64" fillId="27" borderId="53" xfId="195" applyFont="1" applyFill="1" applyBorder="1" applyAlignment="1">
      <alignment horizontal="center" vertical="center" wrapText="1"/>
    </xf>
    <xf numFmtId="201" fontId="12" fillId="0" borderId="0" xfId="155" applyNumberFormat="1" applyFont="1" applyFill="1" applyBorder="1" applyAlignment="1">
      <alignment horizontal="center" vertical="center" wrapText="1"/>
    </xf>
    <xf numFmtId="0" fontId="1" fillId="0" borderId="0" xfId="173" applyAlignment="1">
      <alignment wrapText="1"/>
    </xf>
    <xf numFmtId="0" fontId="65" fillId="18" borderId="0" xfId="195" applyFont="1" applyFill="1" applyAlignment="1">
      <alignment horizontal="center" vertical="center" wrapText="1"/>
    </xf>
    <xf numFmtId="0" fontId="65" fillId="18" borderId="0" xfId="195" applyFont="1" applyFill="1" applyAlignment="1">
      <alignment wrapText="1"/>
    </xf>
    <xf numFmtId="0" fontId="66" fillId="18" borderId="0" xfId="195" applyFont="1" applyFill="1" applyAlignment="1">
      <alignment wrapText="1"/>
    </xf>
    <xf numFmtId="0" fontId="12" fillId="0" borderId="11" xfId="195" applyFont="1" applyBorder="1" applyAlignment="1">
      <alignment horizontal="center" vertical="center"/>
    </xf>
    <xf numFmtId="3" fontId="4" fillId="0" borderId="172" xfId="173" quotePrefix="1" applyNumberFormat="1" applyFont="1" applyBorder="1" applyAlignment="1" applyProtection="1">
      <alignment horizontal="center" vertical="center"/>
      <protection hidden="1"/>
    </xf>
    <xf numFmtId="202" fontId="1" fillId="18" borderId="0" xfId="195" applyNumberFormat="1" applyFill="1"/>
    <xf numFmtId="203" fontId="28" fillId="28" borderId="168" xfId="111" applyNumberFormat="1" applyFont="1" applyFill="1" applyBorder="1" applyAlignment="1" applyProtection="1">
      <alignment horizontal="center" vertical="center" wrapText="1"/>
    </xf>
    <xf numFmtId="0" fontId="5" fillId="19" borderId="157" xfId="0" applyFont="1" applyFill="1" applyBorder="1" applyAlignment="1" applyProtection="1">
      <alignment horizontal="center" vertical="center" wrapText="1"/>
      <protection locked="0"/>
    </xf>
    <xf numFmtId="191" fontId="64" fillId="27" borderId="53" xfId="155" applyNumberFormat="1" applyFont="1" applyFill="1" applyBorder="1" applyAlignment="1">
      <alignment horizontal="center" vertical="center" wrapText="1"/>
    </xf>
    <xf numFmtId="0" fontId="4" fillId="28" borderId="106" xfId="195" applyFont="1" applyFill="1" applyBorder="1" applyAlignment="1">
      <alignment horizontal="center" vertical="center"/>
    </xf>
    <xf numFmtId="2" fontId="64" fillId="27" borderId="55" xfId="155" applyNumberFormat="1" applyFont="1" applyFill="1" applyBorder="1" applyAlignment="1">
      <alignment horizontal="center" vertical="center" wrapText="1"/>
    </xf>
    <xf numFmtId="2" fontId="1" fillId="18" borderId="152" xfId="195" applyNumberFormat="1" applyFill="1" applyBorder="1"/>
    <xf numFmtId="2" fontId="4" fillId="0" borderId="92" xfId="195" applyNumberFormat="1" applyFont="1" applyBorder="1" applyAlignment="1">
      <alignment horizontal="right" vertical="center"/>
    </xf>
    <xf numFmtId="2" fontId="1" fillId="18" borderId="92" xfId="195" applyNumberFormat="1" applyFill="1" applyBorder="1"/>
    <xf numFmtId="2" fontId="3" fillId="18" borderId="0" xfId="195" applyNumberFormat="1" applyFont="1" applyFill="1" applyAlignment="1">
      <alignment horizontal="centerContinuous" vertical="center" wrapText="1"/>
    </xf>
    <xf numFmtId="2" fontId="1" fillId="0" borderId="92" xfId="195" applyNumberFormat="1" applyBorder="1"/>
    <xf numFmtId="2" fontId="4" fillId="0" borderId="168" xfId="148" applyNumberFormat="1" applyFont="1" applyFill="1" applyBorder="1" applyAlignment="1" applyProtection="1">
      <alignment vertical="center"/>
      <protection locked="0"/>
    </xf>
    <xf numFmtId="2" fontId="4" fillId="0" borderId="152" xfId="195" applyNumberFormat="1" applyFont="1" applyBorder="1" applyAlignment="1">
      <alignment horizontal="left" vertical="center"/>
    </xf>
    <xf numFmtId="2" fontId="4" fillId="18" borderId="168" xfId="155" applyNumberFormat="1" applyFont="1" applyFill="1" applyBorder="1" applyAlignment="1"/>
    <xf numFmtId="2" fontId="4" fillId="0" borderId="92" xfId="195" applyNumberFormat="1" applyFont="1" applyBorder="1" applyAlignment="1">
      <alignment vertical="center"/>
    </xf>
    <xf numFmtId="2" fontId="4" fillId="0" borderId="152" xfId="195" applyNumberFormat="1" applyFont="1" applyBorder="1" applyAlignment="1">
      <alignment horizontal="center" vertical="center" wrapText="1"/>
    </xf>
    <xf numFmtId="2" fontId="4" fillId="0" borderId="92" xfId="195" applyNumberFormat="1" applyFont="1" applyBorder="1" applyAlignment="1">
      <alignment horizontal="center" vertical="center" wrapText="1"/>
    </xf>
    <xf numFmtId="2" fontId="4" fillId="0" borderId="154" xfId="195" applyNumberFormat="1" applyFont="1" applyBorder="1" applyAlignment="1">
      <alignment horizontal="center" vertical="center" wrapText="1"/>
    </xf>
    <xf numFmtId="2" fontId="4" fillId="0" borderId="155" xfId="195" applyNumberFormat="1" applyFont="1" applyBorder="1" applyAlignment="1">
      <alignment horizontal="center" vertical="center" wrapText="1"/>
    </xf>
    <xf numFmtId="2" fontId="1" fillId="18" borderId="155" xfId="195" applyNumberFormat="1" applyFill="1" applyBorder="1"/>
    <xf numFmtId="2" fontId="4" fillId="0" borderId="155" xfId="195" applyNumberFormat="1" applyFont="1" applyBorder="1" applyAlignment="1">
      <alignment horizontal="right" vertical="center"/>
    </xf>
    <xf numFmtId="2" fontId="4" fillId="0" borderId="171" xfId="148" applyNumberFormat="1" applyFont="1" applyFill="1" applyBorder="1" applyAlignment="1" applyProtection="1">
      <alignment vertical="center"/>
      <protection locked="0"/>
    </xf>
    <xf numFmtId="2" fontId="1" fillId="0" borderId="0" xfId="173" applyNumberFormat="1"/>
    <xf numFmtId="2" fontId="4" fillId="18" borderId="167" xfId="155" applyNumberFormat="1" applyFont="1" applyFill="1" applyBorder="1" applyAlignment="1">
      <alignment horizontal="center" vertical="center"/>
    </xf>
    <xf numFmtId="0" fontId="4" fillId="28" borderId="155" xfId="195" applyFont="1" applyFill="1" applyBorder="1" applyAlignment="1">
      <alignment vertical="center"/>
    </xf>
    <xf numFmtId="2" fontId="0" fillId="0" borderId="0" xfId="0" applyNumberFormat="1" applyAlignment="1">
      <alignment horizontal="center"/>
    </xf>
    <xf numFmtId="0" fontId="5" fillId="0" borderId="102" xfId="0" applyFont="1" applyBorder="1" applyAlignment="1" applyProtection="1">
      <alignment horizontal="center" vertical="center" wrapText="1"/>
      <protection hidden="1"/>
    </xf>
    <xf numFmtId="4" fontId="6" fillId="0" borderId="69" xfId="0" applyNumberFormat="1" applyFont="1" applyBorder="1" applyAlignment="1" applyProtection="1">
      <alignment horizontal="center" vertical="center"/>
      <protection hidden="1"/>
    </xf>
    <xf numFmtId="0" fontId="5" fillId="19" borderId="22" xfId="193" applyFont="1" applyFill="1" applyBorder="1" applyAlignment="1">
      <alignment horizontal="center" vertical="center" wrapText="1"/>
    </xf>
    <xf numFmtId="193" fontId="5" fillId="19" borderId="22" xfId="193" applyNumberFormat="1" applyFont="1" applyFill="1" applyBorder="1" applyAlignment="1">
      <alignment horizontal="center" vertical="center" wrapText="1"/>
    </xf>
    <xf numFmtId="0" fontId="3" fillId="18" borderId="0" xfId="0" applyFont="1" applyFill="1" applyAlignment="1">
      <alignment horizontal="center" vertical="center" wrapText="1"/>
    </xf>
    <xf numFmtId="0" fontId="5" fillId="19" borderId="156" xfId="0" applyFont="1" applyFill="1" applyBorder="1" applyAlignment="1" applyProtection="1">
      <alignment horizontal="center" vertical="center" wrapText="1"/>
      <protection locked="0"/>
    </xf>
    <xf numFmtId="0" fontId="5" fillId="19" borderId="49" xfId="0" applyFont="1" applyFill="1" applyBorder="1" applyAlignment="1" applyProtection="1">
      <alignment horizontal="center" vertical="center" wrapText="1"/>
      <protection locked="0"/>
    </xf>
    <xf numFmtId="0" fontId="5" fillId="19" borderId="50" xfId="0" applyFont="1" applyFill="1" applyBorder="1" applyAlignment="1" applyProtection="1">
      <alignment horizontal="center" vertical="center" wrapText="1"/>
      <protection locked="0"/>
    </xf>
    <xf numFmtId="0" fontId="4" fillId="19" borderId="48" xfId="182" applyFont="1" applyFill="1" applyBorder="1" applyAlignment="1" applyProtection="1">
      <alignment horizontal="center" vertical="center" wrapText="1"/>
      <protection hidden="1"/>
    </xf>
    <xf numFmtId="0" fontId="4" fillId="19" borderId="50" xfId="182" applyFont="1" applyFill="1" applyBorder="1" applyAlignment="1" applyProtection="1">
      <alignment horizontal="center" vertical="center" wrapText="1"/>
      <protection hidden="1"/>
    </xf>
    <xf numFmtId="0" fontId="4" fillId="19" borderId="33" xfId="182" applyFont="1" applyFill="1" applyBorder="1" applyAlignment="1" applyProtection="1">
      <alignment horizontal="center" vertical="center" wrapText="1"/>
      <protection hidden="1"/>
    </xf>
    <xf numFmtId="0" fontId="4" fillId="19" borderId="34" xfId="182" applyFont="1" applyFill="1" applyBorder="1" applyAlignment="1" applyProtection="1">
      <alignment horizontal="center" vertical="center" wrapText="1"/>
      <protection hidden="1"/>
    </xf>
    <xf numFmtId="0" fontId="4" fillId="19" borderId="18" xfId="182" applyFont="1" applyFill="1" applyBorder="1" applyAlignment="1" applyProtection="1">
      <alignment horizontal="center" vertical="center" wrapText="1"/>
      <protection hidden="1"/>
    </xf>
    <xf numFmtId="0" fontId="4" fillId="19" borderId="20" xfId="182" applyFont="1" applyFill="1" applyBorder="1" applyAlignment="1" applyProtection="1">
      <alignment horizontal="center" vertical="center" wrapText="1"/>
      <protection hidden="1"/>
    </xf>
    <xf numFmtId="0" fontId="1" fillId="0" borderId="18" xfId="0" applyFont="1" applyBorder="1" applyProtection="1">
      <protection hidden="1"/>
    </xf>
    <xf numFmtId="0" fontId="1" fillId="0" borderId="35" xfId="0" applyFont="1" applyBorder="1" applyProtection="1">
      <protection hidden="1"/>
    </xf>
    <xf numFmtId="0" fontId="5" fillId="19" borderId="119" xfId="0" applyFont="1" applyFill="1" applyBorder="1" applyAlignment="1" applyProtection="1">
      <alignment horizontal="center" vertical="center" wrapText="1"/>
      <protection hidden="1"/>
    </xf>
    <xf numFmtId="0" fontId="5" fillId="19" borderId="120" xfId="0" applyFont="1" applyFill="1" applyBorder="1" applyAlignment="1" applyProtection="1">
      <alignment horizontal="center" vertical="center" wrapText="1"/>
      <protection hidden="1"/>
    </xf>
    <xf numFmtId="0" fontId="5" fillId="19" borderId="121" xfId="0" applyFont="1" applyFill="1" applyBorder="1" applyAlignment="1" applyProtection="1">
      <alignment horizontal="center" vertical="center" wrapText="1"/>
      <protection hidden="1"/>
    </xf>
    <xf numFmtId="0" fontId="5" fillId="19" borderId="122" xfId="0" applyFont="1" applyFill="1" applyBorder="1" applyAlignment="1" applyProtection="1">
      <alignment horizontal="center" vertical="center" wrapText="1"/>
      <protection hidden="1"/>
    </xf>
    <xf numFmtId="0" fontId="6" fillId="0" borderId="126" xfId="193" applyFont="1" applyBorder="1" applyAlignment="1">
      <alignment horizontal="right" vertical="center"/>
    </xf>
    <xf numFmtId="0" fontId="6" fillId="0" borderId="127" xfId="193" applyFont="1" applyBorder="1" applyAlignment="1">
      <alignment horizontal="right" vertical="center"/>
    </xf>
    <xf numFmtId="0" fontId="6" fillId="0" borderId="128" xfId="193" applyFont="1" applyBorder="1" applyAlignment="1">
      <alignment horizontal="right" vertical="center"/>
    </xf>
    <xf numFmtId="0" fontId="6" fillId="0" borderId="129" xfId="193" applyFont="1" applyBorder="1" applyAlignment="1">
      <alignment horizontal="right" vertical="center"/>
    </xf>
    <xf numFmtId="0" fontId="6" fillId="0" borderId="130" xfId="193" applyFont="1" applyBorder="1" applyAlignment="1">
      <alignment horizontal="right" vertical="center"/>
    </xf>
    <xf numFmtId="0" fontId="6" fillId="0" borderId="131" xfId="193" applyFont="1" applyBorder="1" applyAlignment="1">
      <alignment horizontal="right" vertical="center"/>
    </xf>
    <xf numFmtId="0" fontId="11" fillId="0" borderId="0" xfId="193" applyFont="1" applyAlignment="1">
      <alignment horizontal="center" vertical="center" wrapText="1"/>
    </xf>
    <xf numFmtId="0" fontId="4" fillId="19" borderId="52" xfId="193" applyFont="1" applyFill="1" applyBorder="1" applyAlignment="1">
      <alignment horizontal="center" vertical="center"/>
    </xf>
    <xf numFmtId="0" fontId="4" fillId="19" borderId="53" xfId="193" applyFont="1" applyFill="1" applyBorder="1" applyAlignment="1">
      <alignment horizontal="center" vertical="center"/>
    </xf>
    <xf numFmtId="0" fontId="4" fillId="19" borderId="55" xfId="193" applyFont="1" applyFill="1" applyBorder="1" applyAlignment="1">
      <alignment horizontal="center" vertical="center"/>
    </xf>
    <xf numFmtId="0" fontId="5" fillId="19" borderId="119" xfId="193" applyFont="1" applyFill="1" applyBorder="1" applyAlignment="1">
      <alignment horizontal="center" vertical="center" wrapText="1"/>
    </xf>
    <xf numFmtId="0" fontId="5" fillId="19" borderId="120" xfId="193" applyFont="1" applyFill="1" applyBorder="1" applyAlignment="1">
      <alignment horizontal="center" vertical="center" wrapText="1"/>
    </xf>
    <xf numFmtId="0" fontId="4" fillId="0" borderId="129" xfId="193" applyFont="1" applyBorder="1" applyAlignment="1">
      <alignment horizontal="right" vertical="center"/>
    </xf>
    <xf numFmtId="0" fontId="4" fillId="0" borderId="130" xfId="193" applyFont="1" applyBorder="1" applyAlignment="1">
      <alignment horizontal="right" vertical="center"/>
    </xf>
    <xf numFmtId="0" fontId="4" fillId="0" borderId="131" xfId="193" applyFont="1" applyBorder="1" applyAlignment="1">
      <alignment horizontal="right" vertical="center"/>
    </xf>
    <xf numFmtId="0" fontId="28" fillId="18" borderId="132" xfId="193" applyFont="1" applyFill="1" applyBorder="1" applyAlignment="1">
      <alignment horizontal="right" vertical="center"/>
    </xf>
    <xf numFmtId="0" fontId="28" fillId="18" borderId="133" xfId="193" applyFont="1" applyFill="1" applyBorder="1" applyAlignment="1">
      <alignment horizontal="right" vertical="center"/>
    </xf>
    <xf numFmtId="0" fontId="28" fillId="18" borderId="134" xfId="193" applyFont="1" applyFill="1" applyBorder="1" applyAlignment="1">
      <alignment horizontal="right" vertical="center"/>
    </xf>
    <xf numFmtId="0" fontId="6" fillId="18" borderId="135" xfId="193" applyFont="1" applyFill="1" applyBorder="1" applyAlignment="1">
      <alignment horizontal="right" vertical="center" wrapText="1"/>
    </xf>
    <xf numFmtId="0" fontId="6" fillId="18" borderId="97" xfId="193" applyFont="1" applyFill="1" applyBorder="1" applyAlignment="1">
      <alignment horizontal="right" vertical="center" wrapText="1"/>
    </xf>
    <xf numFmtId="0" fontId="6" fillId="18" borderId="133" xfId="193" applyFont="1" applyFill="1" applyBorder="1" applyAlignment="1">
      <alignment horizontal="right" vertical="center" wrapText="1"/>
    </xf>
    <xf numFmtId="0" fontId="6" fillId="18" borderId="136" xfId="193" applyFont="1" applyFill="1" applyBorder="1" applyAlignment="1">
      <alignment horizontal="right" vertical="center"/>
    </xf>
    <xf numFmtId="0" fontId="6" fillId="18" borderId="137" xfId="193" applyFont="1" applyFill="1" applyBorder="1" applyAlignment="1">
      <alignment horizontal="right" vertical="center"/>
    </xf>
    <xf numFmtId="0" fontId="6" fillId="18" borderId="138" xfId="193" applyFont="1" applyFill="1" applyBorder="1" applyAlignment="1">
      <alignment horizontal="right" vertical="center"/>
    </xf>
    <xf numFmtId="0" fontId="29" fillId="19" borderId="25" xfId="193" applyFont="1" applyFill="1" applyBorder="1" applyAlignment="1">
      <alignment horizontal="center" vertical="center" wrapText="1"/>
    </xf>
    <xf numFmtId="0" fontId="29" fillId="19" borderId="13" xfId="193" applyFont="1" applyFill="1" applyBorder="1" applyAlignment="1">
      <alignment horizontal="center" vertical="center" wrapText="1"/>
    </xf>
    <xf numFmtId="0" fontId="29" fillId="19" borderId="99" xfId="193" applyFont="1" applyFill="1" applyBorder="1" applyAlignment="1">
      <alignment horizontal="center" vertical="center" wrapText="1"/>
    </xf>
    <xf numFmtId="0" fontId="5" fillId="19" borderId="56" xfId="193" applyFont="1" applyFill="1" applyBorder="1" applyAlignment="1">
      <alignment horizontal="center" vertical="center" wrapText="1"/>
    </xf>
    <xf numFmtId="0" fontId="5" fillId="19" borderId="51" xfId="193" applyFont="1" applyFill="1" applyBorder="1" applyAlignment="1">
      <alignment horizontal="center" vertical="center" wrapText="1"/>
    </xf>
    <xf numFmtId="0" fontId="5" fillId="19" borderId="56" xfId="193" applyFont="1" applyFill="1" applyBorder="1" applyAlignment="1">
      <alignment horizontal="center" vertical="center"/>
    </xf>
    <xf numFmtId="0" fontId="5" fillId="19" borderId="51" xfId="193" applyFont="1" applyFill="1" applyBorder="1" applyAlignment="1">
      <alignment horizontal="center" vertical="center"/>
    </xf>
    <xf numFmtId="0" fontId="6" fillId="19" borderId="39" xfId="0" applyFont="1" applyFill="1" applyBorder="1" applyAlignment="1" applyProtection="1">
      <alignment horizontal="center" vertical="center" wrapText="1"/>
      <protection hidden="1"/>
    </xf>
    <xf numFmtId="0" fontId="6" fillId="19" borderId="86" xfId="0" applyFont="1" applyFill="1" applyBorder="1" applyAlignment="1" applyProtection="1">
      <alignment horizontal="center" vertical="center" wrapText="1"/>
      <protection hidden="1"/>
    </xf>
    <xf numFmtId="0" fontId="6" fillId="19" borderId="119" xfId="0" applyFont="1" applyFill="1" applyBorder="1" applyAlignment="1" applyProtection="1">
      <alignment horizontal="center" vertical="center" wrapText="1"/>
      <protection hidden="1"/>
    </xf>
    <xf numFmtId="0" fontId="6" fillId="19" borderId="120" xfId="0" applyFont="1" applyFill="1" applyBorder="1" applyAlignment="1" applyProtection="1">
      <alignment horizontal="center" vertical="center" wrapText="1"/>
      <protection hidden="1"/>
    </xf>
    <xf numFmtId="0" fontId="6" fillId="19" borderId="57" xfId="0" applyFont="1" applyFill="1" applyBorder="1" applyAlignment="1" applyProtection="1">
      <alignment horizontal="center" vertical="center" wrapText="1"/>
      <protection hidden="1"/>
    </xf>
    <xf numFmtId="0" fontId="6" fillId="19" borderId="38" xfId="0" applyFont="1" applyFill="1" applyBorder="1" applyAlignment="1" applyProtection="1">
      <alignment horizontal="center" vertical="center" wrapText="1"/>
      <protection hidden="1"/>
    </xf>
    <xf numFmtId="0" fontId="5" fillId="19" borderId="123" xfId="193" applyFont="1" applyFill="1" applyBorder="1" applyAlignment="1">
      <alignment horizontal="center" vertical="center" wrapText="1"/>
    </xf>
    <xf numFmtId="0" fontId="5" fillId="19" borderId="141" xfId="193" applyFont="1" applyFill="1" applyBorder="1" applyAlignment="1">
      <alignment horizontal="center" vertical="center" wrapText="1"/>
    </xf>
    <xf numFmtId="0" fontId="21" fillId="0" borderId="0" xfId="0" applyFont="1" applyAlignment="1" applyProtection="1">
      <alignment horizontal="center" vertical="center"/>
      <protection hidden="1"/>
    </xf>
    <xf numFmtId="0" fontId="1" fillId="0" borderId="0" xfId="0" applyFont="1" applyAlignment="1" applyProtection="1">
      <alignment horizontal="center" vertical="center" textRotation="90"/>
      <protection hidden="1"/>
    </xf>
    <xf numFmtId="0" fontId="6" fillId="19" borderId="117" xfId="0" applyFont="1" applyFill="1" applyBorder="1" applyAlignment="1" applyProtection="1">
      <alignment horizontal="center" vertical="center" wrapText="1"/>
      <protection hidden="1"/>
    </xf>
    <xf numFmtId="0" fontId="6" fillId="19" borderId="125" xfId="0" applyFont="1" applyFill="1" applyBorder="1" applyAlignment="1" applyProtection="1">
      <alignment horizontal="center" vertical="center" wrapText="1"/>
      <protection hidden="1"/>
    </xf>
    <xf numFmtId="0" fontId="5" fillId="19" borderId="39" xfId="0" applyFont="1" applyFill="1" applyBorder="1" applyAlignment="1" applyProtection="1">
      <alignment horizontal="center" vertical="center" wrapText="1"/>
      <protection locked="0"/>
    </xf>
    <xf numFmtId="0" fontId="5" fillId="19" borderId="57" xfId="0" applyFont="1" applyFill="1" applyBorder="1" applyAlignment="1" applyProtection="1">
      <alignment horizontal="center" vertical="center" wrapText="1"/>
      <protection locked="0"/>
    </xf>
    <xf numFmtId="0" fontId="6" fillId="19" borderId="142" xfId="0" applyFont="1" applyFill="1" applyBorder="1" applyAlignment="1" applyProtection="1">
      <alignment horizontal="center" vertical="center" wrapText="1"/>
      <protection hidden="1"/>
    </xf>
    <xf numFmtId="0" fontId="22" fillId="19" borderId="48" xfId="0" applyFont="1" applyFill="1" applyBorder="1" applyAlignment="1" applyProtection="1">
      <alignment horizontal="center" vertical="center"/>
      <protection hidden="1"/>
    </xf>
    <xf numFmtId="0" fontId="22" fillId="19" borderId="49" xfId="0" applyFont="1" applyFill="1" applyBorder="1" applyAlignment="1" applyProtection="1">
      <alignment horizontal="center" vertical="center"/>
      <protection hidden="1"/>
    </xf>
    <xf numFmtId="0" fontId="22" fillId="19" borderId="50" xfId="0" applyFont="1" applyFill="1" applyBorder="1" applyAlignment="1" applyProtection="1">
      <alignment horizontal="center" vertical="center"/>
      <protection hidden="1"/>
    </xf>
    <xf numFmtId="179" fontId="23" fillId="19" borderId="139" xfId="0" applyNumberFormat="1" applyFont="1" applyFill="1" applyBorder="1" applyAlignment="1" applyProtection="1">
      <alignment horizontal="center" vertical="center"/>
      <protection hidden="1"/>
    </xf>
    <xf numFmtId="179" fontId="23" fillId="19" borderId="11" xfId="0" applyNumberFormat="1" applyFont="1" applyFill="1" applyBorder="1" applyAlignment="1" applyProtection="1">
      <alignment horizontal="center" vertical="center"/>
      <protection hidden="1"/>
    </xf>
    <xf numFmtId="179" fontId="23" fillId="19" borderId="140" xfId="0" applyNumberFormat="1" applyFont="1" applyFill="1" applyBorder="1" applyAlignment="1" applyProtection="1">
      <alignment horizontal="center" vertical="center"/>
      <protection hidden="1"/>
    </xf>
    <xf numFmtId="0" fontId="29" fillId="19" borderId="52" xfId="193" applyFont="1" applyFill="1" applyBorder="1" applyAlignment="1">
      <alignment horizontal="center" vertical="center" wrapText="1"/>
    </xf>
    <xf numFmtId="0" fontId="29" fillId="19" borderId="53" xfId="193" applyFont="1" applyFill="1" applyBorder="1" applyAlignment="1">
      <alignment horizontal="center" vertical="center" wrapText="1"/>
    </xf>
    <xf numFmtId="0" fontId="29" fillId="19" borderId="55" xfId="193" applyFont="1" applyFill="1" applyBorder="1" applyAlignment="1">
      <alignment horizontal="center" vertical="center" wrapText="1"/>
    </xf>
    <xf numFmtId="0" fontId="5" fillId="19" borderId="94" xfId="193" applyFont="1" applyFill="1" applyBorder="1" applyAlignment="1">
      <alignment horizontal="center" vertical="center" wrapText="1"/>
    </xf>
    <xf numFmtId="0" fontId="5" fillId="19" borderId="94" xfId="193" applyFont="1" applyFill="1" applyBorder="1" applyAlignment="1">
      <alignment horizontal="center" vertical="center"/>
    </xf>
    <xf numFmtId="0" fontId="5" fillId="19" borderId="142" xfId="193" applyFont="1" applyFill="1" applyBorder="1" applyAlignment="1">
      <alignment horizontal="center" vertical="center" wrapText="1"/>
    </xf>
    <xf numFmtId="0" fontId="6" fillId="18" borderId="0" xfId="193" applyFont="1" applyFill="1" applyAlignment="1">
      <alignment horizontal="right" vertical="center"/>
    </xf>
    <xf numFmtId="0" fontId="6" fillId="18" borderId="132" xfId="193" applyFont="1" applyFill="1" applyBorder="1" applyAlignment="1">
      <alignment horizontal="right" vertical="center"/>
    </xf>
    <xf numFmtId="0" fontId="6" fillId="18" borderId="133" xfId="193" applyFont="1" applyFill="1" applyBorder="1" applyAlignment="1">
      <alignment horizontal="right" vertical="center"/>
    </xf>
    <xf numFmtId="0" fontId="6" fillId="18" borderId="143" xfId="193" applyFont="1" applyFill="1" applyBorder="1" applyAlignment="1">
      <alignment horizontal="right" vertical="center"/>
    </xf>
    <xf numFmtId="0" fontId="6" fillId="18" borderId="144" xfId="193" applyFont="1" applyFill="1" applyBorder="1" applyAlignment="1">
      <alignment horizontal="right" vertical="center"/>
    </xf>
    <xf numFmtId="0" fontId="6" fillId="18" borderId="145" xfId="193" applyFont="1" applyFill="1" applyBorder="1" applyAlignment="1">
      <alignment horizontal="right" vertical="center"/>
    </xf>
    <xf numFmtId="0" fontId="6" fillId="18" borderId="146" xfId="193" applyFont="1" applyFill="1" applyBorder="1" applyAlignment="1">
      <alignment horizontal="right" vertical="center"/>
    </xf>
    <xf numFmtId="4" fontId="7" fillId="0" borderId="0" xfId="193" applyNumberFormat="1" applyFont="1" applyAlignment="1">
      <alignment horizontal="left" vertical="center" wrapText="1"/>
    </xf>
    <xf numFmtId="3" fontId="7" fillId="0" borderId="26" xfId="193" applyNumberFormat="1" applyFont="1" applyBorder="1" applyAlignment="1">
      <alignment horizontal="center" vertical="center" wrapText="1"/>
    </xf>
    <xf numFmtId="3" fontId="7" fillId="0" borderId="0" xfId="193" applyNumberFormat="1" applyFont="1" applyAlignment="1">
      <alignment horizontal="center" vertical="center" wrapText="1"/>
    </xf>
    <xf numFmtId="0" fontId="6" fillId="18" borderId="13" xfId="193" applyFont="1" applyFill="1" applyBorder="1" applyAlignment="1">
      <alignment horizontal="right" vertical="center"/>
    </xf>
    <xf numFmtId="0" fontId="11" fillId="18" borderId="74" xfId="193" applyFont="1" applyFill="1" applyBorder="1" applyAlignment="1">
      <alignment horizontal="center" vertical="center" wrapText="1"/>
    </xf>
    <xf numFmtId="0" fontId="11" fillId="18" borderId="142" xfId="193" applyFont="1" applyFill="1" applyBorder="1" applyAlignment="1">
      <alignment horizontal="center" vertical="center" wrapText="1"/>
    </xf>
    <xf numFmtId="0" fontId="11" fillId="18" borderId="124" xfId="193" applyFont="1" applyFill="1" applyBorder="1" applyAlignment="1">
      <alignment horizontal="center" vertical="center" wrapText="1"/>
    </xf>
    <xf numFmtId="0" fontId="11" fillId="18" borderId="82" xfId="193" applyFont="1" applyFill="1" applyBorder="1" applyAlignment="1">
      <alignment horizontal="center" vertical="center" wrapText="1"/>
    </xf>
    <xf numFmtId="0" fontId="11" fillId="18" borderId="116" xfId="193" applyFont="1" applyFill="1" applyBorder="1" applyAlignment="1">
      <alignment horizontal="center" vertical="center" wrapText="1"/>
    </xf>
    <xf numFmtId="0" fontId="11" fillId="18" borderId="147" xfId="193" applyFont="1" applyFill="1" applyBorder="1" applyAlignment="1">
      <alignment horizontal="center" vertical="center" wrapText="1"/>
    </xf>
    <xf numFmtId="0" fontId="6" fillId="18" borderId="148" xfId="193" applyFont="1" applyFill="1" applyBorder="1" applyAlignment="1">
      <alignment horizontal="right" vertical="center"/>
    </xf>
    <xf numFmtId="0" fontId="6" fillId="0" borderId="26" xfId="193" applyFont="1" applyBorder="1" applyAlignment="1">
      <alignment horizontal="center" vertical="center"/>
    </xf>
    <xf numFmtId="0" fontId="4" fillId="0" borderId="26" xfId="193" applyFont="1" applyBorder="1" applyAlignment="1">
      <alignment horizontal="center" vertical="center"/>
    </xf>
    <xf numFmtId="0" fontId="4" fillId="0" borderId="0" xfId="193" applyFont="1" applyAlignment="1">
      <alignment horizontal="center" vertical="center"/>
    </xf>
    <xf numFmtId="0" fontId="6" fillId="0" borderId="0" xfId="193" applyFont="1" applyAlignment="1">
      <alignment horizontal="center" vertical="center"/>
    </xf>
    <xf numFmtId="4" fontId="7" fillId="0" borderId="0" xfId="193" applyNumberFormat="1" applyFont="1" applyAlignment="1">
      <alignment horizontal="center" vertical="center" wrapText="1"/>
    </xf>
    <xf numFmtId="2" fontId="7" fillId="0" borderId="0" xfId="193" applyNumberFormat="1" applyFont="1" applyAlignment="1">
      <alignment horizontal="center" vertical="center" wrapText="1"/>
    </xf>
    <xf numFmtId="0" fontId="6" fillId="19" borderId="73" xfId="0" applyFont="1" applyFill="1" applyBorder="1" applyAlignment="1" applyProtection="1">
      <alignment horizontal="center" vertical="center" wrapText="1"/>
      <protection hidden="1"/>
    </xf>
    <xf numFmtId="0" fontId="6" fillId="19" borderId="74" xfId="0" applyFont="1" applyFill="1" applyBorder="1" applyAlignment="1" applyProtection="1">
      <alignment horizontal="center" vertical="center" wrapText="1"/>
      <protection hidden="1"/>
    </xf>
    <xf numFmtId="0" fontId="5" fillId="19" borderId="149" xfId="193" applyFont="1" applyFill="1" applyBorder="1" applyAlignment="1">
      <alignment horizontal="center" vertical="center" wrapText="1"/>
    </xf>
    <xf numFmtId="181" fontId="1" fillId="0" borderId="0" xfId="0" applyNumberFormat="1" applyFont="1" applyProtection="1">
      <protection hidden="1"/>
    </xf>
    <xf numFmtId="1" fontId="2" fillId="0" borderId="0" xfId="193" applyNumberFormat="1" applyFont="1" applyAlignment="1">
      <alignment horizontal="center" vertical="center" wrapText="1"/>
    </xf>
    <xf numFmtId="0" fontId="5" fillId="19" borderId="22" xfId="193" applyFont="1" applyFill="1" applyBorder="1" applyAlignment="1">
      <alignment horizontal="center" vertical="center"/>
    </xf>
    <xf numFmtId="0" fontId="5" fillId="19" borderId="22" xfId="193" applyFont="1" applyFill="1" applyBorder="1" applyAlignment="1">
      <alignment horizontal="center" vertical="center" wrapText="1"/>
    </xf>
    <xf numFmtId="193" fontId="5" fillId="19" borderId="22" xfId="193" applyNumberFormat="1" applyFont="1" applyFill="1" applyBorder="1" applyAlignment="1">
      <alignment horizontal="center" vertical="center"/>
    </xf>
    <xf numFmtId="0" fontId="6" fillId="18" borderId="52" xfId="193" applyFont="1" applyFill="1" applyBorder="1" applyAlignment="1">
      <alignment horizontal="right" vertical="center"/>
    </xf>
    <xf numFmtId="0" fontId="6" fillId="18" borderId="53" xfId="193" applyFont="1" applyFill="1" applyBorder="1" applyAlignment="1">
      <alignment horizontal="right" vertical="center"/>
    </xf>
    <xf numFmtId="0" fontId="6" fillId="18" borderId="158" xfId="193" applyFont="1" applyFill="1" applyBorder="1" applyAlignment="1">
      <alignment horizontal="right" vertical="center"/>
    </xf>
    <xf numFmtId="0" fontId="64" fillId="26" borderId="25" xfId="195" applyFont="1" applyFill="1" applyBorder="1" applyAlignment="1">
      <alignment horizontal="center" vertical="center" wrapText="1"/>
    </xf>
    <xf numFmtId="0" fontId="64" fillId="26" borderId="99" xfId="195" applyFont="1" applyFill="1" applyBorder="1" applyAlignment="1">
      <alignment horizontal="center" vertical="center" wrapText="1"/>
    </xf>
    <xf numFmtId="0" fontId="64" fillId="26" borderId="26" xfId="195" applyFont="1" applyFill="1" applyBorder="1" applyAlignment="1">
      <alignment horizontal="center" vertical="center" wrapText="1"/>
    </xf>
    <xf numFmtId="0" fontId="64" fillId="26" borderId="98" xfId="195" applyFont="1" applyFill="1" applyBorder="1" applyAlignment="1">
      <alignment horizontal="center" vertical="center" wrapText="1"/>
    </xf>
    <xf numFmtId="0" fontId="64" fillId="27" borderId="153" xfId="195" applyFont="1" applyFill="1" applyBorder="1" applyAlignment="1">
      <alignment horizontal="center" vertical="center" wrapText="1"/>
    </xf>
    <xf numFmtId="0" fontId="64" fillId="27" borderId="65" xfId="195" applyFont="1" applyFill="1" applyBorder="1" applyAlignment="1">
      <alignment horizontal="center" vertical="center" wrapText="1"/>
    </xf>
    <xf numFmtId="196" fontId="67" fillId="29" borderId="26" xfId="195" applyNumberFormat="1" applyFont="1" applyFill="1" applyBorder="1" applyAlignment="1">
      <alignment horizontal="center" vertical="center"/>
    </xf>
    <xf numFmtId="196" fontId="67" fillId="29" borderId="98" xfId="195" applyNumberFormat="1" applyFont="1" applyFill="1" applyBorder="1" applyAlignment="1">
      <alignment horizontal="center" vertical="center"/>
    </xf>
    <xf numFmtId="196" fontId="67" fillId="29" borderId="10" xfId="195" applyNumberFormat="1" applyFont="1" applyFill="1" applyBorder="1" applyAlignment="1">
      <alignment horizontal="center" vertical="center"/>
    </xf>
    <xf numFmtId="196" fontId="67" fillId="29" borderId="17" xfId="195" applyNumberFormat="1" applyFont="1" applyFill="1" applyBorder="1" applyAlignment="1">
      <alignment horizontal="center" vertical="center"/>
    </xf>
    <xf numFmtId="0" fontId="6" fillId="18" borderId="159" xfId="193" applyFont="1" applyFill="1" applyBorder="1" applyAlignment="1">
      <alignment horizontal="right" vertical="center"/>
    </xf>
    <xf numFmtId="0" fontId="6" fillId="18" borderId="160" xfId="193" applyFont="1" applyFill="1" applyBorder="1" applyAlignment="1">
      <alignment horizontal="right" vertical="center"/>
    </xf>
    <xf numFmtId="0" fontId="6" fillId="18" borderId="161" xfId="193" applyFont="1" applyFill="1" applyBorder="1" applyAlignment="1">
      <alignment horizontal="right" vertical="center"/>
    </xf>
    <xf numFmtId="0" fontId="6" fillId="18" borderId="10" xfId="193" applyFont="1" applyFill="1" applyBorder="1" applyAlignment="1">
      <alignment horizontal="right" vertical="center"/>
    </xf>
    <xf numFmtId="0" fontId="6" fillId="18" borderId="11" xfId="193" applyFont="1" applyFill="1" applyBorder="1" applyAlignment="1">
      <alignment horizontal="right" vertical="center"/>
    </xf>
    <xf numFmtId="0" fontId="6" fillId="18" borderId="162" xfId="193" applyFont="1" applyFill="1" applyBorder="1" applyAlignment="1">
      <alignment horizontal="right" vertical="center"/>
    </xf>
    <xf numFmtId="4" fontId="6" fillId="0" borderId="0" xfId="193" applyNumberFormat="1" applyFont="1" applyAlignment="1">
      <alignment horizontal="center" vertical="center"/>
    </xf>
    <xf numFmtId="0" fontId="28" fillId="19" borderId="52" xfId="193" applyFont="1" applyFill="1" applyBorder="1" applyAlignment="1">
      <alignment horizontal="center" vertical="center" wrapText="1"/>
    </xf>
    <xf numFmtId="0" fontId="28" fillId="19" borderId="53" xfId="193" applyFont="1" applyFill="1" applyBorder="1" applyAlignment="1">
      <alignment horizontal="center" vertical="center" wrapText="1"/>
    </xf>
    <xf numFmtId="0" fontId="28" fillId="19" borderId="55" xfId="193" applyFont="1" applyFill="1" applyBorder="1" applyAlignment="1">
      <alignment horizontal="center" vertical="center" wrapText="1"/>
    </xf>
    <xf numFmtId="0" fontId="64" fillId="27" borderId="169" xfId="195" applyFont="1" applyFill="1" applyBorder="1" applyAlignment="1">
      <alignment horizontal="center" vertical="center" wrapText="1"/>
    </xf>
    <xf numFmtId="0" fontId="64" fillId="27" borderId="170" xfId="195" applyFont="1" applyFill="1" applyBorder="1" applyAlignment="1">
      <alignment horizontal="center" vertical="center" wrapText="1"/>
    </xf>
    <xf numFmtId="0" fontId="64" fillId="27" borderId="166" xfId="195" applyFont="1" applyFill="1" applyBorder="1" applyAlignment="1">
      <alignment horizontal="center" vertical="center" wrapText="1"/>
    </xf>
    <xf numFmtId="2" fontId="64" fillId="27" borderId="153" xfId="195" applyNumberFormat="1" applyFont="1" applyFill="1" applyBorder="1" applyAlignment="1">
      <alignment horizontal="left" vertical="center" wrapText="1"/>
    </xf>
    <xf numFmtId="2" fontId="64" fillId="27" borderId="65" xfId="195" applyNumberFormat="1" applyFont="1" applyFill="1" applyBorder="1" applyAlignment="1">
      <alignment horizontal="left" vertical="center" wrapText="1"/>
    </xf>
    <xf numFmtId="2" fontId="64" fillId="27" borderId="165" xfId="195" applyNumberFormat="1" applyFont="1" applyFill="1" applyBorder="1" applyAlignment="1">
      <alignment horizontal="left" vertical="center" wrapText="1"/>
    </xf>
    <xf numFmtId="2" fontId="4" fillId="18" borderId="152" xfId="195" applyNumberFormat="1" applyFont="1" applyFill="1" applyBorder="1" applyAlignment="1">
      <alignment horizontal="right" vertical="center"/>
    </xf>
    <xf numFmtId="2" fontId="4" fillId="18" borderId="92" xfId="195" applyNumberFormat="1" applyFont="1" applyFill="1" applyBorder="1" applyAlignment="1">
      <alignment horizontal="right" vertical="center"/>
    </xf>
    <xf numFmtId="2" fontId="64" fillId="27" borderId="152" xfId="195" applyNumberFormat="1" applyFont="1" applyFill="1" applyBorder="1" applyAlignment="1">
      <alignment horizontal="left" vertical="center" wrapText="1"/>
    </xf>
    <xf numFmtId="2" fontId="64" fillId="27" borderId="92" xfId="195" applyNumberFormat="1" applyFont="1" applyFill="1" applyBorder="1" applyAlignment="1">
      <alignment horizontal="left" vertical="center" wrapText="1"/>
    </xf>
    <xf numFmtId="2" fontId="64" fillId="27" borderId="167" xfId="195" applyNumberFormat="1" applyFont="1" applyFill="1" applyBorder="1" applyAlignment="1">
      <alignment horizontal="left" vertical="center" wrapText="1"/>
    </xf>
    <xf numFmtId="0" fontId="64" fillId="27" borderId="52" xfId="195" applyFont="1" applyFill="1" applyBorder="1" applyAlignment="1">
      <alignment horizontal="center" vertical="center" wrapText="1"/>
    </xf>
    <xf numFmtId="0" fontId="64" fillId="27" borderId="53" xfId="195" applyFont="1" applyFill="1" applyBorder="1" applyAlignment="1">
      <alignment horizontal="center" vertical="center" wrapText="1"/>
    </xf>
    <xf numFmtId="179" fontId="23" fillId="19" borderId="48" xfId="0" applyNumberFormat="1" applyFont="1" applyFill="1" applyBorder="1" applyAlignment="1" applyProtection="1">
      <alignment horizontal="center" vertical="center"/>
      <protection hidden="1"/>
    </xf>
    <xf numFmtId="179" fontId="23" fillId="19" borderId="49" xfId="0" applyNumberFormat="1" applyFont="1" applyFill="1" applyBorder="1" applyAlignment="1" applyProtection="1">
      <alignment horizontal="center" vertical="center"/>
      <protection hidden="1"/>
    </xf>
    <xf numFmtId="179" fontId="23" fillId="19" borderId="50" xfId="0" applyNumberFormat="1" applyFont="1" applyFill="1" applyBorder="1" applyAlignment="1" applyProtection="1">
      <alignment horizontal="center" vertical="center"/>
      <protection hidden="1"/>
    </xf>
    <xf numFmtId="0" fontId="5" fillId="19" borderId="48" xfId="0" applyFont="1" applyFill="1" applyBorder="1" applyAlignment="1" applyProtection="1">
      <alignment horizontal="center" vertical="center" wrapText="1"/>
      <protection locked="0"/>
    </xf>
    <xf numFmtId="0" fontId="5" fillId="19" borderId="157" xfId="0" applyFont="1" applyFill="1" applyBorder="1" applyAlignment="1" applyProtection="1">
      <alignment horizontal="center" vertical="center" wrapText="1"/>
      <protection locked="0"/>
    </xf>
    <xf numFmtId="0" fontId="1" fillId="18" borderId="150" xfId="193" applyFill="1" applyBorder="1" applyAlignment="1">
      <alignment horizontal="center" wrapText="1"/>
    </xf>
    <xf numFmtId="0" fontId="1" fillId="18" borderId="151" xfId="193" applyFill="1" applyBorder="1" applyAlignment="1">
      <alignment horizontal="center" wrapText="1"/>
    </xf>
    <xf numFmtId="0" fontId="4" fillId="0" borderId="25" xfId="193" applyFont="1" applyBorder="1" applyAlignment="1">
      <alignment horizontal="center" vertical="center"/>
    </xf>
    <xf numFmtId="0" fontId="4" fillId="0" borderId="13" xfId="193" applyFont="1" applyBorder="1" applyAlignment="1">
      <alignment horizontal="center" vertical="center"/>
    </xf>
  </cellXfs>
  <cellStyles count="238">
    <cellStyle name="20% - Énfasis1 2" xfId="1" xr:uid="{00000000-0005-0000-0000-000000000000}"/>
    <cellStyle name="20% - Énfasis2 2" xfId="2" xr:uid="{00000000-0005-0000-0000-000001000000}"/>
    <cellStyle name="20% - Énfasis3 2" xfId="3" xr:uid="{00000000-0005-0000-0000-000002000000}"/>
    <cellStyle name="20% - Énfasis4 2" xfId="4" xr:uid="{00000000-0005-0000-0000-000003000000}"/>
    <cellStyle name="20% - Énfasis5 2" xfId="5" xr:uid="{00000000-0005-0000-0000-000004000000}"/>
    <cellStyle name="20% - Énfasis6 2" xfId="6" xr:uid="{00000000-0005-0000-0000-000005000000}"/>
    <cellStyle name="40% - Énfasis1 2" xfId="7" xr:uid="{00000000-0005-0000-0000-000006000000}"/>
    <cellStyle name="40% - Énfasis2 2" xfId="8" xr:uid="{00000000-0005-0000-0000-000007000000}"/>
    <cellStyle name="40% - Énfasis3 2" xfId="9" xr:uid="{00000000-0005-0000-0000-000008000000}"/>
    <cellStyle name="40% - Énfasis4 2" xfId="10" xr:uid="{00000000-0005-0000-0000-000009000000}"/>
    <cellStyle name="40% - Énfasis5 2" xfId="11" xr:uid="{00000000-0005-0000-0000-00000A000000}"/>
    <cellStyle name="40% - Énfasis6 2" xfId="12" xr:uid="{00000000-0005-0000-0000-00000B000000}"/>
    <cellStyle name="60% - Énfasis1 2" xfId="13" xr:uid="{00000000-0005-0000-0000-00000C000000}"/>
    <cellStyle name="60% - Énfasis2 2" xfId="14" xr:uid="{00000000-0005-0000-0000-00000D000000}"/>
    <cellStyle name="60% - Énfasis3 2" xfId="15" xr:uid="{00000000-0005-0000-0000-00000E000000}"/>
    <cellStyle name="60% - Énfasis4 2" xfId="16" xr:uid="{00000000-0005-0000-0000-00000F000000}"/>
    <cellStyle name="60% - Énfasis5 2" xfId="17" xr:uid="{00000000-0005-0000-0000-000010000000}"/>
    <cellStyle name="60% - Énfasis6 2" xfId="18" xr:uid="{00000000-0005-0000-0000-000011000000}"/>
    <cellStyle name="Buena 2" xfId="19" xr:uid="{00000000-0005-0000-0000-000012000000}"/>
    <cellStyle name="Cálculo 2" xfId="20" xr:uid="{00000000-0005-0000-0000-000013000000}"/>
    <cellStyle name="Celda de comprobación 2" xfId="21" xr:uid="{00000000-0005-0000-0000-000014000000}"/>
    <cellStyle name="Celda vinculada 2" xfId="22" xr:uid="{00000000-0005-0000-0000-000015000000}"/>
    <cellStyle name="Comma_ACTA Mod 1 puente UNION_1" xfId="23" xr:uid="{00000000-0005-0000-0000-000016000000}"/>
    <cellStyle name="Comma0" xfId="24" xr:uid="{00000000-0005-0000-0000-000017000000}"/>
    <cellStyle name="Currency0" xfId="25" xr:uid="{00000000-0005-0000-0000-000018000000}"/>
    <cellStyle name="Date" xfId="26" xr:uid="{00000000-0005-0000-0000-000019000000}"/>
    <cellStyle name="Encabezado 4 2" xfId="27" xr:uid="{00000000-0005-0000-0000-00001A000000}"/>
    <cellStyle name="Énfasis1 2" xfId="28" xr:uid="{00000000-0005-0000-0000-00001B000000}"/>
    <cellStyle name="Énfasis2 2" xfId="29" xr:uid="{00000000-0005-0000-0000-00001C000000}"/>
    <cellStyle name="Énfasis3 2" xfId="30" xr:uid="{00000000-0005-0000-0000-00001D000000}"/>
    <cellStyle name="Énfasis4 2" xfId="31" xr:uid="{00000000-0005-0000-0000-00001E000000}"/>
    <cellStyle name="Énfasis5 2" xfId="32" xr:uid="{00000000-0005-0000-0000-00001F000000}"/>
    <cellStyle name="Énfasis6 2" xfId="33" xr:uid="{00000000-0005-0000-0000-000020000000}"/>
    <cellStyle name="Entrada 2" xfId="34" xr:uid="{00000000-0005-0000-0000-000021000000}"/>
    <cellStyle name="Estilo 1" xfId="35" xr:uid="{00000000-0005-0000-0000-000022000000}"/>
    <cellStyle name="Euro" xfId="36" xr:uid="{00000000-0005-0000-0000-000023000000}"/>
    <cellStyle name="Euro 2" xfId="37" xr:uid="{00000000-0005-0000-0000-000024000000}"/>
    <cellStyle name="Euro 2 2" xfId="38" xr:uid="{00000000-0005-0000-0000-000025000000}"/>
    <cellStyle name="Euro 3" xfId="39" xr:uid="{00000000-0005-0000-0000-000026000000}"/>
    <cellStyle name="Euro_APU ANCLAJES SECRETARIA TECNICA" xfId="40" xr:uid="{00000000-0005-0000-0000-000027000000}"/>
    <cellStyle name="F2" xfId="41" xr:uid="{00000000-0005-0000-0000-000028000000}"/>
    <cellStyle name="F3" xfId="42" xr:uid="{00000000-0005-0000-0000-000029000000}"/>
    <cellStyle name="F4" xfId="43" xr:uid="{00000000-0005-0000-0000-00002A000000}"/>
    <cellStyle name="F5" xfId="44" xr:uid="{00000000-0005-0000-0000-00002B000000}"/>
    <cellStyle name="F6" xfId="45" xr:uid="{00000000-0005-0000-0000-00002C000000}"/>
    <cellStyle name="F7" xfId="46" xr:uid="{00000000-0005-0000-0000-00002D000000}"/>
    <cellStyle name="F8" xfId="47" xr:uid="{00000000-0005-0000-0000-00002E000000}"/>
    <cellStyle name="Fixed" xfId="48" xr:uid="{00000000-0005-0000-0000-00002F000000}"/>
    <cellStyle name="Heading 1" xfId="49" xr:uid="{00000000-0005-0000-0000-000030000000}"/>
    <cellStyle name="Heading 2" xfId="50" xr:uid="{00000000-0005-0000-0000-000031000000}"/>
    <cellStyle name="Hipervínculo 2" xfId="51" xr:uid="{00000000-0005-0000-0000-000033000000}"/>
    <cellStyle name="Hipervínculo 3" xfId="52" xr:uid="{00000000-0005-0000-0000-000034000000}"/>
    <cellStyle name="Incorrecto 2" xfId="53" xr:uid="{00000000-0005-0000-0000-000035000000}"/>
    <cellStyle name="Millares" xfId="54" builtinId="3"/>
    <cellStyle name="Millares [0]" xfId="55" builtinId="6"/>
    <cellStyle name="Millares [0] 2" xfId="56" xr:uid="{00000000-0005-0000-0000-000038000000}"/>
    <cellStyle name="Millares 10" xfId="57" xr:uid="{00000000-0005-0000-0000-000039000000}"/>
    <cellStyle name="Millares 10 2 2" xfId="58" xr:uid="{00000000-0005-0000-0000-00003A000000}"/>
    <cellStyle name="Millares 11" xfId="59" xr:uid="{00000000-0005-0000-0000-00003B000000}"/>
    <cellStyle name="Millares 12" xfId="60" xr:uid="{00000000-0005-0000-0000-00003C000000}"/>
    <cellStyle name="Millares 13" xfId="61" xr:uid="{00000000-0005-0000-0000-00003D000000}"/>
    <cellStyle name="Millares 14" xfId="62" xr:uid="{00000000-0005-0000-0000-00003E000000}"/>
    <cellStyle name="Millares 14 2" xfId="63" xr:uid="{00000000-0005-0000-0000-00003F000000}"/>
    <cellStyle name="Millares 15" xfId="64" xr:uid="{00000000-0005-0000-0000-000040000000}"/>
    <cellStyle name="Millares 16" xfId="65" xr:uid="{00000000-0005-0000-0000-000041000000}"/>
    <cellStyle name="Millares 17" xfId="66" xr:uid="{00000000-0005-0000-0000-000042000000}"/>
    <cellStyle name="Millares 18" xfId="67" xr:uid="{00000000-0005-0000-0000-000043000000}"/>
    <cellStyle name="Millares 19" xfId="68" xr:uid="{00000000-0005-0000-0000-000044000000}"/>
    <cellStyle name="Millares 2" xfId="69" xr:uid="{00000000-0005-0000-0000-000045000000}"/>
    <cellStyle name="Millares 2 2" xfId="70" xr:uid="{00000000-0005-0000-0000-000046000000}"/>
    <cellStyle name="Millares 2 2 2" xfId="237" xr:uid="{00000000-0005-0000-0000-000047000000}"/>
    <cellStyle name="Millares 2 2 3_Libro1 2" xfId="71" xr:uid="{00000000-0005-0000-0000-000048000000}"/>
    <cellStyle name="Millares 2 3" xfId="72" xr:uid="{00000000-0005-0000-0000-000049000000}"/>
    <cellStyle name="Millares 2 4" xfId="73" xr:uid="{00000000-0005-0000-0000-00004A000000}"/>
    <cellStyle name="Millares 2 4 3 2" xfId="74" xr:uid="{00000000-0005-0000-0000-00004B000000}"/>
    <cellStyle name="Millares 2 5" xfId="75" xr:uid="{00000000-0005-0000-0000-00004C000000}"/>
    <cellStyle name="Millares 2 6" xfId="76" xr:uid="{00000000-0005-0000-0000-00004D000000}"/>
    <cellStyle name="Millares 20" xfId="77" xr:uid="{00000000-0005-0000-0000-00004E000000}"/>
    <cellStyle name="Millares 21" xfId="78" xr:uid="{00000000-0005-0000-0000-00004F000000}"/>
    <cellStyle name="Millares 22" xfId="79" xr:uid="{00000000-0005-0000-0000-000050000000}"/>
    <cellStyle name="Millares 23" xfId="80" xr:uid="{00000000-0005-0000-0000-000051000000}"/>
    <cellStyle name="Millares 24" xfId="81" xr:uid="{00000000-0005-0000-0000-000052000000}"/>
    <cellStyle name="Millares 25" xfId="82" xr:uid="{00000000-0005-0000-0000-000053000000}"/>
    <cellStyle name="Millares 26" xfId="83" xr:uid="{00000000-0005-0000-0000-000054000000}"/>
    <cellStyle name="Millares 27" xfId="84" xr:uid="{00000000-0005-0000-0000-000055000000}"/>
    <cellStyle name="Millares 28" xfId="85" xr:uid="{00000000-0005-0000-0000-000056000000}"/>
    <cellStyle name="Millares 29" xfId="86" xr:uid="{00000000-0005-0000-0000-000057000000}"/>
    <cellStyle name="Millares 3" xfId="87" xr:uid="{00000000-0005-0000-0000-000058000000}"/>
    <cellStyle name="Millares 3 2" xfId="88" xr:uid="{00000000-0005-0000-0000-000059000000}"/>
    <cellStyle name="Millares 3 3" xfId="89" xr:uid="{00000000-0005-0000-0000-00005A000000}"/>
    <cellStyle name="Millares 30" xfId="90" xr:uid="{00000000-0005-0000-0000-00005B000000}"/>
    <cellStyle name="Millares 31" xfId="91" xr:uid="{00000000-0005-0000-0000-00005C000000}"/>
    <cellStyle name="Millares 32" xfId="92" xr:uid="{00000000-0005-0000-0000-00005D000000}"/>
    <cellStyle name="Millares 33" xfId="93" xr:uid="{00000000-0005-0000-0000-00005E000000}"/>
    <cellStyle name="Millares 34" xfId="94" xr:uid="{00000000-0005-0000-0000-00005F000000}"/>
    <cellStyle name="Millares 35" xfId="95" xr:uid="{00000000-0005-0000-0000-000060000000}"/>
    <cellStyle name="Millares 36" xfId="96" xr:uid="{00000000-0005-0000-0000-000061000000}"/>
    <cellStyle name="Millares 37" xfId="97" xr:uid="{00000000-0005-0000-0000-000062000000}"/>
    <cellStyle name="Millares 38" xfId="98" xr:uid="{00000000-0005-0000-0000-000063000000}"/>
    <cellStyle name="Millares 39" xfId="99" xr:uid="{00000000-0005-0000-0000-000064000000}"/>
    <cellStyle name="Millares 4" xfId="100" xr:uid="{00000000-0005-0000-0000-000065000000}"/>
    <cellStyle name="Millares 40" xfId="101" xr:uid="{00000000-0005-0000-0000-000066000000}"/>
    <cellStyle name="Millares 41" xfId="102" xr:uid="{00000000-0005-0000-0000-000067000000}"/>
    <cellStyle name="Millares 42" xfId="103" xr:uid="{00000000-0005-0000-0000-000068000000}"/>
    <cellStyle name="Millares 43" xfId="104" xr:uid="{00000000-0005-0000-0000-000069000000}"/>
    <cellStyle name="Millares 44" xfId="105" xr:uid="{00000000-0005-0000-0000-00006A000000}"/>
    <cellStyle name="Millares 45" xfId="106" xr:uid="{00000000-0005-0000-0000-00006B000000}"/>
    <cellStyle name="Millares 46" xfId="107" xr:uid="{00000000-0005-0000-0000-00006C000000}"/>
    <cellStyle name="Millares 47" xfId="108" xr:uid="{00000000-0005-0000-0000-00006D000000}"/>
    <cellStyle name="Millares 48" xfId="109" xr:uid="{00000000-0005-0000-0000-00006E000000}"/>
    <cellStyle name="Millares 49" xfId="110" xr:uid="{00000000-0005-0000-0000-00006F000000}"/>
    <cellStyle name="Millares 5" xfId="111" xr:uid="{00000000-0005-0000-0000-000070000000}"/>
    <cellStyle name="Millares 50" xfId="112" xr:uid="{00000000-0005-0000-0000-000071000000}"/>
    <cellStyle name="Millares 51" xfId="113" xr:uid="{00000000-0005-0000-0000-000072000000}"/>
    <cellStyle name="Millares 52" xfId="114" xr:uid="{00000000-0005-0000-0000-000073000000}"/>
    <cellStyle name="Millares 53" xfId="115" xr:uid="{00000000-0005-0000-0000-000074000000}"/>
    <cellStyle name="Millares 54" xfId="116" xr:uid="{00000000-0005-0000-0000-000075000000}"/>
    <cellStyle name="Millares 55" xfId="117" xr:uid="{00000000-0005-0000-0000-000076000000}"/>
    <cellStyle name="Millares 56" xfId="118" xr:uid="{00000000-0005-0000-0000-000077000000}"/>
    <cellStyle name="Millares 57" xfId="119" xr:uid="{00000000-0005-0000-0000-000078000000}"/>
    <cellStyle name="Millares 58" xfId="120" xr:uid="{00000000-0005-0000-0000-000079000000}"/>
    <cellStyle name="Millares 59" xfId="121" xr:uid="{00000000-0005-0000-0000-00007A000000}"/>
    <cellStyle name="Millares 6" xfId="122" xr:uid="{00000000-0005-0000-0000-00007B000000}"/>
    <cellStyle name="Millares 60" xfId="123" xr:uid="{00000000-0005-0000-0000-00007C000000}"/>
    <cellStyle name="Millares 61" xfId="124" xr:uid="{00000000-0005-0000-0000-00007D000000}"/>
    <cellStyle name="Millares 62" xfId="125" xr:uid="{00000000-0005-0000-0000-00007E000000}"/>
    <cellStyle name="Millares 63" xfId="126" xr:uid="{00000000-0005-0000-0000-00007F000000}"/>
    <cellStyle name="Millares 64" xfId="127" xr:uid="{00000000-0005-0000-0000-000080000000}"/>
    <cellStyle name="Millares 65" xfId="128" xr:uid="{00000000-0005-0000-0000-000081000000}"/>
    <cellStyle name="Millares 66" xfId="129" xr:uid="{00000000-0005-0000-0000-000082000000}"/>
    <cellStyle name="Millares 67" xfId="130" xr:uid="{00000000-0005-0000-0000-000083000000}"/>
    <cellStyle name="Millares 68" xfId="131" xr:uid="{00000000-0005-0000-0000-000084000000}"/>
    <cellStyle name="Millares 69" xfId="132" xr:uid="{00000000-0005-0000-0000-000085000000}"/>
    <cellStyle name="Millares 7" xfId="133" xr:uid="{00000000-0005-0000-0000-000086000000}"/>
    <cellStyle name="Millares 70" xfId="134" xr:uid="{00000000-0005-0000-0000-000087000000}"/>
    <cellStyle name="Millares 71" xfId="135" xr:uid="{00000000-0005-0000-0000-000088000000}"/>
    <cellStyle name="Millares 72" xfId="136" xr:uid="{00000000-0005-0000-0000-000089000000}"/>
    <cellStyle name="Millares 73" xfId="137" xr:uid="{00000000-0005-0000-0000-00008A000000}"/>
    <cellStyle name="Millares 74" xfId="138" xr:uid="{00000000-0005-0000-0000-00008B000000}"/>
    <cellStyle name="Millares 75" xfId="139" xr:uid="{00000000-0005-0000-0000-00008C000000}"/>
    <cellStyle name="Millares 76" xfId="140" xr:uid="{00000000-0005-0000-0000-00008D000000}"/>
    <cellStyle name="Millares 77" xfId="141" xr:uid="{00000000-0005-0000-0000-00008E000000}"/>
    <cellStyle name="Millares 78" xfId="142" xr:uid="{00000000-0005-0000-0000-00008F000000}"/>
    <cellStyle name="Millares 79" xfId="143" xr:uid="{00000000-0005-0000-0000-000090000000}"/>
    <cellStyle name="Millares 8" xfId="144" xr:uid="{00000000-0005-0000-0000-000091000000}"/>
    <cellStyle name="Millares 80" xfId="145" xr:uid="{00000000-0005-0000-0000-000092000000}"/>
    <cellStyle name="Millares 81" xfId="146" xr:uid="{00000000-0005-0000-0000-000093000000}"/>
    <cellStyle name="Millares 9" xfId="147" xr:uid="{00000000-0005-0000-0000-000094000000}"/>
    <cellStyle name="Millares_PtosLicitacionesSRTaño03" xfId="148" xr:uid="{00000000-0005-0000-0000-000096000000}"/>
    <cellStyle name="Moneda 10 2" xfId="149" xr:uid="{00000000-0005-0000-0000-000098000000}"/>
    <cellStyle name="Moneda 2" xfId="150" xr:uid="{00000000-0005-0000-0000-000099000000}"/>
    <cellStyle name="Moneda 2 2" xfId="151" xr:uid="{00000000-0005-0000-0000-00009A000000}"/>
    <cellStyle name="Moneda 2 2 2 2 2" xfId="234" xr:uid="{00000000-0005-0000-0000-00009B000000}"/>
    <cellStyle name="Moneda 2 3" xfId="152" xr:uid="{00000000-0005-0000-0000-00009C000000}"/>
    <cellStyle name="Moneda 2 4" xfId="153" xr:uid="{00000000-0005-0000-0000-00009D000000}"/>
    <cellStyle name="Moneda 2 4 2" xfId="236" xr:uid="{00000000-0005-0000-0000-00009E000000}"/>
    <cellStyle name="Moneda 2 5" xfId="154" xr:uid="{00000000-0005-0000-0000-00009F000000}"/>
    <cellStyle name="Moneda 3" xfId="155" xr:uid="{00000000-0005-0000-0000-0000A0000000}"/>
    <cellStyle name="Moneda 3 2" xfId="156" xr:uid="{00000000-0005-0000-0000-0000A1000000}"/>
    <cellStyle name="Moneda 3 3" xfId="157" xr:uid="{00000000-0005-0000-0000-0000A2000000}"/>
    <cellStyle name="Moneda 4" xfId="158" xr:uid="{00000000-0005-0000-0000-0000A3000000}"/>
    <cellStyle name="Moneda 4 2" xfId="159" xr:uid="{00000000-0005-0000-0000-0000A4000000}"/>
    <cellStyle name="Moneda 5" xfId="160" xr:uid="{00000000-0005-0000-0000-0000A5000000}"/>
    <cellStyle name="Moneda 6" xfId="161" xr:uid="{00000000-0005-0000-0000-0000A6000000}"/>
    <cellStyle name="Neutral 2" xfId="162" xr:uid="{00000000-0005-0000-0000-0000A8000000}"/>
    <cellStyle name="Normal" xfId="0" builtinId="0"/>
    <cellStyle name="Normal 10" xfId="163" xr:uid="{00000000-0005-0000-0000-0000AA000000}"/>
    <cellStyle name="Normal 11" xfId="164" xr:uid="{00000000-0005-0000-0000-0000AB000000}"/>
    <cellStyle name="Normal 12" xfId="165" xr:uid="{00000000-0005-0000-0000-0000AC000000}"/>
    <cellStyle name="Normal 13" xfId="166" xr:uid="{00000000-0005-0000-0000-0000AD000000}"/>
    <cellStyle name="Normal 14" xfId="167" xr:uid="{00000000-0005-0000-0000-0000AE000000}"/>
    <cellStyle name="Normal 15" xfId="168" xr:uid="{00000000-0005-0000-0000-0000AF000000}"/>
    <cellStyle name="Normal 16" xfId="169" xr:uid="{00000000-0005-0000-0000-0000B0000000}"/>
    <cellStyle name="Normal 16 2" xfId="170" xr:uid="{00000000-0005-0000-0000-0000B1000000}"/>
    <cellStyle name="Normal 17" xfId="171" xr:uid="{00000000-0005-0000-0000-0000B2000000}"/>
    <cellStyle name="Normal 2" xfId="172" xr:uid="{00000000-0005-0000-0000-0000B3000000}"/>
    <cellStyle name="Normal 2 10" xfId="173" xr:uid="{00000000-0005-0000-0000-0000B4000000}"/>
    <cellStyle name="Normal 2 10 2 2" xfId="233" xr:uid="{00000000-0005-0000-0000-0000B5000000}"/>
    <cellStyle name="Normal 2 10 3" xfId="174" xr:uid="{00000000-0005-0000-0000-0000B6000000}"/>
    <cellStyle name="Normal 2 11" xfId="175" xr:uid="{00000000-0005-0000-0000-0000B7000000}"/>
    <cellStyle name="Normal 2 12" xfId="176" xr:uid="{00000000-0005-0000-0000-0000B8000000}"/>
    <cellStyle name="Normal 2 13" xfId="177" xr:uid="{00000000-0005-0000-0000-0000B9000000}"/>
    <cellStyle name="Normal 2 14" xfId="178" xr:uid="{00000000-0005-0000-0000-0000BA000000}"/>
    <cellStyle name="Normal 2 15" xfId="179" xr:uid="{00000000-0005-0000-0000-0000BB000000}"/>
    <cellStyle name="Normal 2 16" xfId="180" xr:uid="{00000000-0005-0000-0000-0000BC000000}"/>
    <cellStyle name="Normal 2 16 2" xfId="181" xr:uid="{00000000-0005-0000-0000-0000BD000000}"/>
    <cellStyle name="Normal 2 2" xfId="182" xr:uid="{00000000-0005-0000-0000-0000BE000000}"/>
    <cellStyle name="Normal 2 2 2" xfId="183" xr:uid="{00000000-0005-0000-0000-0000BF000000}"/>
    <cellStyle name="Normal 2 3" xfId="184" xr:uid="{00000000-0005-0000-0000-0000C0000000}"/>
    <cellStyle name="Normal 2 3 2" xfId="185" xr:uid="{00000000-0005-0000-0000-0000C1000000}"/>
    <cellStyle name="Normal 2 4" xfId="186" xr:uid="{00000000-0005-0000-0000-0000C2000000}"/>
    <cellStyle name="Normal 2 5" xfId="187" xr:uid="{00000000-0005-0000-0000-0000C3000000}"/>
    <cellStyle name="Normal 2 6" xfId="188" xr:uid="{00000000-0005-0000-0000-0000C4000000}"/>
    <cellStyle name="Normal 2 7" xfId="189" xr:uid="{00000000-0005-0000-0000-0000C5000000}"/>
    <cellStyle name="Normal 2 8" xfId="190" xr:uid="{00000000-0005-0000-0000-0000C6000000}"/>
    <cellStyle name="Normal 2 9" xfId="191" xr:uid="{00000000-0005-0000-0000-0000C7000000}"/>
    <cellStyle name="Normal 2_812.1" xfId="192" xr:uid="{00000000-0005-0000-0000-0000C8000000}"/>
    <cellStyle name="Normal 3" xfId="193" xr:uid="{00000000-0005-0000-0000-0000C9000000}"/>
    <cellStyle name="Normal 3 11" xfId="194" xr:uid="{00000000-0005-0000-0000-0000CA000000}"/>
    <cellStyle name="Normal 3 2" xfId="195" xr:uid="{00000000-0005-0000-0000-0000CB000000}"/>
    <cellStyle name="Normal 3 2 2" xfId="196" xr:uid="{00000000-0005-0000-0000-0000CC000000}"/>
    <cellStyle name="Normal 3 3" xfId="197" xr:uid="{00000000-0005-0000-0000-0000CD000000}"/>
    <cellStyle name="Normal 3 4" xfId="198" xr:uid="{00000000-0005-0000-0000-0000CE000000}"/>
    <cellStyle name="Normal 3_presupuesto sitios criticos Bogota - Ubaque alternat 2" xfId="199" xr:uid="{00000000-0005-0000-0000-0000CF000000}"/>
    <cellStyle name="Normal 4" xfId="200" xr:uid="{00000000-0005-0000-0000-0000D0000000}"/>
    <cellStyle name="Normal 4 2" xfId="201" xr:uid="{00000000-0005-0000-0000-0000D1000000}"/>
    <cellStyle name="Normal 4 2 2" xfId="235" xr:uid="{00000000-0005-0000-0000-0000D2000000}"/>
    <cellStyle name="Normal 4 3" xfId="202" xr:uid="{00000000-0005-0000-0000-0000D3000000}"/>
    <cellStyle name="Normal 5" xfId="203" xr:uid="{00000000-0005-0000-0000-0000D4000000}"/>
    <cellStyle name="Normal 5 2" xfId="204" xr:uid="{00000000-0005-0000-0000-0000D5000000}"/>
    <cellStyle name="Normal 6" xfId="205" xr:uid="{00000000-0005-0000-0000-0000D6000000}"/>
    <cellStyle name="Normal 6 2" xfId="206" xr:uid="{00000000-0005-0000-0000-0000D7000000}"/>
    <cellStyle name="Normal 7" xfId="207" xr:uid="{00000000-0005-0000-0000-0000D8000000}"/>
    <cellStyle name="Normal 8" xfId="208" xr:uid="{00000000-0005-0000-0000-0000D9000000}"/>
    <cellStyle name="Normal 9" xfId="209" xr:uid="{00000000-0005-0000-0000-0000DA000000}"/>
    <cellStyle name="Notas 2" xfId="210" xr:uid="{00000000-0005-0000-0000-0000DB000000}"/>
    <cellStyle name="Porcentaje 2" xfId="211" xr:uid="{00000000-0005-0000-0000-0000DD000000}"/>
    <cellStyle name="Porcentaje 2 2" xfId="212" xr:uid="{00000000-0005-0000-0000-0000DE000000}"/>
    <cellStyle name="Porcentaje 3" xfId="213" xr:uid="{00000000-0005-0000-0000-0000DF000000}"/>
    <cellStyle name="Porcentaje 3 2" xfId="214" xr:uid="{00000000-0005-0000-0000-0000E0000000}"/>
    <cellStyle name="Porcentual 2" xfId="215" xr:uid="{00000000-0005-0000-0000-0000E1000000}"/>
    <cellStyle name="Porcentual 2 2" xfId="216" xr:uid="{00000000-0005-0000-0000-0000E2000000}"/>
    <cellStyle name="Porcentual 2 3" xfId="217" xr:uid="{00000000-0005-0000-0000-0000E3000000}"/>
    <cellStyle name="Porcentual 3" xfId="218" xr:uid="{00000000-0005-0000-0000-0000E4000000}"/>
    <cellStyle name="Porcentual 3 2" xfId="219" xr:uid="{00000000-0005-0000-0000-0000E5000000}"/>
    <cellStyle name="Porcentual 4" xfId="220" xr:uid="{00000000-0005-0000-0000-0000E6000000}"/>
    <cellStyle name="Porcentual 4 2" xfId="221" xr:uid="{00000000-0005-0000-0000-0000E7000000}"/>
    <cellStyle name="Porcentual 5" xfId="222" xr:uid="{00000000-0005-0000-0000-0000E8000000}"/>
    <cellStyle name="Porcentual 6" xfId="223" xr:uid="{00000000-0005-0000-0000-0000E9000000}"/>
    <cellStyle name="Salida 2" xfId="224" xr:uid="{00000000-0005-0000-0000-0000EA000000}"/>
    <cellStyle name="Texto de advertencia 2" xfId="225" xr:uid="{00000000-0005-0000-0000-0000EB000000}"/>
    <cellStyle name="Texto explicativo 2" xfId="226" xr:uid="{00000000-0005-0000-0000-0000EC000000}"/>
    <cellStyle name="Título 1 2" xfId="227" xr:uid="{00000000-0005-0000-0000-0000ED000000}"/>
    <cellStyle name="Título 2 2" xfId="228" xr:uid="{00000000-0005-0000-0000-0000EE000000}"/>
    <cellStyle name="Título 3 2" xfId="229" xr:uid="{00000000-0005-0000-0000-0000EF000000}"/>
    <cellStyle name="Título 4" xfId="230" xr:uid="{00000000-0005-0000-0000-0000F0000000}"/>
    <cellStyle name="Total 2" xfId="231" xr:uid="{00000000-0005-0000-0000-0000F1000000}"/>
    <cellStyle name="Währung" xfId="232" xr:uid="{00000000-0005-0000-0000-0000F2000000}"/>
  </cellStyles>
  <dxfs count="45"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CCCC"/>
        </patternFill>
      </fill>
    </dxf>
    <dxf>
      <font>
        <b/>
        <i val="0"/>
      </font>
      <fill>
        <patternFill>
          <bgColor theme="0" tint="-0.14996795556505021"/>
        </patternFill>
      </fill>
    </dxf>
    <dxf>
      <font>
        <b/>
        <i val="0"/>
        <color auto="1"/>
        <name val="Cambria"/>
        <scheme val="none"/>
      </font>
      <fill>
        <patternFill>
          <bgColor rgb="FFFF99CC"/>
        </patternFill>
      </fill>
    </dxf>
    <dxf>
      <font>
        <b/>
        <i val="0"/>
        <color auto="1"/>
        <name val="Cambria"/>
        <scheme val="none"/>
      </font>
      <fill>
        <patternFill>
          <bgColor rgb="FF00FFFF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theme="0" tint="-0.14996795556505021"/>
        </patternFill>
      </fill>
    </dxf>
    <dxf>
      <font>
        <b/>
        <i val="0"/>
      </font>
      <fill>
        <patternFill>
          <bgColor rgb="FFE1EBFA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C8BEBE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CCCC"/>
        </patternFill>
      </fill>
    </dxf>
    <dxf>
      <font>
        <b/>
        <i val="0"/>
      </font>
      <fill>
        <patternFill>
          <bgColor theme="0" tint="-0.14996795556505021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</font>
      <fill>
        <patternFill>
          <bgColor theme="0" tint="-0.14996795556505021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CCCC"/>
        </patternFill>
      </fill>
    </dxf>
    <dxf>
      <font>
        <b/>
        <i val="0"/>
        <condense val="0"/>
        <extend val="0"/>
        <color indexed="10"/>
      </font>
      <fill>
        <patternFill>
          <bgColor indexed="45"/>
        </patternFill>
      </fill>
    </dxf>
    <dxf>
      <font>
        <b/>
        <i val="0"/>
        <color auto="1"/>
        <name val="Cambria"/>
        <scheme val="none"/>
      </font>
      <fill>
        <patternFill>
          <bgColor rgb="FFFF99CC"/>
        </patternFill>
      </fill>
    </dxf>
    <dxf>
      <font>
        <b/>
        <i val="0"/>
        <color auto="1"/>
        <name val="Cambria"/>
        <scheme val="none"/>
      </font>
      <fill>
        <patternFill>
          <bgColor rgb="FF00FFFF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theme="0" tint="-0.14996795556505021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CCCC"/>
        </patternFill>
      </fill>
    </dxf>
    <dxf>
      <font>
        <b/>
        <i val="0"/>
      </font>
      <fill>
        <patternFill>
          <bgColor theme="0" tint="-0.14996795556505021"/>
        </patternFill>
      </fill>
    </dxf>
    <dxf>
      <font>
        <b/>
        <i val="0"/>
        <condense val="0"/>
        <extend val="0"/>
        <color indexed="10"/>
      </font>
      <fill>
        <patternFill>
          <bgColor indexed="45"/>
        </patternFill>
      </fill>
    </dxf>
    <dxf>
      <font>
        <b/>
        <i val="0"/>
        <color auto="1"/>
        <name val="Cambria"/>
        <scheme val="none"/>
      </font>
      <fill>
        <patternFill>
          <bgColor rgb="FFFF99CC"/>
        </patternFill>
      </fill>
    </dxf>
    <dxf>
      <font>
        <b/>
        <i val="0"/>
        <color auto="1"/>
        <name val="Cambria"/>
        <scheme val="none"/>
      </font>
      <fill>
        <patternFill>
          <bgColor rgb="FF00FFFF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theme="0" tint="-0.14996795556505021"/>
        </patternFill>
      </fill>
    </dxf>
    <dxf>
      <font>
        <b/>
        <i val="0"/>
      </font>
      <fill>
        <patternFill>
          <bgColor indexed="45"/>
        </patternFill>
      </fill>
    </dxf>
    <dxf>
      <font>
        <b/>
        <i val="0"/>
      </font>
      <fill>
        <patternFill>
          <bgColor indexed="29"/>
        </patternFill>
      </fill>
    </dxf>
    <dxf>
      <font>
        <b/>
        <i val="0"/>
      </font>
      <fill>
        <patternFill>
          <bgColor indexed="22"/>
        </patternFill>
      </fill>
    </dxf>
    <dxf>
      <font>
        <b/>
        <i val="0"/>
        <color auto="1"/>
      </font>
      <fill>
        <patternFill>
          <bgColor theme="0" tint="-0.14996795556505021"/>
        </patternFill>
      </fill>
    </dxf>
    <dxf>
      <fill>
        <patternFill>
          <bgColor theme="5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5"/>
        </patternFill>
      </fill>
    </dxf>
    <dxf>
      <font>
        <b/>
        <i val="0"/>
        <color indexed="10"/>
      </font>
      <fill>
        <patternFill>
          <bgColor indexed="45"/>
        </patternFill>
      </fill>
    </dxf>
    <dxf>
      <font>
        <b/>
        <i val="0"/>
      </font>
      <fill>
        <patternFill>
          <bgColor indexed="15"/>
        </patternFill>
      </fill>
    </dxf>
    <dxf>
      <font>
        <b/>
        <i val="0"/>
      </font>
      <fill>
        <patternFill>
          <bgColor indexed="45"/>
        </patternFill>
      </fill>
    </dxf>
    <dxf>
      <font>
        <b/>
        <i val="0"/>
        <color auto="1"/>
        <name val="Cambria"/>
        <scheme val="none"/>
      </font>
      <fill>
        <patternFill patternType="none">
          <bgColor indexed="65"/>
        </patternFill>
      </fill>
    </dxf>
    <dxf>
      <font>
        <b/>
        <i val="0"/>
      </font>
      <fill>
        <patternFill>
          <bgColor indexed="22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1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eetMetadata" Target="metadata.xml"/><Relationship Id="rId20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../media/image1.png"/><Relationship Id="rId1" Type="http://schemas.openxmlformats.org/officeDocument/2006/relationships/hyperlink" Target="https://www.superfinanciera.gov.co/publicacion/60819" TargetMode="External"/><Relationship Id="rId5" Type="http://schemas.openxmlformats.org/officeDocument/2006/relationships/image" Target="../media/image4.png"/><Relationship Id="rId4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34</xdr:row>
      <xdr:rowOff>95250</xdr:rowOff>
    </xdr:from>
    <xdr:to>
      <xdr:col>8</xdr:col>
      <xdr:colOff>640934</xdr:colOff>
      <xdr:row>34</xdr:row>
      <xdr:rowOff>488156</xdr:rowOff>
    </xdr:to>
    <xdr:sp macro="" textlink="">
      <xdr:nvSpPr>
        <xdr:cNvPr id="3" name="Rectángulo redondeado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SpPr/>
      </xdr:nvSpPr>
      <xdr:spPr bwMode="auto">
        <a:xfrm>
          <a:off x="8519089" y="2285110"/>
          <a:ext cx="640934" cy="392906"/>
        </a:xfrm>
        <a:prstGeom prst="roundRect">
          <a:avLst/>
        </a:prstGeom>
        <a:solidFill>
          <a:schemeClr val="accent6">
            <a:lumMod val="60000"/>
            <a:lumOff val="40000"/>
          </a:schemeClr>
        </a:solidFill>
        <a:ln w="9525" cap="flat" cmpd="sng" algn="ctr">
          <a:solidFill>
            <a:srgbClr val="FFFF00"/>
          </a:solidFill>
          <a:prstDash val="solid"/>
          <a:round/>
          <a:headEnd type="none" w="med" len="med"/>
          <a:tailEnd type="none" w="med" len="med"/>
        </a:ln>
        <a:effectLst>
          <a:glow rad="139700">
            <a:schemeClr val="accent4">
              <a:satMod val="175000"/>
              <a:alpha val="40000"/>
            </a:schemeClr>
          </a:glow>
        </a:effectLst>
      </xdr:spPr>
      <xdr:txBody>
        <a:bodyPr vertOverflow="clip" horzOverflow="clip" wrap="square" lIns="18288" tIns="0" rIns="0" bIns="0" rtlCol="0" anchor="t" upright="1">
          <a:scene3d>
            <a:camera prst="orthographicFront"/>
            <a:lightRig rig="threePt" dir="t"/>
          </a:scene3d>
          <a:sp3d extrusionH="57150">
            <a:bevelT w="38100" h="38100"/>
          </a:sp3d>
        </a:bodyPr>
        <a:lstStyle/>
        <a:p>
          <a:pPr algn="l"/>
          <a:r>
            <a:rPr lang="es-CO" sz="1100">
              <a:effectLst>
                <a:innerShdw blurRad="63500" dist="50800" dir="18900000">
                  <a:prstClr val="black">
                    <a:alpha val="50000"/>
                  </a:prstClr>
                </a:innerShdw>
              </a:effectLst>
            </a:rPr>
            <a:t>FORMULA PUNTAJE</a:t>
          </a:r>
        </a:p>
      </xdr:txBody>
    </xdr:sp>
    <xdr:clientData/>
  </xdr:twoCellAnchor>
  <xdr:twoCellAnchor editAs="oneCell">
    <xdr:from>
      <xdr:col>7</xdr:col>
      <xdr:colOff>0</xdr:colOff>
      <xdr:row>10</xdr:row>
      <xdr:rowOff>77515</xdr:rowOff>
    </xdr:from>
    <xdr:to>
      <xdr:col>7</xdr:col>
      <xdr:colOff>200840</xdr:colOff>
      <xdr:row>11</xdr:row>
      <xdr:rowOff>26715</xdr:rowOff>
    </xdr:to>
    <xdr:pic>
      <xdr:nvPicPr>
        <xdr:cNvPr id="2" name="1 Imagen" descr="Exportable a varios formatos - TRM diari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9B0F538B-432F-49EB-AD3E-EB1B46E7BA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021706" y="2601640"/>
          <a:ext cx="204325" cy="158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917653</xdr:colOff>
      <xdr:row>0</xdr:row>
      <xdr:rowOff>69695</xdr:rowOff>
    </xdr:from>
    <xdr:to>
      <xdr:col>14</xdr:col>
      <xdr:colOff>596645</xdr:colOff>
      <xdr:row>12</xdr:row>
      <xdr:rowOff>240039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B3B83518-4758-BB20-4788-D33A617C2142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/>
        <a:srcRect t="18711"/>
        <a:stretch/>
      </xdr:blipFill>
      <xdr:spPr>
        <a:xfrm>
          <a:off x="12359269" y="69695"/>
          <a:ext cx="5382376" cy="3027844"/>
        </a:xfrm>
        <a:prstGeom prst="rect">
          <a:avLst/>
        </a:prstGeom>
      </xdr:spPr>
    </xdr:pic>
    <xdr:clientData/>
  </xdr:twoCellAnchor>
  <xdr:twoCellAnchor editAs="oneCell">
    <xdr:from>
      <xdr:col>8</xdr:col>
      <xdr:colOff>940884</xdr:colOff>
      <xdr:row>14</xdr:row>
      <xdr:rowOff>46463</xdr:rowOff>
    </xdr:from>
    <xdr:to>
      <xdr:col>14</xdr:col>
      <xdr:colOff>662104</xdr:colOff>
      <xdr:row>19</xdr:row>
      <xdr:rowOff>4269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BC61062B-AEC4-2AF9-1527-BAC0DE93EA4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2382500" y="3345365"/>
          <a:ext cx="5424604" cy="1200703"/>
        </a:xfrm>
        <a:prstGeom prst="rect">
          <a:avLst/>
        </a:prstGeom>
      </xdr:spPr>
    </xdr:pic>
    <xdr:clientData/>
  </xdr:twoCellAnchor>
  <xdr:twoCellAnchor editAs="oneCell">
    <xdr:from>
      <xdr:col>8</xdr:col>
      <xdr:colOff>987347</xdr:colOff>
      <xdr:row>19</xdr:row>
      <xdr:rowOff>116158</xdr:rowOff>
    </xdr:from>
    <xdr:to>
      <xdr:col>13</xdr:col>
      <xdr:colOff>702268</xdr:colOff>
      <xdr:row>30</xdr:row>
      <xdr:rowOff>65902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C23908C3-0EB4-43C0-85BC-432261E101D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2428963" y="4657957"/>
          <a:ext cx="4651658" cy="2400689"/>
        </a:xfrm>
        <a:prstGeom prst="rect">
          <a:avLst/>
        </a:prstGeom>
      </xdr:spPr>
    </xdr:pic>
    <xdr:clientData/>
  </xdr:twoCellAnchor>
  <xdr:oneCellAnchor>
    <xdr:from>
      <xdr:col>6</xdr:col>
      <xdr:colOff>0</xdr:colOff>
      <xdr:row>10</xdr:row>
      <xdr:rowOff>77515</xdr:rowOff>
    </xdr:from>
    <xdr:ext cx="200840" cy="262828"/>
    <xdr:pic>
      <xdr:nvPicPr>
        <xdr:cNvPr id="7" name="1 Imagen" descr="Exportable a varios formatos - TRM diari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FD1EB5BD-54F7-4238-8E42-151E5DAA519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861860" y="2307759"/>
          <a:ext cx="200840" cy="2628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0</xdr:colOff>
      <xdr:row>10</xdr:row>
      <xdr:rowOff>77515</xdr:rowOff>
    </xdr:from>
    <xdr:ext cx="200840" cy="262828"/>
    <xdr:pic>
      <xdr:nvPicPr>
        <xdr:cNvPr id="8" name="1 Imagen" descr="Exportable a varios formatos - TRM diari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EF12CB27-E55D-4229-A2E0-4BC872AF76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861860" y="2307759"/>
          <a:ext cx="200840" cy="2628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ocuments\ING_BERNY_PRADO\6_INVIAS\2024\2_TECNICO\6_CMA_DEO_SVR_041_2024_INTERV_LORICA\3_INFO_INICIAL_16JUL24\1_TECNICO\MTZ_TEC_INICIAL_CMA_041_2024_(1a142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S"/>
      <sheetName val="PROPONENTES"/>
      <sheetName val="INTEGRANTES"/>
      <sheetName val="EXPERIENCIA"/>
      <sheetName val="SMMLV CTOS EXT"/>
      <sheetName val="PONDERACION EXP."/>
      <sheetName val="APOYO A IND. NAL."/>
      <sheetName val="EQUIPO DE TRABAJO"/>
      <sheetName val="F.SOSTENIBILIDAD"/>
      <sheetName val="MIPYME"/>
      <sheetName val="VIN.PERS.DISC."/>
      <sheetName val="RNOCI"/>
      <sheetName val="RESUMEN"/>
      <sheetName val="SMMLV"/>
      <sheetName val="DEPENDENCIAS"/>
      <sheetName val="MULTAS Y SANCIONES"/>
      <sheetName val="EVAL. ECONOMICA"/>
      <sheetName val="HAB.GEN."/>
      <sheetName val="RESUMENGEN"/>
      <sheetName val="ELEGIBILIDAD"/>
      <sheetName val="CUADRO INFORME"/>
      <sheetName val="VERIFICACIÓN"/>
      <sheetName val="LISTAS"/>
      <sheetName val="MTZ_TEC_INICIAL_CMA_041_2024_(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>
        <row r="3">
          <cell r="M3" t="str">
            <v>SI APLICA</v>
          </cell>
        </row>
      </sheetData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>
        <row r="2">
          <cell r="B2" t="str">
            <v>DIRECCIÓN GENERAL</v>
          </cell>
          <cell r="T2" t="str">
            <v>MEDIANA CON VALOR ABSOLUTO</v>
          </cell>
        </row>
        <row r="3">
          <cell r="T3" t="str">
            <v>MEDIA GEOMÉTRICA</v>
          </cell>
        </row>
        <row r="4">
          <cell r="T4" t="str">
            <v>MEDIA ARITMÉTICA ALTA</v>
          </cell>
        </row>
        <row r="5">
          <cell r="T5" t="str">
            <v>NO APLICA</v>
          </cell>
        </row>
      </sheetData>
      <sheetData sheetId="23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0">
    <tabColor rgb="FFFFFF00"/>
  </sheetPr>
  <dimension ref="A1:N100"/>
  <sheetViews>
    <sheetView showGridLines="0" view="pageBreakPreview" topLeftCell="A5" zoomScaleNormal="110" zoomScaleSheetLayoutView="100" workbookViewId="0">
      <pane ySplit="7" topLeftCell="A12" activePane="bottomLeft" state="frozen"/>
      <selection activeCell="A16" sqref="A16"/>
      <selection pane="bottomLeft" activeCell="D33" sqref="D33"/>
    </sheetView>
  </sheetViews>
  <sheetFormatPr baseColWidth="10" defaultColWidth="11.44140625" defaultRowHeight="13.2" x14ac:dyDescent="0.25"/>
  <cols>
    <col min="1" max="1" width="3" style="2" customWidth="1"/>
    <col min="2" max="2" width="18.5546875" style="2" customWidth="1"/>
    <col min="3" max="3" width="12.6640625" style="2" customWidth="1"/>
    <col min="4" max="4" width="51.44140625" style="2" customWidth="1"/>
    <col min="5" max="5" width="13.88671875" style="2" customWidth="1"/>
    <col min="6" max="6" width="20" style="20" customWidth="1"/>
    <col min="7" max="7" width="17" style="20" bestFit="1" customWidth="1"/>
    <col min="8" max="10" width="17" style="20" customWidth="1"/>
    <col min="11" max="11" width="18" style="2" customWidth="1"/>
    <col min="12" max="12" width="19.44140625" style="2" customWidth="1"/>
    <col min="13" max="13" width="7.44140625" style="2" customWidth="1"/>
    <col min="14" max="14" width="7.88671875" style="2" customWidth="1"/>
    <col min="15" max="16384" width="11.44140625" style="2"/>
  </cols>
  <sheetData>
    <row r="1" spans="1:14" s="24" customFormat="1" ht="20.100000000000001" customHeight="1" x14ac:dyDescent="0.3">
      <c r="B1" s="52" t="s">
        <v>0</v>
      </c>
      <c r="C1" s="52"/>
      <c r="D1" s="53"/>
      <c r="E1" s="53"/>
      <c r="F1" s="53"/>
      <c r="G1" s="53"/>
      <c r="H1" s="53"/>
      <c r="I1" s="53"/>
      <c r="J1" s="53"/>
      <c r="K1" s="53"/>
    </row>
    <row r="2" spans="1:14" s="24" customFormat="1" ht="20.100000000000001" customHeight="1" x14ac:dyDescent="0.3">
      <c r="B2" s="54" t="s">
        <v>1</v>
      </c>
      <c r="C2" s="54"/>
      <c r="D2" s="53"/>
      <c r="E2" s="53"/>
      <c r="F2" s="53"/>
      <c r="G2" s="53"/>
      <c r="H2" s="53"/>
      <c r="I2" s="53"/>
      <c r="J2" s="53"/>
      <c r="K2" s="53"/>
    </row>
    <row r="3" spans="1:14" s="24" customFormat="1" ht="20.100000000000001" customHeight="1" x14ac:dyDescent="0.3">
      <c r="B3" s="54" t="s">
        <v>2</v>
      </c>
      <c r="C3" s="54"/>
      <c r="D3" s="53"/>
      <c r="E3" s="53"/>
      <c r="F3" s="53"/>
      <c r="G3" s="53"/>
      <c r="H3" s="53"/>
      <c r="I3" s="53"/>
      <c r="J3" s="53"/>
      <c r="K3" s="53"/>
    </row>
    <row r="4" spans="1:14" s="24" customFormat="1" ht="17.399999999999999" x14ac:dyDescent="0.3">
      <c r="A4" s="25"/>
      <c r="B4" s="54" t="s">
        <v>3</v>
      </c>
      <c r="C4" s="54"/>
      <c r="D4" s="53"/>
      <c r="E4" s="53"/>
      <c r="F4" s="53"/>
      <c r="G4" s="53"/>
      <c r="H4" s="53"/>
      <c r="I4" s="53"/>
      <c r="J4" s="53"/>
      <c r="K4" s="53"/>
    </row>
    <row r="5" spans="1:14" s="24" customFormat="1" ht="90.75" customHeight="1" x14ac:dyDescent="0.3">
      <c r="A5" s="25"/>
      <c r="B5" s="400" t="s">
        <v>4</v>
      </c>
      <c r="C5" s="400"/>
      <c r="D5" s="400"/>
      <c r="E5" s="400"/>
      <c r="F5" s="400"/>
      <c r="G5" s="400"/>
      <c r="H5" s="400"/>
      <c r="I5" s="400"/>
      <c r="J5" s="400"/>
      <c r="K5" s="400"/>
      <c r="L5" s="400"/>
      <c r="M5" s="400"/>
      <c r="N5" s="400"/>
    </row>
    <row r="6" spans="1:14" s="24" customFormat="1" ht="17.399999999999999" x14ac:dyDescent="0.3">
      <c r="A6" s="25"/>
      <c r="B6" s="54"/>
      <c r="C6" s="54"/>
      <c r="D6" s="53"/>
      <c r="E6" s="53"/>
      <c r="F6" s="53"/>
      <c r="G6" s="53"/>
      <c r="H6" s="53"/>
      <c r="I6" s="53"/>
      <c r="J6" s="53"/>
      <c r="K6" s="53"/>
    </row>
    <row r="7" spans="1:14" ht="13.5" customHeight="1" x14ac:dyDescent="0.25">
      <c r="A7" s="265"/>
      <c r="B7" s="55" t="s">
        <v>5</v>
      </c>
      <c r="C7" s="55"/>
      <c r="D7" s="56"/>
      <c r="E7" s="56"/>
      <c r="F7" s="56"/>
      <c r="G7" s="56"/>
      <c r="H7" s="56"/>
      <c r="I7" s="56"/>
      <c r="J7" s="56"/>
      <c r="K7" s="56"/>
      <c r="L7" s="265"/>
      <c r="M7" s="265"/>
      <c r="N7" s="265"/>
    </row>
    <row r="8" spans="1:14" ht="13.5" customHeight="1" thickBot="1" x14ac:dyDescent="0.3">
      <c r="A8" s="265"/>
      <c r="B8" s="55" t="s">
        <v>6</v>
      </c>
      <c r="C8" s="55"/>
      <c r="D8" s="56"/>
      <c r="E8" s="56"/>
      <c r="F8" s="56"/>
      <c r="G8" s="56"/>
      <c r="H8" s="56"/>
      <c r="I8" s="56"/>
      <c r="J8" s="56"/>
      <c r="K8" s="56"/>
      <c r="L8" s="265"/>
      <c r="M8" s="265"/>
      <c r="N8" s="265"/>
    </row>
    <row r="9" spans="1:14" ht="10.5" customHeight="1" thickTop="1" x14ac:dyDescent="0.25">
      <c r="A9" s="265"/>
      <c r="B9" s="414" t="s">
        <v>7</v>
      </c>
      <c r="C9" s="412" t="s">
        <v>8</v>
      </c>
      <c r="D9" s="412" t="s">
        <v>9</v>
      </c>
      <c r="E9" s="412" t="s">
        <v>10</v>
      </c>
      <c r="F9" s="401" t="s">
        <v>11</v>
      </c>
      <c r="G9" s="402"/>
      <c r="H9" s="402"/>
      <c r="I9" s="402"/>
      <c r="J9" s="402"/>
      <c r="K9" s="403"/>
      <c r="L9" s="265"/>
      <c r="M9" s="265"/>
      <c r="N9" s="265"/>
    </row>
    <row r="10" spans="1:14" ht="30" customHeight="1" thickBot="1" x14ac:dyDescent="0.3">
      <c r="A10" s="265"/>
      <c r="B10" s="415"/>
      <c r="C10" s="413"/>
      <c r="D10" s="413"/>
      <c r="E10" s="413"/>
      <c r="F10" s="64" t="s">
        <v>12</v>
      </c>
      <c r="G10" s="286" t="s">
        <v>13</v>
      </c>
      <c r="H10" s="319" t="s">
        <v>14</v>
      </c>
      <c r="I10" s="319" t="s">
        <v>15</v>
      </c>
      <c r="J10" s="319" t="s">
        <v>16</v>
      </c>
      <c r="K10" s="297" t="s">
        <v>17</v>
      </c>
      <c r="L10" s="265"/>
      <c r="M10" s="265"/>
      <c r="N10" s="265"/>
    </row>
    <row r="11" spans="1:14" ht="4.5" customHeight="1" x14ac:dyDescent="0.25">
      <c r="A11" s="265"/>
      <c r="B11" s="57"/>
      <c r="C11" s="128"/>
      <c r="D11" s="58"/>
      <c r="E11" s="58"/>
      <c r="F11" s="266"/>
      <c r="G11" s="266"/>
      <c r="H11" s="266"/>
      <c r="I11" s="266"/>
      <c r="J11" s="266"/>
      <c r="K11" s="62"/>
      <c r="L11" s="265"/>
      <c r="M11" s="265"/>
      <c r="N11" s="265"/>
    </row>
    <row r="12" spans="1:14" ht="13.8" thickBot="1" x14ac:dyDescent="0.3">
      <c r="A12" s="265"/>
      <c r="B12" s="259">
        <v>1</v>
      </c>
      <c r="C12" s="260">
        <v>1</v>
      </c>
      <c r="D12" s="249" t="s">
        <v>18</v>
      </c>
      <c r="E12" s="248" t="s">
        <v>19</v>
      </c>
      <c r="F12" s="249">
        <v>10</v>
      </c>
      <c r="G12" s="249">
        <v>1</v>
      </c>
      <c r="H12" s="249">
        <v>20</v>
      </c>
      <c r="I12" s="249">
        <v>1</v>
      </c>
      <c r="J12" s="249">
        <v>0.25</v>
      </c>
      <c r="K12" s="249">
        <v>0.25</v>
      </c>
      <c r="L12" s="265"/>
      <c r="M12" s="265"/>
      <c r="N12" s="265"/>
    </row>
    <row r="13" spans="1:14" x14ac:dyDescent="0.25">
      <c r="A13" s="265"/>
      <c r="B13" s="261">
        <v>2</v>
      </c>
      <c r="C13" s="258">
        <v>2</v>
      </c>
      <c r="D13" s="249" t="s">
        <v>20</v>
      </c>
      <c r="E13" s="248" t="s">
        <v>19</v>
      </c>
      <c r="F13" s="249">
        <v>10</v>
      </c>
      <c r="G13" s="249">
        <v>1</v>
      </c>
      <c r="H13" s="249">
        <v>20</v>
      </c>
      <c r="I13" s="249">
        <v>1</v>
      </c>
      <c r="J13" s="249">
        <v>0.25</v>
      </c>
      <c r="K13" s="249">
        <v>0.25</v>
      </c>
      <c r="L13" s="265"/>
      <c r="M13" s="265"/>
      <c r="N13" s="265"/>
    </row>
    <row r="14" spans="1:14" ht="13.8" thickBot="1" x14ac:dyDescent="0.3">
      <c r="A14" s="265"/>
      <c r="B14" s="261">
        <v>3</v>
      </c>
      <c r="C14" s="258">
        <v>3</v>
      </c>
      <c r="D14" s="249" t="s">
        <v>21</v>
      </c>
      <c r="E14" s="248" t="s">
        <v>22</v>
      </c>
      <c r="F14" s="249">
        <v>10</v>
      </c>
      <c r="G14" s="249">
        <v>1</v>
      </c>
      <c r="H14" s="249">
        <v>20</v>
      </c>
      <c r="I14" s="249">
        <v>1</v>
      </c>
      <c r="J14" s="249">
        <v>0.25</v>
      </c>
      <c r="K14" s="249">
        <v>0.25</v>
      </c>
      <c r="L14" s="265"/>
      <c r="M14" s="265"/>
      <c r="N14" s="265"/>
    </row>
    <row r="15" spans="1:14" ht="13.8" thickBot="1" x14ac:dyDescent="0.3">
      <c r="A15" s="265"/>
      <c r="B15" s="250">
        <v>4</v>
      </c>
      <c r="C15" s="262">
        <v>4</v>
      </c>
      <c r="D15" s="249" t="s">
        <v>23</v>
      </c>
      <c r="E15" s="248" t="s">
        <v>19</v>
      </c>
      <c r="F15" s="249">
        <v>10</v>
      </c>
      <c r="G15" s="249">
        <v>1</v>
      </c>
      <c r="H15" s="249">
        <v>20</v>
      </c>
      <c r="I15" s="249">
        <v>1</v>
      </c>
      <c r="J15" s="249">
        <v>0.25</v>
      </c>
      <c r="K15" s="249">
        <v>0.25</v>
      </c>
      <c r="L15" s="265"/>
      <c r="M15" s="265"/>
      <c r="N15" s="265"/>
    </row>
    <row r="16" spans="1:14" ht="13.8" thickBot="1" x14ac:dyDescent="0.3">
      <c r="A16" s="265"/>
      <c r="B16" s="247">
        <v>5</v>
      </c>
      <c r="C16" s="247">
        <v>5</v>
      </c>
      <c r="D16" s="249" t="s">
        <v>24</v>
      </c>
      <c r="E16" s="248" t="s">
        <v>19</v>
      </c>
      <c r="F16" s="249">
        <v>10</v>
      </c>
      <c r="G16" s="249">
        <v>1</v>
      </c>
      <c r="H16" s="249">
        <v>20</v>
      </c>
      <c r="I16" s="249">
        <v>1</v>
      </c>
      <c r="J16" s="249">
        <v>0.25</v>
      </c>
      <c r="K16" s="249">
        <v>0.25</v>
      </c>
      <c r="L16" s="265"/>
      <c r="M16" s="265"/>
      <c r="N16" s="265"/>
    </row>
    <row r="17" spans="2:11" x14ac:dyDescent="0.25">
      <c r="B17" s="250">
        <v>6</v>
      </c>
      <c r="C17" s="260">
        <v>6</v>
      </c>
      <c r="D17" s="249" t="s">
        <v>25</v>
      </c>
      <c r="E17" s="248" t="s">
        <v>19</v>
      </c>
      <c r="F17" s="249">
        <v>10</v>
      </c>
      <c r="G17" s="249">
        <v>1</v>
      </c>
      <c r="H17" s="249">
        <v>20</v>
      </c>
      <c r="I17" s="249">
        <v>1</v>
      </c>
      <c r="J17" s="249">
        <v>0.25</v>
      </c>
      <c r="K17" s="249">
        <v>0.25</v>
      </c>
    </row>
    <row r="18" spans="2:11" x14ac:dyDescent="0.25">
      <c r="B18" s="247">
        <v>7</v>
      </c>
      <c r="C18" s="258">
        <v>7</v>
      </c>
      <c r="D18" s="249" t="s">
        <v>26</v>
      </c>
      <c r="E18" s="248" t="s">
        <v>19</v>
      </c>
      <c r="F18" s="249">
        <v>10</v>
      </c>
      <c r="G18" s="249">
        <v>1</v>
      </c>
      <c r="H18" s="249">
        <v>20</v>
      </c>
      <c r="I18" s="249">
        <v>1</v>
      </c>
      <c r="J18" s="249">
        <v>0.25</v>
      </c>
      <c r="K18" s="249">
        <v>0.25</v>
      </c>
    </row>
    <row r="19" spans="2:11" ht="13.8" thickBot="1" x14ac:dyDescent="0.3">
      <c r="B19" s="250">
        <v>8</v>
      </c>
      <c r="C19" s="258">
        <v>8</v>
      </c>
      <c r="D19" s="249" t="s">
        <v>27</v>
      </c>
      <c r="E19" s="248" t="s">
        <v>19</v>
      </c>
      <c r="F19" s="249">
        <v>10</v>
      </c>
      <c r="G19" s="249">
        <v>1</v>
      </c>
      <c r="H19" s="249">
        <v>0</v>
      </c>
      <c r="I19" s="249">
        <v>0</v>
      </c>
      <c r="J19" s="249">
        <v>0</v>
      </c>
      <c r="K19" s="249">
        <v>0.25</v>
      </c>
    </row>
    <row r="20" spans="2:11" ht="13.8" thickBot="1" x14ac:dyDescent="0.3">
      <c r="B20" s="247">
        <v>9</v>
      </c>
      <c r="C20" s="262">
        <v>9</v>
      </c>
      <c r="D20" s="249" t="s">
        <v>28</v>
      </c>
      <c r="E20" s="248" t="s">
        <v>19</v>
      </c>
      <c r="F20" s="249">
        <v>10</v>
      </c>
      <c r="G20" s="249">
        <v>1</v>
      </c>
      <c r="H20" s="249">
        <v>20</v>
      </c>
      <c r="I20" s="249">
        <v>1</v>
      </c>
      <c r="J20" s="249">
        <v>0.25</v>
      </c>
      <c r="K20" s="249">
        <v>0.25</v>
      </c>
    </row>
    <row r="21" spans="2:11" ht="13.8" thickBot="1" x14ac:dyDescent="0.3">
      <c r="B21" s="250">
        <v>10</v>
      </c>
      <c r="C21" s="247">
        <v>10</v>
      </c>
      <c r="D21" s="249" t="s">
        <v>29</v>
      </c>
      <c r="E21" s="248" t="s">
        <v>19</v>
      </c>
      <c r="F21" s="249">
        <v>10</v>
      </c>
      <c r="G21" s="249">
        <v>1</v>
      </c>
      <c r="H21" s="249">
        <v>20</v>
      </c>
      <c r="I21" s="249">
        <v>1</v>
      </c>
      <c r="J21" s="249">
        <v>0.25</v>
      </c>
      <c r="K21" s="249">
        <v>0.25</v>
      </c>
    </row>
    <row r="22" spans="2:11" ht="13.8" thickBot="1" x14ac:dyDescent="0.3">
      <c r="B22" s="247">
        <v>11</v>
      </c>
      <c r="C22" s="260">
        <v>11</v>
      </c>
      <c r="D22" s="249" t="s">
        <v>30</v>
      </c>
      <c r="E22" s="248" t="s">
        <v>19</v>
      </c>
      <c r="F22" s="249">
        <v>10</v>
      </c>
      <c r="G22" s="249">
        <v>1</v>
      </c>
      <c r="H22" s="249">
        <v>20</v>
      </c>
      <c r="I22" s="249">
        <v>1</v>
      </c>
      <c r="J22" s="249">
        <v>0.25</v>
      </c>
      <c r="K22" s="249">
        <v>0.25</v>
      </c>
    </row>
    <row r="23" spans="2:11" ht="13.8" thickBot="1" x14ac:dyDescent="0.3">
      <c r="B23" s="250">
        <v>12</v>
      </c>
      <c r="C23" s="258">
        <v>12</v>
      </c>
      <c r="D23" s="249" t="s">
        <v>31</v>
      </c>
      <c r="E23" s="248" t="s">
        <v>19</v>
      </c>
      <c r="F23" s="249">
        <v>10</v>
      </c>
      <c r="G23" s="249">
        <v>1</v>
      </c>
      <c r="H23" s="249">
        <v>20</v>
      </c>
      <c r="I23" s="249">
        <v>0</v>
      </c>
      <c r="J23" s="249">
        <v>0.25</v>
      </c>
      <c r="K23" s="249">
        <v>0.25</v>
      </c>
    </row>
    <row r="24" spans="2:11" ht="13.8" thickBot="1" x14ac:dyDescent="0.3">
      <c r="B24" s="247">
        <v>13</v>
      </c>
      <c r="C24" s="258">
        <v>13</v>
      </c>
      <c r="D24" s="249" t="s">
        <v>32</v>
      </c>
      <c r="E24" s="248" t="s">
        <v>22</v>
      </c>
      <c r="F24" s="249">
        <v>10</v>
      </c>
      <c r="G24" s="249">
        <v>1</v>
      </c>
      <c r="H24" s="249">
        <v>0</v>
      </c>
      <c r="I24" s="249">
        <v>1</v>
      </c>
      <c r="J24" s="249">
        <v>0</v>
      </c>
      <c r="K24" s="249">
        <v>0.25</v>
      </c>
    </row>
    <row r="25" spans="2:11" ht="13.8" thickBot="1" x14ac:dyDescent="0.3">
      <c r="B25" s="250">
        <v>14</v>
      </c>
      <c r="C25" s="262">
        <v>14</v>
      </c>
      <c r="D25" s="249" t="s">
        <v>33</v>
      </c>
      <c r="E25" s="248" t="s">
        <v>19</v>
      </c>
      <c r="F25" s="249">
        <v>10</v>
      </c>
      <c r="G25" s="249">
        <v>1</v>
      </c>
      <c r="H25" s="249">
        <v>20</v>
      </c>
      <c r="I25" s="249">
        <v>1</v>
      </c>
      <c r="J25" s="249">
        <v>0.25</v>
      </c>
      <c r="K25" s="249">
        <v>0.25</v>
      </c>
    </row>
    <row r="26" spans="2:11" ht="13.8" thickBot="1" x14ac:dyDescent="0.3">
      <c r="B26" s="247">
        <v>15</v>
      </c>
      <c r="C26" s="247">
        <v>15</v>
      </c>
      <c r="D26" s="249" t="s">
        <v>34</v>
      </c>
      <c r="E26" s="248" t="s">
        <v>19</v>
      </c>
      <c r="F26" s="249">
        <v>10</v>
      </c>
      <c r="G26" s="249">
        <v>1</v>
      </c>
      <c r="H26" s="249">
        <v>20</v>
      </c>
      <c r="I26" s="249">
        <v>1</v>
      </c>
      <c r="J26" s="249">
        <v>0.25</v>
      </c>
      <c r="K26" s="249">
        <v>0.25</v>
      </c>
    </row>
    <row r="27" spans="2:11" ht="13.8" thickBot="1" x14ac:dyDescent="0.3">
      <c r="B27" s="250">
        <v>16</v>
      </c>
      <c r="C27" s="260">
        <v>16</v>
      </c>
      <c r="D27" s="249" t="s">
        <v>35</v>
      </c>
      <c r="E27" s="248" t="s">
        <v>19</v>
      </c>
      <c r="F27" s="249">
        <v>10</v>
      </c>
      <c r="G27" s="249">
        <v>1</v>
      </c>
      <c r="H27" s="249">
        <v>20</v>
      </c>
      <c r="I27" s="249">
        <v>1</v>
      </c>
      <c r="J27" s="249">
        <v>0.25</v>
      </c>
      <c r="K27" s="249">
        <v>0.25</v>
      </c>
    </row>
    <row r="28" spans="2:11" ht="13.8" thickBot="1" x14ac:dyDescent="0.3">
      <c r="B28" s="247">
        <v>17</v>
      </c>
      <c r="C28" s="258">
        <v>17</v>
      </c>
      <c r="D28" s="249" t="s">
        <v>36</v>
      </c>
      <c r="E28" s="248" t="s">
        <v>19</v>
      </c>
      <c r="F28" s="249">
        <v>10</v>
      </c>
      <c r="G28" s="249">
        <v>1</v>
      </c>
      <c r="H28" s="249">
        <v>20</v>
      </c>
      <c r="I28" s="249">
        <v>0</v>
      </c>
      <c r="J28" s="249">
        <v>0.25</v>
      </c>
      <c r="K28" s="249">
        <v>0.25</v>
      </c>
    </row>
    <row r="29" spans="2:11" ht="13.8" thickBot="1" x14ac:dyDescent="0.3">
      <c r="B29" s="250">
        <v>18</v>
      </c>
      <c r="C29" s="258">
        <v>18</v>
      </c>
      <c r="D29" s="249" t="s">
        <v>37</v>
      </c>
      <c r="E29" s="248" t="s">
        <v>19</v>
      </c>
      <c r="F29" s="249">
        <v>10</v>
      </c>
      <c r="G29" s="249">
        <v>1</v>
      </c>
      <c r="H29" s="249">
        <v>20</v>
      </c>
      <c r="I29" s="249">
        <v>1</v>
      </c>
      <c r="J29" s="249">
        <v>0.25</v>
      </c>
      <c r="K29" s="249">
        <v>0.25</v>
      </c>
    </row>
    <row r="30" spans="2:11" ht="13.8" thickBot="1" x14ac:dyDescent="0.3">
      <c r="B30" s="247">
        <v>19</v>
      </c>
      <c r="C30" s="262">
        <v>19</v>
      </c>
      <c r="D30" s="249" t="s">
        <v>38</v>
      </c>
      <c r="E30" s="248" t="s">
        <v>19</v>
      </c>
      <c r="F30" s="249">
        <v>10</v>
      </c>
      <c r="G30" s="249">
        <v>1</v>
      </c>
      <c r="H30" s="249">
        <v>20</v>
      </c>
      <c r="I30" s="249">
        <v>1</v>
      </c>
      <c r="J30" s="249">
        <v>0.25</v>
      </c>
      <c r="K30" s="249">
        <v>0.25</v>
      </c>
    </row>
    <row r="31" spans="2:11" ht="13.8" thickBot="1" x14ac:dyDescent="0.3">
      <c r="B31" s="250">
        <v>20</v>
      </c>
      <c r="C31" s="247">
        <v>20</v>
      </c>
      <c r="D31" s="249" t="s">
        <v>39</v>
      </c>
      <c r="E31" s="248" t="s">
        <v>19</v>
      </c>
      <c r="F31" s="249">
        <v>10</v>
      </c>
      <c r="G31" s="249">
        <v>1</v>
      </c>
      <c r="H31" s="249">
        <v>20</v>
      </c>
      <c r="I31" s="249">
        <v>1</v>
      </c>
      <c r="J31" s="249">
        <v>0.25</v>
      </c>
      <c r="K31" s="249">
        <v>0.25</v>
      </c>
    </row>
    <row r="32" spans="2:11" ht="13.8" thickBot="1" x14ac:dyDescent="0.3">
      <c r="B32" s="247">
        <v>21</v>
      </c>
      <c r="C32" s="260">
        <v>21</v>
      </c>
      <c r="D32" s="249" t="s">
        <v>40</v>
      </c>
      <c r="E32" s="248" t="s">
        <v>19</v>
      </c>
      <c r="F32" s="249">
        <v>10</v>
      </c>
      <c r="G32" s="249">
        <v>1</v>
      </c>
      <c r="H32" s="249">
        <v>20</v>
      </c>
      <c r="I32" s="249">
        <v>1</v>
      </c>
      <c r="J32" s="249">
        <v>0.25</v>
      </c>
      <c r="K32" s="249">
        <v>0.25</v>
      </c>
    </row>
    <row r="33" spans="2:11" ht="24" x14ac:dyDescent="0.25">
      <c r="B33" s="250">
        <v>22</v>
      </c>
      <c r="C33" s="258">
        <v>22</v>
      </c>
      <c r="D33" s="396" t="s">
        <v>41</v>
      </c>
      <c r="E33" s="248" t="s">
        <v>19</v>
      </c>
      <c r="F33" s="249">
        <v>10</v>
      </c>
      <c r="G33" s="249">
        <v>1</v>
      </c>
      <c r="H33" s="249">
        <v>20</v>
      </c>
      <c r="I33" s="249">
        <v>0</v>
      </c>
      <c r="J33" s="249">
        <v>0.25</v>
      </c>
      <c r="K33" s="249">
        <v>0.25</v>
      </c>
    </row>
    <row r="34" spans="2:11" ht="24" x14ac:dyDescent="0.25">
      <c r="B34" s="247">
        <v>23</v>
      </c>
      <c r="C34" s="258">
        <v>23</v>
      </c>
      <c r="D34" s="396" t="s">
        <v>42</v>
      </c>
      <c r="E34" s="248" t="s">
        <v>19</v>
      </c>
      <c r="F34" s="249">
        <v>10</v>
      </c>
      <c r="G34" s="249">
        <v>1</v>
      </c>
      <c r="H34" s="249">
        <v>20</v>
      </c>
      <c r="I34" s="249">
        <v>0</v>
      </c>
      <c r="J34" s="249">
        <v>0.25</v>
      </c>
      <c r="K34" s="249">
        <v>0.25</v>
      </c>
    </row>
    <row r="35" spans="2:11" ht="13.8" thickBot="1" x14ac:dyDescent="0.3">
      <c r="B35" s="250">
        <v>24</v>
      </c>
      <c r="C35" s="262">
        <v>24</v>
      </c>
      <c r="D35" s="249" t="s">
        <v>43</v>
      </c>
      <c r="E35" s="248" t="s">
        <v>19</v>
      </c>
      <c r="F35" s="249">
        <v>10</v>
      </c>
      <c r="G35" s="249">
        <v>1</v>
      </c>
      <c r="H35" s="249">
        <v>20</v>
      </c>
      <c r="I35" s="249">
        <v>1</v>
      </c>
      <c r="J35" s="249">
        <v>0.25</v>
      </c>
      <c r="K35" s="249">
        <v>0.25</v>
      </c>
    </row>
    <row r="36" spans="2:11" ht="13.8" thickBot="1" x14ac:dyDescent="0.3">
      <c r="B36" s="247">
        <v>25</v>
      </c>
      <c r="C36" s="247">
        <v>25</v>
      </c>
      <c r="D36" s="249" t="s">
        <v>44</v>
      </c>
      <c r="E36" s="248" t="s">
        <v>19</v>
      </c>
      <c r="F36" s="249">
        <v>10</v>
      </c>
      <c r="G36" s="249">
        <v>1</v>
      </c>
      <c r="H36" s="249">
        <v>20</v>
      </c>
      <c r="I36" s="249">
        <v>1</v>
      </c>
      <c r="J36" s="249">
        <v>0.25</v>
      </c>
      <c r="K36" s="249">
        <v>0.25</v>
      </c>
    </row>
    <row r="37" spans="2:11" ht="13.8" thickBot="1" x14ac:dyDescent="0.3">
      <c r="B37" s="250">
        <v>26</v>
      </c>
      <c r="C37" s="260">
        <v>26</v>
      </c>
      <c r="D37" s="249" t="s">
        <v>45</v>
      </c>
      <c r="E37" s="248" t="s">
        <v>19</v>
      </c>
      <c r="F37" s="249">
        <v>10</v>
      </c>
      <c r="G37" s="249">
        <v>1</v>
      </c>
      <c r="H37" s="249">
        <v>20</v>
      </c>
      <c r="I37" s="249">
        <v>0</v>
      </c>
      <c r="J37" s="249">
        <v>0.25</v>
      </c>
      <c r="K37" s="249">
        <v>0.25</v>
      </c>
    </row>
    <row r="38" spans="2:11" ht="13.8" thickBot="1" x14ac:dyDescent="0.3">
      <c r="B38" s="247">
        <v>27</v>
      </c>
      <c r="C38" s="258">
        <v>27</v>
      </c>
      <c r="D38" s="249" t="s">
        <v>46</v>
      </c>
      <c r="E38" s="248" t="s">
        <v>19</v>
      </c>
      <c r="F38" s="249">
        <v>10</v>
      </c>
      <c r="G38" s="249">
        <v>1</v>
      </c>
      <c r="H38" s="249">
        <v>20</v>
      </c>
      <c r="I38" s="249">
        <v>1</v>
      </c>
      <c r="J38" s="249">
        <v>0.25</v>
      </c>
      <c r="K38" s="249">
        <v>0.25</v>
      </c>
    </row>
    <row r="39" spans="2:11" ht="13.8" thickBot="1" x14ac:dyDescent="0.3">
      <c r="B39" s="250">
        <v>28</v>
      </c>
      <c r="C39" s="258">
        <v>28</v>
      </c>
      <c r="D39" s="249" t="s">
        <v>47</v>
      </c>
      <c r="E39" s="248" t="s">
        <v>19</v>
      </c>
      <c r="F39" s="249">
        <v>10</v>
      </c>
      <c r="G39" s="249">
        <v>1</v>
      </c>
      <c r="H39" s="249">
        <v>20</v>
      </c>
      <c r="I39" s="249">
        <v>1</v>
      </c>
      <c r="J39" s="249">
        <v>0.25</v>
      </c>
      <c r="K39" s="249">
        <v>0.25</v>
      </c>
    </row>
    <row r="40" spans="2:11" ht="13.8" thickBot="1" x14ac:dyDescent="0.3">
      <c r="B40" s="247">
        <v>29</v>
      </c>
      <c r="C40" s="262">
        <v>29</v>
      </c>
      <c r="D40" s="249" t="s">
        <v>48</v>
      </c>
      <c r="E40" s="248" t="s">
        <v>19</v>
      </c>
      <c r="F40" s="249">
        <v>10</v>
      </c>
      <c r="G40" s="249">
        <v>1</v>
      </c>
      <c r="H40" s="249">
        <v>20</v>
      </c>
      <c r="I40" s="249">
        <v>1</v>
      </c>
      <c r="J40" s="249">
        <v>0.25</v>
      </c>
      <c r="K40" s="249">
        <v>0.25</v>
      </c>
    </row>
    <row r="41" spans="2:11" ht="13.8" thickBot="1" x14ac:dyDescent="0.3">
      <c r="B41" s="250">
        <v>30</v>
      </c>
      <c r="C41" s="247">
        <v>30</v>
      </c>
      <c r="D41" s="249" t="s">
        <v>49</v>
      </c>
      <c r="E41" s="248" t="s">
        <v>19</v>
      </c>
      <c r="F41" s="249">
        <v>10</v>
      </c>
      <c r="G41" s="249">
        <v>1</v>
      </c>
      <c r="H41" s="249">
        <v>20</v>
      </c>
      <c r="I41" s="249">
        <v>1</v>
      </c>
      <c r="J41" s="249">
        <v>0</v>
      </c>
      <c r="K41" s="249">
        <v>0.25</v>
      </c>
    </row>
    <row r="42" spans="2:11" ht="13.8" thickBot="1" x14ac:dyDescent="0.3">
      <c r="B42" s="247">
        <v>31</v>
      </c>
      <c r="C42" s="260">
        <v>31</v>
      </c>
      <c r="D42" s="249" t="s">
        <v>50</v>
      </c>
      <c r="E42" s="248" t="s">
        <v>19</v>
      </c>
      <c r="F42" s="249">
        <v>10</v>
      </c>
      <c r="G42" s="249">
        <v>1</v>
      </c>
      <c r="H42" s="249">
        <v>0</v>
      </c>
      <c r="I42" s="249">
        <v>1</v>
      </c>
      <c r="J42" s="249">
        <v>0.25</v>
      </c>
      <c r="K42" s="249">
        <v>0.25</v>
      </c>
    </row>
    <row r="43" spans="2:11" ht="13.8" thickBot="1" x14ac:dyDescent="0.3">
      <c r="B43" s="250">
        <v>32</v>
      </c>
      <c r="C43" s="258">
        <v>32</v>
      </c>
      <c r="D43" s="249" t="s">
        <v>51</v>
      </c>
      <c r="E43" s="248" t="s">
        <v>19</v>
      </c>
      <c r="F43" s="249">
        <v>10</v>
      </c>
      <c r="G43" s="249">
        <v>1</v>
      </c>
      <c r="H43" s="249">
        <v>20</v>
      </c>
      <c r="I43" s="249">
        <v>1</v>
      </c>
      <c r="J43" s="249">
        <v>0.25</v>
      </c>
      <c r="K43" s="249">
        <v>0</v>
      </c>
    </row>
    <row r="44" spans="2:11" ht="13.8" thickBot="1" x14ac:dyDescent="0.3">
      <c r="B44" s="247">
        <v>33</v>
      </c>
      <c r="C44" s="258">
        <v>33</v>
      </c>
      <c r="D44" s="249" t="s">
        <v>52</v>
      </c>
      <c r="E44" s="248" t="s">
        <v>19</v>
      </c>
      <c r="F44" s="249">
        <v>10</v>
      </c>
      <c r="G44" s="249">
        <v>1</v>
      </c>
      <c r="H44" s="249">
        <v>20</v>
      </c>
      <c r="I44" s="249">
        <v>0</v>
      </c>
      <c r="J44" s="249">
        <v>0.25</v>
      </c>
      <c r="K44" s="249">
        <v>0.25</v>
      </c>
    </row>
    <row r="45" spans="2:11" ht="13.8" thickBot="1" x14ac:dyDescent="0.3">
      <c r="B45" s="250">
        <v>34</v>
      </c>
      <c r="C45" s="262">
        <v>34</v>
      </c>
      <c r="D45" s="249" t="s">
        <v>53</v>
      </c>
      <c r="E45" s="248" t="s">
        <v>19</v>
      </c>
      <c r="F45" s="249">
        <v>10</v>
      </c>
      <c r="G45" s="249">
        <v>1</v>
      </c>
      <c r="H45" s="249">
        <v>20</v>
      </c>
      <c r="I45" s="249">
        <v>1</v>
      </c>
      <c r="J45" s="249">
        <v>0.25</v>
      </c>
      <c r="K45" s="249">
        <v>0.25</v>
      </c>
    </row>
    <row r="46" spans="2:11" ht="13.8" thickBot="1" x14ac:dyDescent="0.3">
      <c r="B46" s="247">
        <v>35</v>
      </c>
      <c r="C46" s="247">
        <v>35</v>
      </c>
      <c r="D46" s="249" t="s">
        <v>54</v>
      </c>
      <c r="E46" s="248" t="s">
        <v>19</v>
      </c>
      <c r="F46" s="249">
        <v>10</v>
      </c>
      <c r="G46" s="249">
        <v>1</v>
      </c>
      <c r="H46" s="249">
        <v>20</v>
      </c>
      <c r="I46" s="249">
        <v>1</v>
      </c>
      <c r="J46" s="249">
        <v>0.25</v>
      </c>
      <c r="K46" s="249">
        <v>0.25</v>
      </c>
    </row>
    <row r="47" spans="2:11" ht="13.8" thickBot="1" x14ac:dyDescent="0.3">
      <c r="B47" s="250">
        <v>36</v>
      </c>
      <c r="C47" s="260">
        <v>36</v>
      </c>
      <c r="D47" s="249" t="s">
        <v>55</v>
      </c>
      <c r="E47" s="248" t="s">
        <v>19</v>
      </c>
      <c r="F47" s="249">
        <v>10</v>
      </c>
      <c r="G47" s="249">
        <v>1</v>
      </c>
      <c r="H47" s="249">
        <v>20</v>
      </c>
      <c r="I47" s="249">
        <v>0</v>
      </c>
      <c r="J47" s="249">
        <v>0.25</v>
      </c>
      <c r="K47" s="249">
        <v>0.25</v>
      </c>
    </row>
    <row r="48" spans="2:11" ht="13.8" thickBot="1" x14ac:dyDescent="0.3">
      <c r="B48" s="247">
        <v>37</v>
      </c>
      <c r="C48" s="258">
        <v>37</v>
      </c>
      <c r="D48" s="249" t="s">
        <v>56</v>
      </c>
      <c r="E48" s="248" t="s">
        <v>19</v>
      </c>
      <c r="F48" s="249">
        <v>10</v>
      </c>
      <c r="G48" s="249">
        <v>1</v>
      </c>
      <c r="H48" s="249">
        <v>20</v>
      </c>
      <c r="I48" s="249">
        <v>1</v>
      </c>
      <c r="J48" s="249">
        <v>0.25</v>
      </c>
      <c r="K48" s="249">
        <v>0.25</v>
      </c>
    </row>
    <row r="49" spans="2:11" ht="13.8" thickBot="1" x14ac:dyDescent="0.3">
      <c r="B49" s="250">
        <v>38</v>
      </c>
      <c r="C49" s="258">
        <v>38</v>
      </c>
      <c r="D49" s="249" t="s">
        <v>57</v>
      </c>
      <c r="E49" s="248" t="s">
        <v>19</v>
      </c>
      <c r="F49" s="249">
        <v>10</v>
      </c>
      <c r="G49" s="249">
        <v>1</v>
      </c>
      <c r="H49" s="249">
        <v>20</v>
      </c>
      <c r="I49" s="249">
        <v>1</v>
      </c>
      <c r="J49" s="249">
        <v>0.25</v>
      </c>
      <c r="K49" s="249">
        <v>0.25</v>
      </c>
    </row>
    <row r="50" spans="2:11" ht="13.8" thickBot="1" x14ac:dyDescent="0.3">
      <c r="B50" s="247">
        <v>39</v>
      </c>
      <c r="C50" s="262">
        <v>39</v>
      </c>
      <c r="D50" s="249" t="s">
        <v>58</v>
      </c>
      <c r="E50" s="248" t="s">
        <v>19</v>
      </c>
      <c r="F50" s="249">
        <v>10</v>
      </c>
      <c r="G50" s="249">
        <v>1</v>
      </c>
      <c r="H50" s="249">
        <v>20</v>
      </c>
      <c r="I50" s="249">
        <v>1</v>
      </c>
      <c r="J50" s="249">
        <v>0.25</v>
      </c>
      <c r="K50" s="249">
        <v>0.25</v>
      </c>
    </row>
    <row r="51" spans="2:11" ht="13.8" thickBot="1" x14ac:dyDescent="0.3">
      <c r="B51" s="250">
        <v>40</v>
      </c>
      <c r="C51" s="247">
        <v>40</v>
      </c>
      <c r="D51" s="249" t="s">
        <v>59</v>
      </c>
      <c r="E51" s="248" t="s">
        <v>19</v>
      </c>
      <c r="F51" s="249">
        <v>10</v>
      </c>
      <c r="G51" s="249">
        <v>1</v>
      </c>
      <c r="H51" s="249">
        <v>20</v>
      </c>
      <c r="I51" s="249">
        <v>1</v>
      </c>
      <c r="J51" s="249">
        <v>0.25</v>
      </c>
      <c r="K51" s="249">
        <v>0.25</v>
      </c>
    </row>
    <row r="52" spans="2:11" ht="13.8" thickBot="1" x14ac:dyDescent="0.3">
      <c r="B52" s="247">
        <v>41</v>
      </c>
      <c r="C52" s="260">
        <v>41</v>
      </c>
      <c r="D52" s="249" t="s">
        <v>60</v>
      </c>
      <c r="E52" s="248" t="s">
        <v>19</v>
      </c>
      <c r="F52" s="249">
        <v>10</v>
      </c>
      <c r="G52" s="249">
        <v>1</v>
      </c>
      <c r="H52" s="249">
        <v>20</v>
      </c>
      <c r="I52" s="249">
        <v>1</v>
      </c>
      <c r="J52" s="249">
        <v>0.25</v>
      </c>
      <c r="K52" s="249">
        <v>0.25</v>
      </c>
    </row>
    <row r="53" spans="2:11" ht="13.8" thickBot="1" x14ac:dyDescent="0.3">
      <c r="B53" s="250">
        <v>42</v>
      </c>
      <c r="C53" s="258">
        <v>42</v>
      </c>
      <c r="D53" s="249" t="s">
        <v>61</v>
      </c>
      <c r="E53" s="248" t="s">
        <v>19</v>
      </c>
      <c r="F53" s="249">
        <v>10</v>
      </c>
      <c r="G53" s="249">
        <v>1</v>
      </c>
      <c r="H53" s="249">
        <v>20</v>
      </c>
      <c r="I53" s="249">
        <v>1</v>
      </c>
      <c r="J53" s="249">
        <v>0</v>
      </c>
      <c r="K53" s="249">
        <v>0.25</v>
      </c>
    </row>
    <row r="54" spans="2:11" ht="13.8" thickBot="1" x14ac:dyDescent="0.3">
      <c r="B54" s="247">
        <v>43</v>
      </c>
      <c r="C54" s="258">
        <v>43</v>
      </c>
      <c r="D54" s="249" t="s">
        <v>62</v>
      </c>
      <c r="E54" s="248" t="s">
        <v>19</v>
      </c>
      <c r="F54" s="249">
        <v>10</v>
      </c>
      <c r="G54" s="249">
        <v>1</v>
      </c>
      <c r="H54" s="249">
        <v>20</v>
      </c>
      <c r="I54" s="249">
        <v>1</v>
      </c>
      <c r="J54" s="249">
        <v>0.25</v>
      </c>
      <c r="K54" s="249">
        <v>0.25</v>
      </c>
    </row>
    <row r="55" spans="2:11" ht="13.8" thickBot="1" x14ac:dyDescent="0.3">
      <c r="B55" s="250">
        <v>44</v>
      </c>
      <c r="C55" s="262">
        <v>44</v>
      </c>
      <c r="D55" s="249" t="s">
        <v>63</v>
      </c>
      <c r="E55" s="248" t="s">
        <v>19</v>
      </c>
      <c r="F55" s="249">
        <v>10</v>
      </c>
      <c r="G55" s="249">
        <v>1</v>
      </c>
      <c r="H55" s="249">
        <v>20</v>
      </c>
      <c r="I55" s="249">
        <v>1</v>
      </c>
      <c r="J55" s="249">
        <v>0.25</v>
      </c>
      <c r="K55" s="249">
        <v>0.25</v>
      </c>
    </row>
    <row r="56" spans="2:11" ht="13.8" thickBot="1" x14ac:dyDescent="0.3">
      <c r="B56" s="247">
        <v>45</v>
      </c>
      <c r="C56" s="247">
        <v>45</v>
      </c>
      <c r="D56" s="249" t="s">
        <v>64</v>
      </c>
      <c r="E56" s="248" t="s">
        <v>19</v>
      </c>
      <c r="F56" s="249">
        <v>10</v>
      </c>
      <c r="G56" s="249">
        <v>1</v>
      </c>
      <c r="H56" s="249">
        <v>20</v>
      </c>
      <c r="I56" s="249">
        <v>1</v>
      </c>
      <c r="J56" s="249">
        <v>0.25</v>
      </c>
      <c r="K56" s="249">
        <v>0.25</v>
      </c>
    </row>
    <row r="57" spans="2:11" ht="13.8" thickBot="1" x14ac:dyDescent="0.3">
      <c r="B57" s="250">
        <v>46</v>
      </c>
      <c r="C57" s="260">
        <v>46</v>
      </c>
      <c r="D57" s="249" t="s">
        <v>65</v>
      </c>
      <c r="E57" s="248" t="s">
        <v>19</v>
      </c>
      <c r="F57" s="249">
        <v>10</v>
      </c>
      <c r="G57" s="249">
        <v>1</v>
      </c>
      <c r="H57" s="249">
        <v>20</v>
      </c>
      <c r="I57" s="249">
        <v>1</v>
      </c>
      <c r="J57" s="249">
        <v>0.25</v>
      </c>
      <c r="K57" s="249">
        <v>0.25</v>
      </c>
    </row>
    <row r="58" spans="2:11" ht="13.8" thickBot="1" x14ac:dyDescent="0.3">
      <c r="B58" s="247">
        <v>47</v>
      </c>
      <c r="C58" s="258">
        <v>47</v>
      </c>
      <c r="D58" s="396" t="s">
        <v>66</v>
      </c>
      <c r="E58" s="248" t="s">
        <v>19</v>
      </c>
      <c r="F58" s="249">
        <v>10</v>
      </c>
      <c r="G58" s="249">
        <v>1</v>
      </c>
      <c r="H58" s="249">
        <v>20</v>
      </c>
      <c r="I58" s="249">
        <v>1</v>
      </c>
      <c r="J58" s="249">
        <v>0.25</v>
      </c>
      <c r="K58" s="249">
        <v>0.25</v>
      </c>
    </row>
    <row r="59" spans="2:11" ht="13.8" thickBot="1" x14ac:dyDescent="0.3">
      <c r="B59" s="250">
        <v>48</v>
      </c>
      <c r="C59" s="258">
        <v>48</v>
      </c>
      <c r="D59" s="249" t="s">
        <v>67</v>
      </c>
      <c r="E59" s="248" t="s">
        <v>19</v>
      </c>
      <c r="F59" s="249">
        <v>10</v>
      </c>
      <c r="G59" s="249">
        <v>1</v>
      </c>
      <c r="H59" s="249">
        <v>20</v>
      </c>
      <c r="I59" s="249">
        <v>1</v>
      </c>
      <c r="J59" s="249">
        <v>0.25</v>
      </c>
      <c r="K59" s="249">
        <v>0.25</v>
      </c>
    </row>
    <row r="60" spans="2:11" ht="13.8" thickBot="1" x14ac:dyDescent="0.3">
      <c r="B60" s="247">
        <v>49</v>
      </c>
      <c r="C60" s="262">
        <v>49</v>
      </c>
      <c r="D60" s="396" t="s">
        <v>68</v>
      </c>
      <c r="E60" s="248" t="s">
        <v>19</v>
      </c>
      <c r="F60" s="249">
        <v>10</v>
      </c>
      <c r="G60" s="249">
        <v>1</v>
      </c>
      <c r="H60" s="249">
        <v>20</v>
      </c>
      <c r="I60" s="249">
        <v>1</v>
      </c>
      <c r="J60" s="249">
        <v>0</v>
      </c>
      <c r="K60" s="249">
        <v>0.25</v>
      </c>
    </row>
    <row r="61" spans="2:11" ht="13.8" thickBot="1" x14ac:dyDescent="0.3">
      <c r="B61" s="250">
        <v>50</v>
      </c>
      <c r="C61" s="247">
        <v>50</v>
      </c>
      <c r="D61" s="249" t="s">
        <v>69</v>
      </c>
      <c r="E61" s="248" t="s">
        <v>22</v>
      </c>
      <c r="F61" s="249">
        <v>10</v>
      </c>
      <c r="G61" s="249">
        <v>1</v>
      </c>
      <c r="H61" s="249">
        <v>20</v>
      </c>
      <c r="I61" s="249">
        <v>1</v>
      </c>
      <c r="J61" s="249">
        <v>0.25</v>
      </c>
      <c r="K61" s="249">
        <v>0.25</v>
      </c>
    </row>
    <row r="62" spans="2:11" ht="13.8" thickBot="1" x14ac:dyDescent="0.3">
      <c r="B62" s="247">
        <v>51</v>
      </c>
      <c r="C62" s="260">
        <v>51</v>
      </c>
      <c r="D62" s="249" t="s">
        <v>70</v>
      </c>
      <c r="E62" s="248" t="s">
        <v>19</v>
      </c>
      <c r="F62" s="249">
        <v>10</v>
      </c>
      <c r="G62" s="249">
        <v>1</v>
      </c>
      <c r="H62" s="249">
        <v>20</v>
      </c>
      <c r="I62" s="249">
        <v>0</v>
      </c>
      <c r="J62" s="249">
        <v>0.25</v>
      </c>
      <c r="K62" s="249">
        <v>0.25</v>
      </c>
    </row>
    <row r="63" spans="2:11" ht="13.8" thickBot="1" x14ac:dyDescent="0.3">
      <c r="B63" s="250">
        <v>52</v>
      </c>
      <c r="C63" s="258">
        <v>52</v>
      </c>
      <c r="D63" s="249" t="s">
        <v>71</v>
      </c>
      <c r="E63" s="248" t="s">
        <v>19</v>
      </c>
      <c r="F63" s="249">
        <v>10</v>
      </c>
      <c r="G63" s="249">
        <v>1</v>
      </c>
      <c r="H63" s="249">
        <v>20</v>
      </c>
      <c r="I63" s="249">
        <v>1</v>
      </c>
      <c r="J63" s="249">
        <v>0</v>
      </c>
      <c r="K63" s="249">
        <v>0.25</v>
      </c>
    </row>
    <row r="64" spans="2:11" ht="13.8" thickBot="1" x14ac:dyDescent="0.3">
      <c r="B64" s="247">
        <v>53</v>
      </c>
      <c r="C64" s="258">
        <v>53</v>
      </c>
      <c r="D64" s="249" t="s">
        <v>72</v>
      </c>
      <c r="E64" s="248" t="s">
        <v>19</v>
      </c>
      <c r="F64" s="249">
        <v>10</v>
      </c>
      <c r="G64" s="249">
        <v>1</v>
      </c>
      <c r="H64" s="249">
        <v>20</v>
      </c>
      <c r="I64" s="249">
        <v>1</v>
      </c>
      <c r="J64" s="249">
        <v>0</v>
      </c>
      <c r="K64" s="249">
        <v>0.25</v>
      </c>
    </row>
    <row r="65" spans="2:11" ht="13.8" thickBot="1" x14ac:dyDescent="0.3">
      <c r="B65" s="250">
        <v>54</v>
      </c>
      <c r="C65" s="262">
        <v>54</v>
      </c>
      <c r="D65" s="249" t="s">
        <v>73</v>
      </c>
      <c r="E65" s="248" t="s">
        <v>19</v>
      </c>
      <c r="F65" s="249">
        <v>10</v>
      </c>
      <c r="G65" s="249">
        <v>1</v>
      </c>
      <c r="H65" s="249">
        <v>20</v>
      </c>
      <c r="I65" s="249">
        <v>1</v>
      </c>
      <c r="J65" s="249">
        <v>0</v>
      </c>
      <c r="K65" s="249">
        <v>0.25</v>
      </c>
    </row>
    <row r="66" spans="2:11" ht="13.8" thickBot="1" x14ac:dyDescent="0.3">
      <c r="B66" s="247">
        <v>55</v>
      </c>
      <c r="C66" s="247">
        <v>55</v>
      </c>
      <c r="D66" s="249" t="s">
        <v>74</v>
      </c>
      <c r="E66" s="248" t="s">
        <v>19</v>
      </c>
      <c r="F66" s="249">
        <v>10</v>
      </c>
      <c r="G66" s="249">
        <v>1</v>
      </c>
      <c r="H66" s="249">
        <v>20</v>
      </c>
      <c r="I66" s="249">
        <v>1</v>
      </c>
      <c r="J66" s="249">
        <v>0.25</v>
      </c>
      <c r="K66" s="249">
        <v>0.25</v>
      </c>
    </row>
    <row r="67" spans="2:11" ht="13.8" thickBot="1" x14ac:dyDescent="0.3">
      <c r="B67" s="250">
        <v>56</v>
      </c>
      <c r="C67" s="260">
        <v>56</v>
      </c>
      <c r="D67" s="249" t="s">
        <v>75</v>
      </c>
      <c r="E67" s="248" t="s">
        <v>19</v>
      </c>
      <c r="F67" s="249">
        <v>10</v>
      </c>
      <c r="G67" s="249">
        <v>1</v>
      </c>
      <c r="H67" s="249">
        <v>20</v>
      </c>
      <c r="I67" s="249">
        <v>1</v>
      </c>
      <c r="J67" s="249">
        <v>0.25</v>
      </c>
      <c r="K67" s="249">
        <v>0.25</v>
      </c>
    </row>
    <row r="68" spans="2:11" ht="13.8" thickBot="1" x14ac:dyDescent="0.3">
      <c r="B68" s="247">
        <v>57</v>
      </c>
      <c r="C68" s="258">
        <v>57</v>
      </c>
      <c r="D68" s="249" t="s">
        <v>76</v>
      </c>
      <c r="E68" s="248" t="s">
        <v>19</v>
      </c>
      <c r="F68" s="249">
        <v>10</v>
      </c>
      <c r="G68" s="249">
        <v>1</v>
      </c>
      <c r="H68" s="249">
        <v>20</v>
      </c>
      <c r="I68" s="249">
        <v>1</v>
      </c>
      <c r="J68" s="249">
        <v>0.25</v>
      </c>
      <c r="K68" s="249">
        <v>0.25</v>
      </c>
    </row>
    <row r="69" spans="2:11" ht="13.8" thickBot="1" x14ac:dyDescent="0.3">
      <c r="B69" s="250">
        <v>58</v>
      </c>
      <c r="C69" s="258">
        <v>58</v>
      </c>
      <c r="D69" s="249" t="s">
        <v>77</v>
      </c>
      <c r="E69" s="248" t="s">
        <v>19</v>
      </c>
      <c r="F69" s="249">
        <v>10</v>
      </c>
      <c r="G69" s="249">
        <v>1</v>
      </c>
      <c r="H69" s="249">
        <v>20</v>
      </c>
      <c r="I69" s="249">
        <v>0</v>
      </c>
      <c r="J69" s="249">
        <v>0.25</v>
      </c>
      <c r="K69" s="249">
        <v>0.25</v>
      </c>
    </row>
    <row r="70" spans="2:11" ht="13.8" thickBot="1" x14ac:dyDescent="0.3">
      <c r="B70" s="247">
        <v>59</v>
      </c>
      <c r="C70" s="262">
        <v>59</v>
      </c>
      <c r="D70" s="249" t="s">
        <v>78</v>
      </c>
      <c r="E70" s="248" t="s">
        <v>19</v>
      </c>
      <c r="F70" s="249">
        <v>10</v>
      </c>
      <c r="G70" s="249">
        <v>1</v>
      </c>
      <c r="H70" s="249">
        <v>20</v>
      </c>
      <c r="I70" s="249">
        <v>1</v>
      </c>
      <c r="J70" s="249">
        <v>0.25</v>
      </c>
      <c r="K70" s="249">
        <v>0.25</v>
      </c>
    </row>
    <row r="71" spans="2:11" ht="13.8" thickBot="1" x14ac:dyDescent="0.3">
      <c r="B71" s="250">
        <v>60</v>
      </c>
      <c r="C71" s="247">
        <v>60</v>
      </c>
      <c r="D71" s="249" t="s">
        <v>79</v>
      </c>
      <c r="E71" s="248" t="s">
        <v>19</v>
      </c>
      <c r="F71" s="249">
        <v>10</v>
      </c>
      <c r="G71" s="249">
        <v>1</v>
      </c>
      <c r="H71" s="249">
        <v>20</v>
      </c>
      <c r="I71" s="249">
        <v>0</v>
      </c>
      <c r="J71" s="249">
        <v>0</v>
      </c>
      <c r="K71" s="249">
        <v>0.25</v>
      </c>
    </row>
    <row r="72" spans="2:11" ht="13.8" thickBot="1" x14ac:dyDescent="0.3">
      <c r="B72" s="247">
        <v>61</v>
      </c>
      <c r="C72" s="260">
        <v>61</v>
      </c>
      <c r="D72" s="249" t="s">
        <v>80</v>
      </c>
      <c r="E72" s="248" t="s">
        <v>19</v>
      </c>
      <c r="F72" s="249">
        <v>10</v>
      </c>
      <c r="G72" s="249">
        <v>1</v>
      </c>
      <c r="H72" s="249">
        <v>20</v>
      </c>
      <c r="I72" s="249">
        <v>1</v>
      </c>
      <c r="J72" s="249">
        <v>0.25</v>
      </c>
      <c r="K72" s="249">
        <v>0.25</v>
      </c>
    </row>
    <row r="73" spans="2:11" ht="13.5" hidden="1" customHeight="1" thickBot="1" x14ac:dyDescent="0.3">
      <c r="B73" s="250">
        <v>84</v>
      </c>
      <c r="C73" s="262">
        <v>84</v>
      </c>
      <c r="D73" s="316"/>
      <c r="E73" s="248"/>
      <c r="F73" s="249">
        <v>20</v>
      </c>
      <c r="G73" s="249">
        <v>10</v>
      </c>
      <c r="H73" s="249"/>
      <c r="I73" s="249"/>
      <c r="J73" s="249"/>
      <c r="K73" s="249">
        <v>1</v>
      </c>
    </row>
    <row r="74" spans="2:11" ht="13.5" hidden="1" customHeight="1" thickBot="1" x14ac:dyDescent="0.3">
      <c r="B74" s="247">
        <v>85</v>
      </c>
      <c r="C74" s="247">
        <v>85</v>
      </c>
      <c r="D74" s="316"/>
      <c r="E74" s="248"/>
      <c r="F74" s="249">
        <v>20</v>
      </c>
      <c r="G74" s="249">
        <v>10</v>
      </c>
      <c r="H74" s="249"/>
      <c r="I74" s="249"/>
      <c r="J74" s="249"/>
      <c r="K74" s="249">
        <v>1</v>
      </c>
    </row>
    <row r="75" spans="2:11" ht="13.5" hidden="1" customHeight="1" thickBot="1" x14ac:dyDescent="0.3">
      <c r="B75" s="250">
        <v>86</v>
      </c>
      <c r="C75" s="260">
        <v>86</v>
      </c>
      <c r="D75" s="316"/>
      <c r="E75" s="248"/>
      <c r="F75" s="249">
        <v>20</v>
      </c>
      <c r="G75" s="249">
        <v>10</v>
      </c>
      <c r="H75" s="249"/>
      <c r="I75" s="249"/>
      <c r="J75" s="249"/>
      <c r="K75" s="249">
        <v>0</v>
      </c>
    </row>
    <row r="76" spans="2:11" ht="13.5" hidden="1" customHeight="1" thickBot="1" x14ac:dyDescent="0.3">
      <c r="B76" s="247">
        <v>87</v>
      </c>
      <c r="C76" s="258">
        <v>87</v>
      </c>
      <c r="D76" s="316"/>
      <c r="E76" s="248"/>
      <c r="F76" s="249">
        <v>20</v>
      </c>
      <c r="G76" s="249">
        <v>10</v>
      </c>
      <c r="H76" s="249"/>
      <c r="I76" s="249"/>
      <c r="J76" s="249"/>
      <c r="K76" s="249">
        <v>1</v>
      </c>
    </row>
    <row r="77" spans="2:11" ht="13.5" hidden="1" customHeight="1" thickBot="1" x14ac:dyDescent="0.3">
      <c r="B77" s="250">
        <v>88</v>
      </c>
      <c r="C77" s="258">
        <v>88</v>
      </c>
      <c r="D77" s="316"/>
      <c r="E77" s="248"/>
      <c r="F77" s="249">
        <v>20</v>
      </c>
      <c r="G77" s="249">
        <v>10</v>
      </c>
      <c r="H77" s="249"/>
      <c r="I77" s="249"/>
      <c r="J77" s="249"/>
      <c r="K77" s="249">
        <v>1</v>
      </c>
    </row>
    <row r="78" spans="2:11" ht="13.5" hidden="1" customHeight="1" thickBot="1" x14ac:dyDescent="0.3">
      <c r="B78" s="247">
        <v>89</v>
      </c>
      <c r="C78" s="262">
        <v>89</v>
      </c>
      <c r="D78" s="316"/>
      <c r="E78" s="248"/>
      <c r="F78" s="249">
        <v>20</v>
      </c>
      <c r="G78" s="249">
        <v>10</v>
      </c>
      <c r="H78" s="249"/>
      <c r="I78" s="249"/>
      <c r="J78" s="249"/>
      <c r="K78" s="249">
        <v>1</v>
      </c>
    </row>
    <row r="79" spans="2:11" ht="13.5" hidden="1" customHeight="1" thickBot="1" x14ac:dyDescent="0.3">
      <c r="B79" s="250">
        <v>90</v>
      </c>
      <c r="C79" s="247">
        <v>90</v>
      </c>
      <c r="D79" s="316"/>
      <c r="E79" s="248"/>
      <c r="F79" s="249">
        <v>20</v>
      </c>
      <c r="G79" s="249">
        <v>10</v>
      </c>
      <c r="H79" s="249"/>
      <c r="I79" s="249"/>
      <c r="J79" s="249"/>
      <c r="K79" s="249">
        <v>1</v>
      </c>
    </row>
    <row r="80" spans="2:11" ht="13.5" hidden="1" customHeight="1" thickBot="1" x14ac:dyDescent="0.3">
      <c r="B80" s="247">
        <v>91</v>
      </c>
      <c r="C80" s="260">
        <v>91</v>
      </c>
      <c r="D80" s="316"/>
      <c r="E80" s="248"/>
      <c r="F80" s="249">
        <v>20</v>
      </c>
      <c r="G80" s="249">
        <v>10</v>
      </c>
      <c r="H80" s="249"/>
      <c r="I80" s="249"/>
      <c r="J80" s="249"/>
      <c r="K80" s="249">
        <v>0</v>
      </c>
    </row>
    <row r="81" spans="2:11" ht="13.5" hidden="1" customHeight="1" thickBot="1" x14ac:dyDescent="0.3">
      <c r="B81" s="250">
        <v>92</v>
      </c>
      <c r="C81" s="258">
        <v>92</v>
      </c>
      <c r="D81" s="317"/>
      <c r="E81" s="248"/>
      <c r="F81" s="249">
        <v>20</v>
      </c>
      <c r="G81" s="249">
        <v>10</v>
      </c>
      <c r="H81" s="249"/>
      <c r="I81" s="249"/>
      <c r="J81" s="249"/>
      <c r="K81" s="249">
        <v>1</v>
      </c>
    </row>
    <row r="82" spans="2:11" ht="13.5" hidden="1" customHeight="1" thickBot="1" x14ac:dyDescent="0.3">
      <c r="B82" s="247"/>
      <c r="C82" s="258"/>
      <c r="D82" s="298"/>
      <c r="E82" s="248"/>
      <c r="F82" s="249"/>
      <c r="G82" s="249"/>
      <c r="H82" s="249"/>
      <c r="I82" s="249"/>
      <c r="J82" s="249"/>
      <c r="K82" s="249"/>
    </row>
    <row r="83" spans="2:11" ht="13.5" hidden="1" customHeight="1" thickBot="1" x14ac:dyDescent="0.3">
      <c r="B83" s="250"/>
      <c r="C83" s="262"/>
      <c r="D83" s="298"/>
      <c r="E83" s="248"/>
      <c r="F83" s="249"/>
      <c r="G83" s="249"/>
      <c r="H83" s="249"/>
      <c r="I83" s="249"/>
      <c r="J83" s="249"/>
      <c r="K83" s="249"/>
    </row>
    <row r="84" spans="2:11" ht="13.5" hidden="1" customHeight="1" thickBot="1" x14ac:dyDescent="0.3">
      <c r="B84" s="247"/>
      <c r="C84" s="247"/>
      <c r="D84" s="298"/>
      <c r="E84" s="248"/>
      <c r="F84" s="249"/>
      <c r="G84" s="249"/>
      <c r="H84" s="249"/>
      <c r="I84" s="249"/>
      <c r="J84" s="249"/>
      <c r="K84" s="249"/>
    </row>
    <row r="85" spans="2:11" ht="13.5" hidden="1" customHeight="1" thickBot="1" x14ac:dyDescent="0.3">
      <c r="B85" s="250"/>
      <c r="C85" s="260"/>
      <c r="D85" s="298"/>
      <c r="E85" s="248"/>
      <c r="F85" s="249"/>
      <c r="G85" s="249"/>
      <c r="H85" s="249"/>
      <c r="I85" s="249"/>
      <c r="J85" s="249"/>
      <c r="K85" s="249"/>
    </row>
    <row r="86" spans="2:11" ht="13.5" hidden="1" customHeight="1" thickBot="1" x14ac:dyDescent="0.3">
      <c r="B86" s="247"/>
      <c r="C86" s="258"/>
      <c r="D86" s="298"/>
      <c r="E86" s="248"/>
      <c r="F86" s="249"/>
      <c r="G86" s="249"/>
      <c r="H86" s="249"/>
      <c r="I86" s="249"/>
      <c r="J86" s="249"/>
      <c r="K86" s="249"/>
    </row>
    <row r="87" spans="2:11" ht="13.5" hidden="1" customHeight="1" thickBot="1" x14ac:dyDescent="0.3">
      <c r="B87" s="250"/>
      <c r="C87" s="258"/>
      <c r="D87" s="298"/>
      <c r="E87" s="248"/>
      <c r="F87" s="249"/>
      <c r="G87" s="249"/>
      <c r="H87" s="249"/>
      <c r="I87" s="249"/>
      <c r="J87" s="249"/>
      <c r="K87" s="249"/>
    </row>
    <row r="88" spans="2:11" ht="13.5" hidden="1" customHeight="1" thickBot="1" x14ac:dyDescent="0.3">
      <c r="B88" s="247"/>
      <c r="C88" s="262"/>
      <c r="D88" s="298"/>
      <c r="E88" s="248"/>
      <c r="F88" s="249"/>
      <c r="G88" s="249"/>
      <c r="H88" s="249"/>
      <c r="I88" s="249"/>
      <c r="J88" s="249"/>
      <c r="K88" s="249"/>
    </row>
    <row r="89" spans="2:11" ht="13.5" hidden="1" customHeight="1" thickBot="1" x14ac:dyDescent="0.3">
      <c r="B89" s="250"/>
      <c r="C89" s="247"/>
      <c r="D89" s="298"/>
      <c r="E89" s="248"/>
      <c r="F89" s="249"/>
      <c r="G89" s="249"/>
      <c r="H89" s="249"/>
      <c r="I89" s="249"/>
      <c r="J89" s="249"/>
      <c r="K89" s="249"/>
    </row>
    <row r="90" spans="2:11" ht="13.5" hidden="1" customHeight="1" thickBot="1" x14ac:dyDescent="0.3">
      <c r="B90" s="247"/>
      <c r="C90" s="260"/>
      <c r="D90" s="298"/>
      <c r="E90" s="248"/>
      <c r="F90" s="249"/>
      <c r="G90" s="249"/>
      <c r="H90" s="249"/>
      <c r="I90" s="249"/>
      <c r="J90" s="249"/>
      <c r="K90" s="249"/>
    </row>
    <row r="91" spans="2:11" ht="13.8" hidden="1" thickBot="1" x14ac:dyDescent="0.3">
      <c r="B91" s="250"/>
      <c r="C91" s="258"/>
      <c r="D91" s="298"/>
      <c r="E91" s="248"/>
      <c r="F91" s="249"/>
      <c r="G91" s="249"/>
      <c r="H91" s="249"/>
      <c r="I91" s="249"/>
      <c r="J91" s="249"/>
      <c r="K91" s="249"/>
    </row>
    <row r="92" spans="2:11" ht="13.8" hidden="1" thickBot="1" x14ac:dyDescent="0.3">
      <c r="B92" s="247"/>
      <c r="C92" s="258"/>
      <c r="D92" s="298"/>
      <c r="E92" s="248"/>
      <c r="F92" s="249"/>
      <c r="G92" s="249"/>
      <c r="H92" s="249"/>
      <c r="I92" s="249"/>
      <c r="J92" s="249"/>
      <c r="K92" s="249"/>
    </row>
    <row r="93" spans="2:11" ht="13.8" hidden="1" thickBot="1" x14ac:dyDescent="0.3">
      <c r="B93" s="250"/>
      <c r="C93" s="262"/>
      <c r="D93" s="298"/>
      <c r="E93" s="248"/>
      <c r="F93" s="249"/>
      <c r="G93" s="249"/>
      <c r="H93" s="249"/>
      <c r="I93" s="249"/>
      <c r="J93" s="249"/>
      <c r="K93" s="249"/>
    </row>
    <row r="94" spans="2:11" ht="13.8" thickBot="1" x14ac:dyDescent="0.3">
      <c r="B94" s="63"/>
      <c r="C94" s="63"/>
      <c r="D94" s="169"/>
      <c r="E94" s="170"/>
      <c r="F94" s="126"/>
      <c r="G94" s="249"/>
      <c r="H94" s="320"/>
      <c r="I94" s="320"/>
      <c r="J94" s="320"/>
      <c r="K94" s="127"/>
    </row>
    <row r="95" spans="2:11" ht="14.25" customHeight="1" thickBot="1" x14ac:dyDescent="0.3">
      <c r="B95" s="410"/>
      <c r="C95" s="411"/>
      <c r="D95" s="411"/>
      <c r="E95" s="411"/>
      <c r="F95" s="267"/>
      <c r="G95" s="249"/>
      <c r="H95" s="321"/>
      <c r="I95" s="321"/>
      <c r="J95" s="321"/>
      <c r="K95" s="268"/>
    </row>
    <row r="96" spans="2:11" ht="13.8" thickTop="1" x14ac:dyDescent="0.25">
      <c r="B96" s="404" t="s">
        <v>81</v>
      </c>
      <c r="C96" s="405"/>
      <c r="D96" s="134" t="s">
        <v>19</v>
      </c>
      <c r="E96" s="59">
        <f>COUNTIF($E$12:$E$94,D96)</f>
        <v>58</v>
      </c>
      <c r="F96" s="269"/>
      <c r="G96" s="270"/>
      <c r="H96" s="270"/>
      <c r="I96" s="270"/>
      <c r="J96" s="270"/>
      <c r="K96" s="271"/>
    </row>
    <row r="97" spans="2:11" x14ac:dyDescent="0.25">
      <c r="B97" s="406"/>
      <c r="C97" s="407"/>
      <c r="D97" s="135" t="s">
        <v>82</v>
      </c>
      <c r="E97" s="60">
        <f>COUNTIF($E$12:$E$94,D97)</f>
        <v>0</v>
      </c>
      <c r="F97" s="272"/>
      <c r="G97" s="267"/>
      <c r="H97" s="267"/>
      <c r="I97" s="267"/>
      <c r="J97" s="267"/>
      <c r="K97" s="273"/>
    </row>
    <row r="98" spans="2:11" x14ac:dyDescent="0.25">
      <c r="B98" s="406"/>
      <c r="C98" s="407"/>
      <c r="D98" s="136" t="s">
        <v>22</v>
      </c>
      <c r="E98" s="137">
        <f>COUNTIF($E$12:$E$94,D98)</f>
        <v>3</v>
      </c>
      <c r="F98" s="272"/>
      <c r="G98" s="267"/>
      <c r="H98" s="267"/>
      <c r="I98" s="267"/>
      <c r="J98" s="267"/>
      <c r="K98" s="273"/>
    </row>
    <row r="99" spans="2:11" ht="13.8" thickBot="1" x14ac:dyDescent="0.3">
      <c r="B99" s="408"/>
      <c r="C99" s="409"/>
      <c r="D99" s="138" t="s">
        <v>83</v>
      </c>
      <c r="E99" s="61">
        <f>SUM(E96:E98)</f>
        <v>61</v>
      </c>
      <c r="F99" s="274"/>
      <c r="G99" s="275"/>
      <c r="H99" s="275"/>
      <c r="I99" s="275"/>
      <c r="J99" s="275"/>
      <c r="K99" s="276"/>
    </row>
    <row r="100" spans="2:11" ht="13.8" thickTop="1" x14ac:dyDescent="0.25">
      <c r="B100" s="265"/>
      <c r="C100" s="265"/>
      <c r="D100" s="265"/>
      <c r="E100" s="265"/>
      <c r="F100" s="267"/>
      <c r="G100" s="267"/>
      <c r="H100" s="267"/>
      <c r="I100" s="267"/>
      <c r="J100" s="267"/>
      <c r="K100" s="265"/>
    </row>
  </sheetData>
  <sheetProtection formatCells="0" formatColumns="0" formatRows="0" insertColumns="0" insertRows="0" insertHyperlinks="0" deleteColumns="0" deleteRows="0" selectLockedCells="1" sort="0" autoFilter="0" pivotTables="0"/>
  <mergeCells count="8">
    <mergeCell ref="B5:N5"/>
    <mergeCell ref="F9:K9"/>
    <mergeCell ref="B96:C99"/>
    <mergeCell ref="B95:E95"/>
    <mergeCell ref="D9:D10"/>
    <mergeCell ref="B9:B10"/>
    <mergeCell ref="E9:E10"/>
    <mergeCell ref="C9:C10"/>
  </mergeCells>
  <phoneticPr fontId="0" type="noConversion"/>
  <conditionalFormatting sqref="D94">
    <cfRule type="expression" dxfId="44" priority="57" stopIfTrue="1">
      <formula>MOD(ROW(),2)</formula>
    </cfRule>
    <cfRule type="cellIs" dxfId="43" priority="58" stopIfTrue="1" operator="greaterThan">
      <formula>0</formula>
    </cfRule>
  </conditionalFormatting>
  <conditionalFormatting sqref="E12:E94">
    <cfRule type="cellIs" dxfId="42" priority="25" stopIfTrue="1" operator="equal">
      <formula>"NO HÁBIL"</formula>
    </cfRule>
    <cfRule type="cellIs" dxfId="41" priority="26" stopIfTrue="1" operator="equal">
      <formula>"HÁBIL"</formula>
    </cfRule>
    <cfRule type="cellIs" dxfId="40" priority="27" stopIfTrue="1" operator="equal">
      <formula>"RECHAZADO"</formula>
    </cfRule>
  </conditionalFormatting>
  <conditionalFormatting sqref="E97">
    <cfRule type="cellIs" dxfId="39" priority="37" stopIfTrue="1" operator="greaterThan">
      <formula>0</formula>
    </cfRule>
  </conditionalFormatting>
  <conditionalFormatting sqref="F12:K72">
    <cfRule type="cellIs" dxfId="38" priority="1" operator="equal">
      <formula>0</formula>
    </cfRule>
  </conditionalFormatting>
  <conditionalFormatting sqref="G78:J78 K79:K81 K85 K93">
    <cfRule type="containsBlanks" dxfId="37" priority="2">
      <formula>LEN(TRIM(G78))=0</formula>
    </cfRule>
  </conditionalFormatting>
  <conditionalFormatting sqref="K73:K94 G73:J95 F12:K72 D12:D93 B12:C94 F73:F94">
    <cfRule type="expression" dxfId="36" priority="4" stopIfTrue="1">
      <formula>MOD(ROW(),2)</formula>
    </cfRule>
  </conditionalFormatting>
  <dataValidations count="1">
    <dataValidation type="list" allowBlank="1" showInputMessage="1" showErrorMessage="1" sqref="E73:E94" xr:uid="{00000000-0002-0000-0000-000000000000}">
      <formula1>RESULTADO</formula1>
    </dataValidation>
  </dataValidations>
  <printOptions horizontalCentered="1"/>
  <pageMargins left="0.23622047244094491" right="0.23622047244094491" top="0.74803149606299213" bottom="0.74803149606299213" header="0.31496062992125984" footer="0.31496062992125984"/>
  <pageSetup scale="45" orientation="portrait" horizontalDpi="1200" verticalDpi="1200" r:id="rId1"/>
  <headerFooter alignWithMargins="0">
    <oddFooter>&amp;L&amp;9&amp;F
&amp;A&amp;C&amp;P de &amp;N&amp;R&amp;9INSTITUTO NACIONAL DE VIAS
&amp;D</oddFooter>
  </headerFooter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EEAC3EE9-2200-4EB1-B70B-72CD0D303CBC}">
          <x14:formula1>
            <xm:f>'Lista desplegable 1'!$A$1:$A$3</xm:f>
          </x14:formula1>
          <xm:sqref>E12:E72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0285E1-85E2-4048-A605-52A275086EBD}">
  <dimension ref="A1:A3"/>
  <sheetViews>
    <sheetView workbookViewId="0"/>
  </sheetViews>
  <sheetFormatPr baseColWidth="10" defaultColWidth="11.44140625" defaultRowHeight="13.2" x14ac:dyDescent="0.25"/>
  <sheetData>
    <row r="1" spans="1:1" x14ac:dyDescent="0.25">
      <c r="A1" t="s">
        <v>19</v>
      </c>
    </row>
    <row r="2" spans="1:1" x14ac:dyDescent="0.25">
      <c r="A2" t="s">
        <v>82</v>
      </c>
    </row>
    <row r="3" spans="1:1" x14ac:dyDescent="0.25">
      <c r="A3" t="s">
        <v>22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AG138"/>
  <sheetViews>
    <sheetView topLeftCell="A10" zoomScale="85" zoomScaleNormal="85" workbookViewId="0">
      <selection activeCell="E24" sqref="E24"/>
    </sheetView>
  </sheetViews>
  <sheetFormatPr baseColWidth="10" defaultColWidth="11.44140625" defaultRowHeight="13.2" x14ac:dyDescent="0.25"/>
  <cols>
    <col min="1" max="1" width="2.6640625" style="30" customWidth="1"/>
    <col min="2" max="3" width="6.6640625" style="30" customWidth="1"/>
    <col min="4" max="4" width="32" style="30" customWidth="1"/>
    <col min="5" max="5" width="24.44140625" style="30" customWidth="1"/>
    <col min="6" max="6" width="24.44140625" style="30" hidden="1" customWidth="1"/>
    <col min="7" max="7" width="28.6640625" style="33" customWidth="1"/>
    <col min="8" max="8" width="12.6640625" style="150" customWidth="1"/>
    <col min="9" max="9" width="25.44140625" style="151" customWidth="1"/>
    <col min="10" max="10" width="11.44140625" style="152" customWidth="1"/>
    <col min="11" max="11" width="2.109375" style="152" customWidth="1"/>
    <col min="12" max="12" width="12.6640625" style="152" bestFit="1" customWidth="1"/>
    <col min="13" max="13" width="11.44140625" style="30"/>
    <col min="14" max="14" width="19.6640625" style="30" customWidth="1"/>
    <col min="15" max="27" width="11.44140625" style="30"/>
    <col min="28" max="28" width="12.33203125" style="30" customWidth="1"/>
    <col min="29" max="33" width="10.88671875" style="30" customWidth="1"/>
    <col min="34" max="16384" width="11.44140625" style="30"/>
  </cols>
  <sheetData>
    <row r="1" spans="2:33" ht="17.399999999999999" x14ac:dyDescent="0.25">
      <c r="B1" s="52" t="str">
        <f>'RESUMEN-M (1)'!B1</f>
        <v>INSTITUTO NACIONAL DE VÍAS</v>
      </c>
      <c r="C1" s="52"/>
      <c r="D1" s="27"/>
      <c r="E1" s="27"/>
      <c r="F1" s="27"/>
      <c r="G1" s="27"/>
      <c r="K1" s="30"/>
      <c r="L1" s="30"/>
    </row>
    <row r="2" spans="2:33" ht="15.6" x14ac:dyDescent="0.25">
      <c r="B2" s="54" t="str">
        <f>'RESUMEN-M (1)'!B2</f>
        <v>DIRECCIÓN GENERAL</v>
      </c>
      <c r="C2" s="54"/>
      <c r="D2" s="31"/>
      <c r="E2" s="31"/>
      <c r="F2" s="31"/>
      <c r="G2" s="31"/>
      <c r="K2" s="30"/>
      <c r="L2" s="30"/>
    </row>
    <row r="3" spans="2:33" x14ac:dyDescent="0.25">
      <c r="B3" s="54" t="str">
        <f>'RESUMEN-M (1)'!B3</f>
        <v>DIRECCIÓN TERRITORIAL MAGDALENA</v>
      </c>
      <c r="C3" s="54"/>
      <c r="D3" s="32"/>
      <c r="E3" s="32"/>
      <c r="F3" s="32"/>
      <c r="G3" s="32"/>
      <c r="K3" s="30"/>
      <c r="L3" s="30"/>
    </row>
    <row r="4" spans="2:33" ht="15.6" hidden="1" x14ac:dyDescent="0.25">
      <c r="B4" s="54" t="e">
        <f>'RESUMEN-M (1)'!#REF!</f>
        <v>#REF!</v>
      </c>
      <c r="C4" s="54"/>
      <c r="D4" s="31"/>
      <c r="E4" s="31"/>
      <c r="F4" s="31"/>
      <c r="G4" s="31"/>
      <c r="K4" s="30"/>
      <c r="L4" s="30"/>
    </row>
    <row r="5" spans="2:33" ht="15.6" x14ac:dyDescent="0.25">
      <c r="B5" s="54" t="str">
        <f>'RESUMEN-M (1)'!B4</f>
        <v>CONCURSO DE MÉRITOS ABIERTO No  CMA-DT-MAG-001-2024</v>
      </c>
      <c r="C5" s="54"/>
      <c r="D5" s="31"/>
      <c r="E5" s="31"/>
      <c r="F5" s="31"/>
      <c r="G5" s="31"/>
      <c r="K5" s="30"/>
      <c r="L5" s="30"/>
    </row>
    <row r="6" spans="2:33" ht="52.8" x14ac:dyDescent="0.25">
      <c r="B6" s="54" t="str">
        <f>'RESUMEN-M (1)'!B5</f>
        <v>OBJETO: “INTERVENTORIA TÉCNICA, ADMINISTRATIVA, FINANCIERA Y AMBIENTAL, PARA EL MEJORAMIENTO Y MANTENIMIENTO DE LAS VÍAS: RICAURTE – HATOVIEJO CÓDIGO 78218 EN EL MUNICIPIO DE GUAMAL; Y SAN SEBASTIÁN - LOS GALVIS CÓDIGO 78141, EN EL MUNICIPIO DE SAN SEBASTIÁN DE BUENAVISTA, DEPARTAMENTO DEL MAGDALENA”.</v>
      </c>
      <c r="C6" s="54"/>
      <c r="D6" s="31"/>
      <c r="E6" s="31"/>
      <c r="F6" s="31"/>
      <c r="G6" s="31"/>
      <c r="K6" s="30"/>
      <c r="L6" s="30"/>
    </row>
    <row r="7" spans="2:33" ht="15.6" x14ac:dyDescent="0.25">
      <c r="B7" s="54">
        <f>'RESUMEN-M (1)'!B6</f>
        <v>0</v>
      </c>
      <c r="C7" s="54"/>
      <c r="D7" s="31"/>
      <c r="E7" s="31"/>
      <c r="F7" s="31"/>
      <c r="G7" s="31"/>
      <c r="K7" s="30"/>
      <c r="L7" s="30"/>
    </row>
    <row r="8" spans="2:33" ht="15.6" x14ac:dyDescent="0.25">
      <c r="B8" s="55" t="s">
        <v>84</v>
      </c>
      <c r="C8" s="55"/>
      <c r="D8" s="31"/>
      <c r="E8" s="31"/>
      <c r="F8" s="31"/>
      <c r="G8" s="31"/>
      <c r="K8" s="30"/>
      <c r="L8" s="30"/>
    </row>
    <row r="9" spans="2:33" ht="16.5" customHeight="1" thickBot="1" x14ac:dyDescent="0.3">
      <c r="B9" s="74" t="s">
        <v>85</v>
      </c>
      <c r="C9" s="74"/>
      <c r="D9" s="75"/>
      <c r="E9" s="75"/>
      <c r="F9" s="75"/>
      <c r="G9" s="75"/>
      <c r="K9" s="30"/>
      <c r="L9" s="30"/>
    </row>
    <row r="10" spans="2:33" ht="25.2" thickBot="1" x14ac:dyDescent="0.3">
      <c r="B10" s="440" t="s">
        <v>86</v>
      </c>
      <c r="C10" s="441"/>
      <c r="D10" s="441"/>
      <c r="E10" s="441"/>
      <c r="F10" s="441"/>
      <c r="G10" s="442"/>
      <c r="K10" s="30"/>
      <c r="L10" s="30"/>
    </row>
    <row r="11" spans="2:33" ht="27" customHeight="1" thickTop="1" x14ac:dyDescent="0.25">
      <c r="B11" s="443" t="s">
        <v>7</v>
      </c>
      <c r="C11" s="443" t="s">
        <v>87</v>
      </c>
      <c r="D11" s="445" t="s">
        <v>9</v>
      </c>
      <c r="E11" s="283" t="s">
        <v>88</v>
      </c>
      <c r="F11" s="426" t="s">
        <v>89</v>
      </c>
      <c r="G11" s="443" t="s">
        <v>90</v>
      </c>
      <c r="H11" s="422"/>
      <c r="I11" s="422"/>
      <c r="J11" s="422"/>
      <c r="K11" s="30"/>
      <c r="L11" s="30"/>
      <c r="AD11" s="30" t="str">
        <f>UPPER(P11)</f>
        <v/>
      </c>
      <c r="AE11" s="30" t="str">
        <f>UPPER(Q11)</f>
        <v/>
      </c>
      <c r="AF11" s="30" t="str">
        <f>UPPER(R11)</f>
        <v/>
      </c>
      <c r="AG11" s="30" t="str">
        <f>UPPER(S11)</f>
        <v/>
      </c>
    </row>
    <row r="12" spans="2:33" ht="22.5" customHeight="1" thickBot="1" x14ac:dyDescent="0.3">
      <c r="B12" s="444"/>
      <c r="C12" s="444"/>
      <c r="D12" s="446"/>
      <c r="E12" s="284" t="s">
        <v>91</v>
      </c>
      <c r="F12" s="427"/>
      <c r="G12" s="444"/>
      <c r="H12" s="422"/>
      <c r="I12" s="422"/>
      <c r="J12" s="422"/>
      <c r="K12" s="30"/>
      <c r="L12" s="30"/>
    </row>
    <row r="13" spans="2:33" ht="10.5" customHeight="1" thickBot="1" x14ac:dyDescent="0.3">
      <c r="B13" s="76"/>
      <c r="C13" s="129"/>
      <c r="D13" s="77" t="s">
        <v>92</v>
      </c>
      <c r="E13" s="78">
        <f>COUNT(E17:E24)</f>
        <v>0</v>
      </c>
      <c r="F13" s="154"/>
      <c r="G13" s="88"/>
      <c r="H13" s="422"/>
      <c r="I13" s="422"/>
      <c r="J13" s="422"/>
      <c r="K13" s="30"/>
      <c r="L13" s="30"/>
    </row>
    <row r="14" spans="2:33" ht="10.5" customHeight="1" thickBot="1" x14ac:dyDescent="0.3">
      <c r="B14" s="80"/>
      <c r="C14" s="130"/>
      <c r="D14" s="86"/>
      <c r="E14" s="81"/>
      <c r="F14" s="81"/>
      <c r="G14" s="89" t="s">
        <v>93</v>
      </c>
      <c r="K14" s="30"/>
      <c r="L14" s="30"/>
    </row>
    <row r="15" spans="2:33" ht="12" customHeight="1" thickBot="1" x14ac:dyDescent="0.3">
      <c r="B15" s="83"/>
      <c r="C15" s="131"/>
      <c r="D15" s="84" t="s">
        <v>94</v>
      </c>
      <c r="E15" s="191" t="e">
        <f>#REF!</f>
        <v>#REF!</v>
      </c>
      <c r="F15" s="155"/>
      <c r="G15" s="89" t="s">
        <v>95</v>
      </c>
      <c r="J15" s="151"/>
      <c r="K15" s="30"/>
      <c r="L15" s="30"/>
    </row>
    <row r="16" spans="2:33" ht="13.8" thickBot="1" x14ac:dyDescent="0.3">
      <c r="B16" s="83"/>
      <c r="C16" s="131"/>
      <c r="D16" s="86"/>
      <c r="E16" s="87"/>
      <c r="F16" s="87"/>
      <c r="G16" s="89" t="e">
        <f>DPRODUCT(G17:G26,"ofertas",G17:G26)</f>
        <v>#VALUE!</v>
      </c>
      <c r="J16" s="151"/>
      <c r="K16" s="30"/>
      <c r="L16" s="30"/>
    </row>
    <row r="17" spans="2:32" ht="26.25" customHeight="1" x14ac:dyDescent="0.25">
      <c r="B17" s="244">
        <v>1</v>
      </c>
      <c r="C17" s="244">
        <f>'RESUMEN-M (1)'!C12</f>
        <v>1</v>
      </c>
      <c r="D17" s="245" t="str">
        <f>'RESUMEN-M (1)'!D12</f>
        <v>CONSORCIO CAP-SAS</v>
      </c>
      <c r="E17" s="188" t="e">
        <f>IF(ISTEXT(#REF!),"DESCARTADO",#REF! )</f>
        <v>#REF!</v>
      </c>
      <c r="F17" s="162" t="e">
        <f>IF(E17="DESCARTADO",,($E$15-E17)/$E$15)</f>
        <v>#REF!</v>
      </c>
      <c r="G17" s="188" t="e">
        <f t="shared" ref="G17:G24" si="0">IF(E17="DESCARTADO","",IF(E17&lt;$E$34,$E$37*(1-(($E$34-E17)/$E$34)),$E$37*(1-2*(ABS($E$34-E17)/$E$34))))</f>
        <v>#REF!</v>
      </c>
      <c r="H17" s="153"/>
      <c r="I17" s="153"/>
      <c r="J17" s="153"/>
      <c r="K17" s="30"/>
      <c r="L17" s="30"/>
    </row>
    <row r="18" spans="2:32" ht="26.25" customHeight="1" x14ac:dyDescent="0.25">
      <c r="B18" s="143">
        <v>2</v>
      </c>
      <c r="C18" s="143">
        <f>'RESUMEN-M (1)'!C13</f>
        <v>2</v>
      </c>
      <c r="D18" s="36" t="str">
        <f>'RESUMEN-M (1)'!D13</f>
        <v>BRAIN INGENIERIA VIAL SAS</v>
      </c>
      <c r="E18" s="37" t="e">
        <f>IF(ISTEXT(#REF!),"DESCARTADO",#REF! )</f>
        <v>#REF!</v>
      </c>
      <c r="F18" s="190"/>
      <c r="G18" s="37" t="e">
        <f t="shared" si="0"/>
        <v>#REF!</v>
      </c>
      <c r="H18" s="153"/>
      <c r="I18" s="153"/>
      <c r="J18" s="153"/>
      <c r="K18" s="30"/>
      <c r="L18" s="30"/>
    </row>
    <row r="19" spans="2:32" ht="26.25" customHeight="1" x14ac:dyDescent="0.25">
      <c r="B19" s="143">
        <v>3</v>
      </c>
      <c r="C19" s="143">
        <f>'RESUMEN-M (1)'!C14</f>
        <v>3</v>
      </c>
      <c r="D19" s="36" t="str">
        <f>'RESUMEN-M (1)'!D14</f>
        <v>CONSORCIO INTER CONSTR
UCCION VIAL</v>
      </c>
      <c r="E19" s="37" t="e">
        <f>IF(ISTEXT(#REF!),"DESCARTADO",#REF! )</f>
        <v>#REF!</v>
      </c>
      <c r="F19" s="190"/>
      <c r="G19" s="37" t="e">
        <f t="shared" si="0"/>
        <v>#REF!</v>
      </c>
      <c r="H19" s="153"/>
      <c r="I19" s="153"/>
      <c r="J19" s="153"/>
      <c r="K19" s="30"/>
      <c r="L19" s="30"/>
    </row>
    <row r="20" spans="2:32" ht="26.25" customHeight="1" x14ac:dyDescent="0.25">
      <c r="B20" s="143">
        <v>4</v>
      </c>
      <c r="C20" s="143" t="e">
        <f>'RESUMEN-M (1)'!#REF!</f>
        <v>#REF!</v>
      </c>
      <c r="D20" s="36" t="e">
        <f>'RESUMEN-M (1)'!#REF!</f>
        <v>#REF!</v>
      </c>
      <c r="E20" s="37" t="e">
        <f>IF(ISTEXT(#REF!),"DESCARTADO",#REF! )</f>
        <v>#REF!</v>
      </c>
      <c r="F20" s="190"/>
      <c r="G20" s="37" t="e">
        <f t="shared" si="0"/>
        <v>#REF!</v>
      </c>
      <c r="H20" s="153"/>
      <c r="I20" s="153"/>
      <c r="J20" s="153"/>
      <c r="K20" s="30"/>
      <c r="L20" s="30"/>
    </row>
    <row r="21" spans="2:32" ht="26.25" customHeight="1" x14ac:dyDescent="0.25">
      <c r="B21" s="143">
        <v>5</v>
      </c>
      <c r="C21" s="143" t="e">
        <f>'RESUMEN-M (1)'!#REF!</f>
        <v>#REF!</v>
      </c>
      <c r="D21" s="36" t="e">
        <f>'RESUMEN-M (1)'!#REF!</f>
        <v>#REF!</v>
      </c>
      <c r="E21" s="37" t="e">
        <f>IF(ISTEXT(#REF!),"DESCARTADO",#REF! )</f>
        <v>#REF!</v>
      </c>
      <c r="F21" s="190"/>
      <c r="G21" s="37" t="e">
        <f t="shared" si="0"/>
        <v>#REF!</v>
      </c>
      <c r="H21" s="153"/>
      <c r="I21" s="153"/>
      <c r="J21" s="153"/>
      <c r="K21" s="30"/>
      <c r="L21" s="30"/>
    </row>
    <row r="22" spans="2:32" ht="26.25" customHeight="1" x14ac:dyDescent="0.25">
      <c r="B22" s="143">
        <v>6</v>
      </c>
      <c r="C22" s="143" t="e">
        <f>'RESUMEN-M (1)'!#REF!</f>
        <v>#REF!</v>
      </c>
      <c r="D22" s="36" t="e">
        <f>'RESUMEN-M (1)'!#REF!</f>
        <v>#REF!</v>
      </c>
      <c r="E22" s="37" t="e">
        <f>IF(ISTEXT(#REF!),"DESCARTADO",#REF! )</f>
        <v>#REF!</v>
      </c>
      <c r="F22" s="190"/>
      <c r="G22" s="37" t="e">
        <f t="shared" si="0"/>
        <v>#REF!</v>
      </c>
      <c r="H22" s="153"/>
      <c r="I22" s="257"/>
      <c r="J22" s="153"/>
      <c r="K22" s="30"/>
      <c r="L22" s="30"/>
    </row>
    <row r="23" spans="2:32" ht="26.25" customHeight="1" x14ac:dyDescent="0.25">
      <c r="B23" s="143">
        <v>7</v>
      </c>
      <c r="C23" s="143" t="e">
        <f>'RESUMEN-M (1)'!#REF!</f>
        <v>#REF!</v>
      </c>
      <c r="D23" s="36" t="e">
        <f>'RESUMEN-M (1)'!#REF!</f>
        <v>#REF!</v>
      </c>
      <c r="E23" s="37" t="e">
        <f>IF(ISTEXT(#REF!),"DESCARTADO",#REF! )</f>
        <v>#REF!</v>
      </c>
      <c r="F23" s="190"/>
      <c r="G23" s="37" t="e">
        <f t="shared" si="0"/>
        <v>#REF!</v>
      </c>
      <c r="H23" s="153"/>
      <c r="I23" s="153"/>
      <c r="J23" s="153"/>
      <c r="K23" s="30"/>
      <c r="L23" s="30"/>
    </row>
    <row r="24" spans="2:32" ht="26.25" customHeight="1" x14ac:dyDescent="0.25">
      <c r="B24" s="143">
        <v>8</v>
      </c>
      <c r="C24" s="143" t="e">
        <f>'RESUMEN-M (1)'!#REF!</f>
        <v>#REF!</v>
      </c>
      <c r="D24" s="36" t="e">
        <f>'RESUMEN-M (1)'!#REF!</f>
        <v>#REF!</v>
      </c>
      <c r="E24" s="37" t="e">
        <f>IF(ISTEXT(#REF!),"DESCARTADO",#REF! )</f>
        <v>#REF!</v>
      </c>
      <c r="F24" s="190"/>
      <c r="G24" s="37" t="e">
        <f t="shared" si="0"/>
        <v>#REF!</v>
      </c>
      <c r="H24" s="153"/>
      <c r="I24" s="153"/>
      <c r="J24" s="153"/>
      <c r="K24" s="30"/>
      <c r="L24" s="30"/>
    </row>
    <row r="25" spans="2:32" ht="26.25" customHeight="1" thickBot="1" x14ac:dyDescent="0.3">
      <c r="B25" s="254"/>
      <c r="C25" s="254"/>
      <c r="D25" s="255"/>
      <c r="E25" s="189"/>
      <c r="F25" s="256"/>
      <c r="G25" s="189"/>
      <c r="H25" s="153"/>
      <c r="I25" s="153"/>
      <c r="J25" s="153"/>
      <c r="K25" s="30"/>
      <c r="L25" s="30"/>
    </row>
    <row r="26" spans="2:32" ht="26.25" hidden="1" customHeight="1" thickBot="1" x14ac:dyDescent="0.3">
      <c r="B26" s="143"/>
      <c r="C26" s="143"/>
      <c r="D26" s="36"/>
      <c r="E26" s="37"/>
      <c r="F26" s="253"/>
      <c r="G26" s="37"/>
      <c r="H26" s="153"/>
      <c r="I26" s="153"/>
      <c r="J26" s="153"/>
      <c r="K26" s="30"/>
      <c r="L26" s="30"/>
    </row>
    <row r="27" spans="2:32" ht="9.75" hidden="1" customHeight="1" x14ac:dyDescent="0.25">
      <c r="B27" s="177"/>
      <c r="C27" s="177"/>
      <c r="D27" s="176"/>
      <c r="E27" s="179"/>
      <c r="F27" s="179"/>
      <c r="G27" s="179"/>
      <c r="H27" s="153"/>
      <c r="I27" s="153"/>
      <c r="J27" s="153"/>
      <c r="K27" s="30"/>
      <c r="L27" s="30"/>
      <c r="AD27"/>
      <c r="AE27"/>
      <c r="AF27"/>
    </row>
    <row r="28" spans="2:32" hidden="1" x14ac:dyDescent="0.25">
      <c r="B28" s="43"/>
      <c r="C28" s="133"/>
      <c r="D28" s="175"/>
      <c r="E28" s="148"/>
      <c r="G28" s="30"/>
      <c r="H28" s="30"/>
      <c r="I28" s="30"/>
      <c r="J28" s="30"/>
      <c r="K28" s="30"/>
      <c r="L28" s="30"/>
      <c r="AD28">
        <v>1</v>
      </c>
      <c r="AE28">
        <v>1</v>
      </c>
      <c r="AF28">
        <f t="shared" ref="AF28:AF83" si="1">LOOKUP(AD28,AE28)</f>
        <v>1</v>
      </c>
    </row>
    <row r="29" spans="2:32" ht="13.8" thickBot="1" x14ac:dyDescent="0.3">
      <c r="B29" s="43"/>
      <c r="C29" s="133"/>
      <c r="D29" s="44"/>
      <c r="E29" s="148"/>
      <c r="G29" s="30"/>
      <c r="H29" s="30"/>
      <c r="I29" s="30"/>
      <c r="J29" s="30"/>
      <c r="K29" s="30"/>
      <c r="L29" s="30"/>
      <c r="AD29">
        <f t="shared" ref="AD29:AD91" si="2">AD28+1</f>
        <v>2</v>
      </c>
      <c r="AE29">
        <v>1</v>
      </c>
      <c r="AF29">
        <f>LOOKUP(AD29,AE29)</f>
        <v>1</v>
      </c>
    </row>
    <row r="30" spans="2:32" ht="13.8" thickBot="1" x14ac:dyDescent="0.3">
      <c r="B30" s="423"/>
      <c r="C30" s="424"/>
      <c r="D30" s="424"/>
      <c r="E30" s="425"/>
      <c r="G30" s="30"/>
      <c r="H30" s="30"/>
      <c r="I30" s="30"/>
      <c r="J30" s="30"/>
      <c r="K30" s="30"/>
      <c r="L30" s="30"/>
      <c r="AD30">
        <f t="shared" si="2"/>
        <v>3</v>
      </c>
      <c r="AE30">
        <v>1</v>
      </c>
      <c r="AF30">
        <f t="shared" si="1"/>
        <v>1</v>
      </c>
    </row>
    <row r="31" spans="2:32" ht="13.8" x14ac:dyDescent="0.25">
      <c r="B31" s="437" t="s">
        <v>96</v>
      </c>
      <c r="C31" s="438"/>
      <c r="D31" s="439"/>
      <c r="E31" s="174">
        <f>COUNT($E$17:$E$26)</f>
        <v>0</v>
      </c>
      <c r="G31" s="30"/>
      <c r="H31" s="30"/>
      <c r="I31" s="30"/>
      <c r="J31" s="30"/>
      <c r="K31" s="30"/>
      <c r="L31" s="30"/>
      <c r="AD31">
        <f t="shared" si="2"/>
        <v>4</v>
      </c>
      <c r="AE31">
        <v>2</v>
      </c>
      <c r="AF31">
        <f t="shared" si="1"/>
        <v>2</v>
      </c>
    </row>
    <row r="32" spans="2:32" ht="35.25" customHeight="1" x14ac:dyDescent="0.25">
      <c r="B32" s="434" t="s">
        <v>97</v>
      </c>
      <c r="C32" s="435"/>
      <c r="D32" s="436"/>
      <c r="E32" s="171" t="e">
        <f>LOOKUP(E31,AD27:AD92,AE27:AE99)</f>
        <v>#N/A</v>
      </c>
      <c r="G32" s="30"/>
      <c r="H32" s="30"/>
      <c r="I32" s="30"/>
      <c r="J32" s="30"/>
      <c r="K32" s="30"/>
      <c r="L32" s="30"/>
      <c r="AD32">
        <f t="shared" si="2"/>
        <v>5</v>
      </c>
      <c r="AE32">
        <v>2</v>
      </c>
      <c r="AF32">
        <f t="shared" si="1"/>
        <v>2</v>
      </c>
    </row>
    <row r="33" spans="2:32" ht="18.75" customHeight="1" x14ac:dyDescent="0.25">
      <c r="B33" s="431" t="s">
        <v>98</v>
      </c>
      <c r="C33" s="432"/>
      <c r="D33" s="433"/>
      <c r="E33" s="171" t="e">
        <f>E31+E32</f>
        <v>#N/A</v>
      </c>
      <c r="G33" s="30"/>
      <c r="H33" s="30"/>
      <c r="I33" s="30"/>
      <c r="J33" s="30"/>
      <c r="K33" s="30"/>
      <c r="L33" s="30"/>
      <c r="AD33">
        <f t="shared" si="2"/>
        <v>6</v>
      </c>
      <c r="AE33">
        <v>2</v>
      </c>
      <c r="AF33">
        <f t="shared" si="1"/>
        <v>2</v>
      </c>
    </row>
    <row r="34" spans="2:32" ht="18" customHeight="1" x14ac:dyDescent="0.25">
      <c r="B34" s="428" t="s">
        <v>99</v>
      </c>
      <c r="C34" s="429"/>
      <c r="D34" s="430"/>
      <c r="E34" s="172" t="e">
        <f>(POWER(POWER(E15,E32),1/E33))*((POWER(PRODUCT(E17:E26),1/E33)))</f>
        <v>#REF!</v>
      </c>
      <c r="F34" s="185"/>
      <c r="G34" s="30"/>
      <c r="H34" s="30"/>
      <c r="I34" s="30"/>
      <c r="J34" s="30"/>
      <c r="K34" s="30"/>
      <c r="L34" s="30"/>
      <c r="AD34">
        <f t="shared" si="2"/>
        <v>7</v>
      </c>
      <c r="AE34">
        <v>3</v>
      </c>
      <c r="AF34">
        <f t="shared" si="1"/>
        <v>3</v>
      </c>
    </row>
    <row r="35" spans="2:32" ht="18" customHeight="1" x14ac:dyDescent="0.25">
      <c r="B35" s="419" t="s">
        <v>100</v>
      </c>
      <c r="C35" s="420"/>
      <c r="D35" s="421"/>
      <c r="E35" s="173" t="e">
        <f>MAX(E17:E26)</f>
        <v>#REF!</v>
      </c>
      <c r="G35" s="30"/>
      <c r="H35" s="30"/>
      <c r="I35" s="30"/>
      <c r="J35" s="30"/>
      <c r="K35" s="30"/>
      <c r="L35" s="30"/>
      <c r="AD35">
        <f t="shared" si="2"/>
        <v>8</v>
      </c>
      <c r="AE35">
        <v>3</v>
      </c>
      <c r="AF35">
        <f t="shared" si="1"/>
        <v>3</v>
      </c>
    </row>
    <row r="36" spans="2:32" ht="13.5" customHeight="1" x14ac:dyDescent="0.25">
      <c r="B36" s="419" t="s">
        <v>101</v>
      </c>
      <c r="C36" s="420"/>
      <c r="D36" s="421"/>
      <c r="E36" s="173" t="e">
        <f>MIN(E17:E26)</f>
        <v>#REF!</v>
      </c>
      <c r="G36" s="30"/>
      <c r="H36" s="30"/>
      <c r="I36" s="30"/>
      <c r="J36" s="30"/>
      <c r="K36" s="30"/>
      <c r="L36" s="30"/>
      <c r="AD36">
        <f t="shared" si="2"/>
        <v>9</v>
      </c>
      <c r="AE36">
        <v>3</v>
      </c>
      <c r="AF36">
        <f t="shared" si="1"/>
        <v>3</v>
      </c>
    </row>
    <row r="37" spans="2:32" ht="35.25" customHeight="1" thickBot="1" x14ac:dyDescent="0.3">
      <c r="B37" s="416" t="s">
        <v>102</v>
      </c>
      <c r="C37" s="417"/>
      <c r="D37" s="418"/>
      <c r="E37" s="187">
        <v>800</v>
      </c>
      <c r="F37" s="30" t="s">
        <v>103</v>
      </c>
      <c r="G37" s="30"/>
      <c r="H37" s="30"/>
      <c r="I37" s="30"/>
      <c r="J37" s="30"/>
      <c r="K37" s="30"/>
      <c r="L37" s="30"/>
      <c r="AD37">
        <f t="shared" si="2"/>
        <v>10</v>
      </c>
      <c r="AE37">
        <v>4</v>
      </c>
      <c r="AF37">
        <f t="shared" si="1"/>
        <v>4</v>
      </c>
    </row>
    <row r="38" spans="2:32" ht="13.5" customHeight="1" x14ac:dyDescent="0.25">
      <c r="B38" s="178"/>
      <c r="C38" s="178"/>
      <c r="D38" s="178"/>
      <c r="E38" s="178"/>
      <c r="G38" s="30"/>
      <c r="H38" s="30"/>
      <c r="I38" s="30"/>
      <c r="J38" s="30"/>
      <c r="K38" s="30"/>
      <c r="L38" s="30"/>
      <c r="AD38">
        <f t="shared" si="2"/>
        <v>11</v>
      </c>
      <c r="AE38">
        <v>4</v>
      </c>
      <c r="AF38">
        <f t="shared" si="1"/>
        <v>4</v>
      </c>
    </row>
    <row r="39" spans="2:32" ht="9.75" customHeight="1" x14ac:dyDescent="0.25">
      <c r="G39" s="30"/>
      <c r="H39" s="30"/>
      <c r="I39" s="30"/>
      <c r="J39" s="30"/>
      <c r="K39" s="30"/>
      <c r="L39" s="30"/>
      <c r="AD39">
        <f t="shared" si="2"/>
        <v>12</v>
      </c>
      <c r="AE39">
        <v>4</v>
      </c>
      <c r="AF39">
        <f t="shared" si="1"/>
        <v>4</v>
      </c>
    </row>
    <row r="40" spans="2:32" ht="13.5" customHeight="1" x14ac:dyDescent="0.25">
      <c r="G40" s="30"/>
      <c r="H40" s="30"/>
      <c r="I40" s="30"/>
      <c r="J40" s="30"/>
      <c r="K40" s="30"/>
      <c r="L40" s="30"/>
      <c r="AD40">
        <f t="shared" si="2"/>
        <v>13</v>
      </c>
      <c r="AE40">
        <v>5</v>
      </c>
      <c r="AF40">
        <f t="shared" si="1"/>
        <v>5</v>
      </c>
    </row>
    <row r="41" spans="2:32" ht="13.5" customHeight="1" x14ac:dyDescent="0.25">
      <c r="G41" s="30"/>
      <c r="H41" s="30"/>
      <c r="I41" s="30"/>
      <c r="J41" s="30"/>
      <c r="K41" s="30"/>
      <c r="L41" s="30"/>
      <c r="AD41">
        <f t="shared" si="2"/>
        <v>14</v>
      </c>
      <c r="AE41">
        <v>5</v>
      </c>
      <c r="AF41">
        <f t="shared" si="1"/>
        <v>5</v>
      </c>
    </row>
    <row r="42" spans="2:32" x14ac:dyDescent="0.25">
      <c r="G42" s="30"/>
      <c r="H42" s="30"/>
      <c r="I42" s="30"/>
      <c r="J42" s="30"/>
      <c r="K42" s="30"/>
      <c r="L42" s="30"/>
      <c r="AD42">
        <f t="shared" si="2"/>
        <v>15</v>
      </c>
      <c r="AE42">
        <v>5</v>
      </c>
      <c r="AF42">
        <f t="shared" si="1"/>
        <v>5</v>
      </c>
    </row>
    <row r="43" spans="2:32" x14ac:dyDescent="0.25">
      <c r="K43" s="30"/>
      <c r="L43" s="30"/>
      <c r="AD43">
        <f t="shared" si="2"/>
        <v>16</v>
      </c>
      <c r="AE43">
        <v>6</v>
      </c>
      <c r="AF43">
        <f t="shared" si="1"/>
        <v>6</v>
      </c>
    </row>
    <row r="44" spans="2:32" x14ac:dyDescent="0.25">
      <c r="K44" s="30"/>
      <c r="L44" s="30"/>
      <c r="AD44">
        <f t="shared" si="2"/>
        <v>17</v>
      </c>
      <c r="AE44">
        <v>6</v>
      </c>
      <c r="AF44">
        <f t="shared" si="1"/>
        <v>6</v>
      </c>
    </row>
    <row r="45" spans="2:32" x14ac:dyDescent="0.25">
      <c r="K45" s="30"/>
      <c r="L45" s="30"/>
      <c r="AD45">
        <f t="shared" si="2"/>
        <v>18</v>
      </c>
      <c r="AE45">
        <v>6</v>
      </c>
      <c r="AF45">
        <f t="shared" si="1"/>
        <v>6</v>
      </c>
    </row>
    <row r="46" spans="2:32" x14ac:dyDescent="0.25">
      <c r="K46" s="30"/>
      <c r="L46" s="30"/>
      <c r="AD46">
        <f t="shared" si="2"/>
        <v>19</v>
      </c>
      <c r="AE46">
        <v>7</v>
      </c>
      <c r="AF46">
        <f t="shared" si="1"/>
        <v>7</v>
      </c>
    </row>
    <row r="47" spans="2:32" x14ac:dyDescent="0.25">
      <c r="K47" s="30"/>
      <c r="L47" s="30"/>
      <c r="AD47">
        <f t="shared" si="2"/>
        <v>20</v>
      </c>
      <c r="AE47">
        <v>7</v>
      </c>
      <c r="AF47">
        <f t="shared" si="1"/>
        <v>7</v>
      </c>
    </row>
    <row r="48" spans="2:32" x14ac:dyDescent="0.25">
      <c r="K48" s="30"/>
      <c r="L48" s="30"/>
      <c r="AD48">
        <f t="shared" si="2"/>
        <v>21</v>
      </c>
      <c r="AE48">
        <v>7</v>
      </c>
      <c r="AF48">
        <f t="shared" si="1"/>
        <v>7</v>
      </c>
    </row>
    <row r="49" spans="30:32" x14ac:dyDescent="0.25">
      <c r="AD49">
        <f t="shared" si="2"/>
        <v>22</v>
      </c>
      <c r="AE49">
        <v>8</v>
      </c>
      <c r="AF49">
        <f t="shared" si="1"/>
        <v>8</v>
      </c>
    </row>
    <row r="50" spans="30:32" x14ac:dyDescent="0.25">
      <c r="AD50">
        <f t="shared" si="2"/>
        <v>23</v>
      </c>
      <c r="AE50">
        <v>8</v>
      </c>
      <c r="AF50">
        <f t="shared" si="1"/>
        <v>8</v>
      </c>
    </row>
    <row r="51" spans="30:32" x14ac:dyDescent="0.25">
      <c r="AD51">
        <f t="shared" si="2"/>
        <v>24</v>
      </c>
      <c r="AE51">
        <v>8</v>
      </c>
      <c r="AF51">
        <f t="shared" si="1"/>
        <v>8</v>
      </c>
    </row>
    <row r="52" spans="30:32" x14ac:dyDescent="0.25">
      <c r="AD52">
        <f t="shared" si="2"/>
        <v>25</v>
      </c>
      <c r="AE52">
        <v>9</v>
      </c>
      <c r="AF52">
        <f t="shared" si="1"/>
        <v>9</v>
      </c>
    </row>
    <row r="53" spans="30:32" x14ac:dyDescent="0.25">
      <c r="AD53">
        <f t="shared" si="2"/>
        <v>26</v>
      </c>
      <c r="AE53">
        <v>9</v>
      </c>
      <c r="AF53">
        <f t="shared" si="1"/>
        <v>9</v>
      </c>
    </row>
    <row r="54" spans="30:32" x14ac:dyDescent="0.25">
      <c r="AD54">
        <f t="shared" si="2"/>
        <v>27</v>
      </c>
      <c r="AE54">
        <v>9</v>
      </c>
      <c r="AF54">
        <f t="shared" si="1"/>
        <v>9</v>
      </c>
    </row>
    <row r="55" spans="30:32" x14ac:dyDescent="0.25">
      <c r="AD55">
        <f t="shared" si="2"/>
        <v>28</v>
      </c>
      <c r="AE55">
        <v>10</v>
      </c>
      <c r="AF55">
        <f t="shared" si="1"/>
        <v>10</v>
      </c>
    </row>
    <row r="56" spans="30:32" x14ac:dyDescent="0.25">
      <c r="AD56">
        <f t="shared" si="2"/>
        <v>29</v>
      </c>
      <c r="AE56">
        <v>10</v>
      </c>
      <c r="AF56">
        <f t="shared" si="1"/>
        <v>10</v>
      </c>
    </row>
    <row r="57" spans="30:32" x14ac:dyDescent="0.25">
      <c r="AD57">
        <f t="shared" si="2"/>
        <v>30</v>
      </c>
      <c r="AE57">
        <v>10</v>
      </c>
      <c r="AF57">
        <f t="shared" si="1"/>
        <v>10</v>
      </c>
    </row>
    <row r="58" spans="30:32" x14ac:dyDescent="0.25">
      <c r="AD58">
        <f t="shared" si="2"/>
        <v>31</v>
      </c>
      <c r="AE58">
        <v>11</v>
      </c>
      <c r="AF58">
        <f t="shared" si="1"/>
        <v>11</v>
      </c>
    </row>
    <row r="59" spans="30:32" x14ac:dyDescent="0.25">
      <c r="AD59">
        <f t="shared" si="2"/>
        <v>32</v>
      </c>
      <c r="AE59">
        <v>11</v>
      </c>
      <c r="AF59">
        <f t="shared" si="1"/>
        <v>11</v>
      </c>
    </row>
    <row r="60" spans="30:32" x14ac:dyDescent="0.25">
      <c r="AD60">
        <f t="shared" si="2"/>
        <v>33</v>
      </c>
      <c r="AE60">
        <v>11</v>
      </c>
      <c r="AF60">
        <f t="shared" si="1"/>
        <v>11</v>
      </c>
    </row>
    <row r="61" spans="30:32" x14ac:dyDescent="0.25">
      <c r="AD61">
        <f t="shared" si="2"/>
        <v>34</v>
      </c>
      <c r="AE61">
        <v>12</v>
      </c>
      <c r="AF61">
        <f t="shared" si="1"/>
        <v>12</v>
      </c>
    </row>
    <row r="62" spans="30:32" x14ac:dyDescent="0.25">
      <c r="AD62">
        <f t="shared" si="2"/>
        <v>35</v>
      </c>
      <c r="AE62">
        <v>12</v>
      </c>
      <c r="AF62">
        <f t="shared" si="1"/>
        <v>12</v>
      </c>
    </row>
    <row r="63" spans="30:32" x14ac:dyDescent="0.25">
      <c r="AD63">
        <f t="shared" si="2"/>
        <v>36</v>
      </c>
      <c r="AE63">
        <v>12</v>
      </c>
      <c r="AF63">
        <f t="shared" si="1"/>
        <v>12</v>
      </c>
    </row>
    <row r="64" spans="30:32" x14ac:dyDescent="0.25">
      <c r="AD64">
        <f t="shared" si="2"/>
        <v>37</v>
      </c>
      <c r="AE64">
        <v>13</v>
      </c>
      <c r="AF64">
        <f t="shared" si="1"/>
        <v>13</v>
      </c>
    </row>
    <row r="65" spans="30:32" x14ac:dyDescent="0.25">
      <c r="AD65">
        <f t="shared" si="2"/>
        <v>38</v>
      </c>
      <c r="AE65">
        <v>13</v>
      </c>
      <c r="AF65">
        <f t="shared" si="1"/>
        <v>13</v>
      </c>
    </row>
    <row r="66" spans="30:32" x14ac:dyDescent="0.25">
      <c r="AD66">
        <f t="shared" si="2"/>
        <v>39</v>
      </c>
      <c r="AE66">
        <v>13</v>
      </c>
      <c r="AF66">
        <f t="shared" si="1"/>
        <v>13</v>
      </c>
    </row>
    <row r="67" spans="30:32" x14ac:dyDescent="0.25">
      <c r="AD67">
        <f t="shared" si="2"/>
        <v>40</v>
      </c>
      <c r="AE67">
        <v>14</v>
      </c>
      <c r="AF67">
        <f t="shared" si="1"/>
        <v>14</v>
      </c>
    </row>
    <row r="68" spans="30:32" x14ac:dyDescent="0.25">
      <c r="AD68">
        <f t="shared" si="2"/>
        <v>41</v>
      </c>
      <c r="AE68">
        <v>14</v>
      </c>
      <c r="AF68">
        <f t="shared" si="1"/>
        <v>14</v>
      </c>
    </row>
    <row r="69" spans="30:32" x14ac:dyDescent="0.25">
      <c r="AD69">
        <f t="shared" si="2"/>
        <v>42</v>
      </c>
      <c r="AE69">
        <v>14</v>
      </c>
      <c r="AF69">
        <f t="shared" si="1"/>
        <v>14</v>
      </c>
    </row>
    <row r="70" spans="30:32" x14ac:dyDescent="0.25">
      <c r="AD70">
        <f t="shared" si="2"/>
        <v>43</v>
      </c>
      <c r="AE70">
        <v>15</v>
      </c>
      <c r="AF70">
        <f t="shared" si="1"/>
        <v>15</v>
      </c>
    </row>
    <row r="71" spans="30:32" x14ac:dyDescent="0.25">
      <c r="AD71">
        <f t="shared" si="2"/>
        <v>44</v>
      </c>
      <c r="AE71">
        <v>15</v>
      </c>
      <c r="AF71">
        <f t="shared" si="1"/>
        <v>15</v>
      </c>
    </row>
    <row r="72" spans="30:32" x14ac:dyDescent="0.25">
      <c r="AD72">
        <f t="shared" si="2"/>
        <v>45</v>
      </c>
      <c r="AE72">
        <v>15</v>
      </c>
      <c r="AF72">
        <f t="shared" si="1"/>
        <v>15</v>
      </c>
    </row>
    <row r="73" spans="30:32" x14ac:dyDescent="0.25">
      <c r="AD73">
        <f t="shared" si="2"/>
        <v>46</v>
      </c>
      <c r="AE73">
        <v>16</v>
      </c>
      <c r="AF73">
        <f t="shared" si="1"/>
        <v>16</v>
      </c>
    </row>
    <row r="74" spans="30:32" x14ac:dyDescent="0.25">
      <c r="AD74">
        <f t="shared" si="2"/>
        <v>47</v>
      </c>
      <c r="AE74">
        <v>16</v>
      </c>
      <c r="AF74">
        <f t="shared" si="1"/>
        <v>16</v>
      </c>
    </row>
    <row r="75" spans="30:32" x14ac:dyDescent="0.25">
      <c r="AD75">
        <f t="shared" si="2"/>
        <v>48</v>
      </c>
      <c r="AE75">
        <v>16</v>
      </c>
      <c r="AF75">
        <f t="shared" si="1"/>
        <v>16</v>
      </c>
    </row>
    <row r="76" spans="30:32" x14ac:dyDescent="0.25">
      <c r="AD76">
        <f t="shared" si="2"/>
        <v>49</v>
      </c>
      <c r="AE76">
        <v>17</v>
      </c>
      <c r="AF76">
        <f t="shared" si="1"/>
        <v>17</v>
      </c>
    </row>
    <row r="77" spans="30:32" x14ac:dyDescent="0.25">
      <c r="AD77">
        <f t="shared" si="2"/>
        <v>50</v>
      </c>
      <c r="AE77">
        <v>17</v>
      </c>
      <c r="AF77">
        <f t="shared" si="1"/>
        <v>17</v>
      </c>
    </row>
    <row r="78" spans="30:32" x14ac:dyDescent="0.25">
      <c r="AD78">
        <f t="shared" si="2"/>
        <v>51</v>
      </c>
      <c r="AE78">
        <v>17</v>
      </c>
      <c r="AF78">
        <f t="shared" si="1"/>
        <v>17</v>
      </c>
    </row>
    <row r="79" spans="30:32" x14ac:dyDescent="0.25">
      <c r="AD79">
        <f t="shared" si="2"/>
        <v>52</v>
      </c>
      <c r="AE79">
        <v>18</v>
      </c>
      <c r="AF79">
        <f t="shared" si="1"/>
        <v>18</v>
      </c>
    </row>
    <row r="80" spans="30:32" x14ac:dyDescent="0.25">
      <c r="AD80">
        <f t="shared" si="2"/>
        <v>53</v>
      </c>
      <c r="AE80">
        <v>18</v>
      </c>
      <c r="AF80">
        <f t="shared" si="1"/>
        <v>18</v>
      </c>
    </row>
    <row r="81" spans="30:32" x14ac:dyDescent="0.25">
      <c r="AD81">
        <f t="shared" si="2"/>
        <v>54</v>
      </c>
      <c r="AE81">
        <v>18</v>
      </c>
      <c r="AF81">
        <f t="shared" si="1"/>
        <v>18</v>
      </c>
    </row>
    <row r="82" spans="30:32" x14ac:dyDescent="0.25">
      <c r="AD82">
        <f t="shared" si="2"/>
        <v>55</v>
      </c>
      <c r="AE82">
        <v>20</v>
      </c>
      <c r="AF82">
        <f t="shared" si="1"/>
        <v>20</v>
      </c>
    </row>
    <row r="83" spans="30:32" x14ac:dyDescent="0.25">
      <c r="AD83">
        <f t="shared" si="2"/>
        <v>56</v>
      </c>
      <c r="AE83">
        <v>20</v>
      </c>
      <c r="AF83">
        <f t="shared" si="1"/>
        <v>20</v>
      </c>
    </row>
    <row r="84" spans="30:32" x14ac:dyDescent="0.25">
      <c r="AD84">
        <f t="shared" si="2"/>
        <v>57</v>
      </c>
      <c r="AE84"/>
      <c r="AF84"/>
    </row>
    <row r="85" spans="30:32" x14ac:dyDescent="0.25">
      <c r="AD85">
        <f t="shared" si="2"/>
        <v>58</v>
      </c>
      <c r="AE85"/>
      <c r="AF85"/>
    </row>
    <row r="86" spans="30:32" x14ac:dyDescent="0.25">
      <c r="AD86">
        <f t="shared" si="2"/>
        <v>59</v>
      </c>
      <c r="AE86"/>
      <c r="AF86"/>
    </row>
    <row r="87" spans="30:32" x14ac:dyDescent="0.25">
      <c r="AD87">
        <f t="shared" si="2"/>
        <v>60</v>
      </c>
      <c r="AE87"/>
      <c r="AF87"/>
    </row>
    <row r="88" spans="30:32" x14ac:dyDescent="0.25">
      <c r="AD88">
        <f t="shared" si="2"/>
        <v>61</v>
      </c>
      <c r="AE88"/>
      <c r="AF88"/>
    </row>
    <row r="89" spans="30:32" x14ac:dyDescent="0.25">
      <c r="AD89">
        <f t="shared" si="2"/>
        <v>62</v>
      </c>
      <c r="AE89"/>
      <c r="AF89"/>
    </row>
    <row r="90" spans="30:32" x14ac:dyDescent="0.25">
      <c r="AD90">
        <f t="shared" si="2"/>
        <v>63</v>
      </c>
      <c r="AE90"/>
      <c r="AF90"/>
    </row>
    <row r="91" spans="30:32" x14ac:dyDescent="0.25">
      <c r="AD91">
        <f t="shared" si="2"/>
        <v>64</v>
      </c>
      <c r="AE91"/>
      <c r="AF91"/>
    </row>
    <row r="92" spans="30:32" x14ac:dyDescent="0.25">
      <c r="AD92">
        <f t="shared" ref="AD92:AD138" si="3">AD91+1</f>
        <v>65</v>
      </c>
      <c r="AE92"/>
      <c r="AF92"/>
    </row>
    <row r="93" spans="30:32" x14ac:dyDescent="0.25">
      <c r="AD93">
        <f t="shared" si="3"/>
        <v>66</v>
      </c>
      <c r="AE93"/>
      <c r="AF93"/>
    </row>
    <row r="94" spans="30:32" x14ac:dyDescent="0.25">
      <c r="AD94">
        <f t="shared" si="3"/>
        <v>67</v>
      </c>
      <c r="AE94"/>
      <c r="AF94"/>
    </row>
    <row r="95" spans="30:32" x14ac:dyDescent="0.25">
      <c r="AD95">
        <f t="shared" si="3"/>
        <v>68</v>
      </c>
      <c r="AE95"/>
      <c r="AF95"/>
    </row>
    <row r="96" spans="30:32" x14ac:dyDescent="0.25">
      <c r="AD96">
        <f t="shared" si="3"/>
        <v>69</v>
      </c>
      <c r="AE96"/>
      <c r="AF96"/>
    </row>
    <row r="97" spans="30:32" x14ac:dyDescent="0.25">
      <c r="AD97">
        <f t="shared" si="3"/>
        <v>70</v>
      </c>
      <c r="AE97"/>
      <c r="AF97"/>
    </row>
    <row r="98" spans="30:32" x14ac:dyDescent="0.25">
      <c r="AD98">
        <f t="shared" si="3"/>
        <v>71</v>
      </c>
      <c r="AE98"/>
      <c r="AF98"/>
    </row>
    <row r="99" spans="30:32" x14ac:dyDescent="0.25">
      <c r="AD99">
        <f t="shared" si="3"/>
        <v>72</v>
      </c>
      <c r="AE99"/>
      <c r="AF99"/>
    </row>
    <row r="100" spans="30:32" x14ac:dyDescent="0.25">
      <c r="AD100">
        <f t="shared" si="3"/>
        <v>73</v>
      </c>
      <c r="AE100"/>
      <c r="AF100"/>
    </row>
    <row r="101" spans="30:32" x14ac:dyDescent="0.25">
      <c r="AD101">
        <f t="shared" si="3"/>
        <v>74</v>
      </c>
      <c r="AE101"/>
      <c r="AF101"/>
    </row>
    <row r="102" spans="30:32" x14ac:dyDescent="0.25">
      <c r="AD102">
        <f t="shared" si="3"/>
        <v>75</v>
      </c>
      <c r="AE102"/>
      <c r="AF102"/>
    </row>
    <row r="103" spans="30:32" x14ac:dyDescent="0.25">
      <c r="AD103">
        <f t="shared" si="3"/>
        <v>76</v>
      </c>
      <c r="AE103"/>
      <c r="AF103"/>
    </row>
    <row r="104" spans="30:32" x14ac:dyDescent="0.25">
      <c r="AD104">
        <f t="shared" si="3"/>
        <v>77</v>
      </c>
      <c r="AE104"/>
      <c r="AF104"/>
    </row>
    <row r="105" spans="30:32" x14ac:dyDescent="0.25">
      <c r="AD105">
        <f t="shared" si="3"/>
        <v>78</v>
      </c>
      <c r="AE105"/>
      <c r="AF105"/>
    </row>
    <row r="106" spans="30:32" x14ac:dyDescent="0.25">
      <c r="AD106">
        <f t="shared" si="3"/>
        <v>79</v>
      </c>
      <c r="AE106"/>
      <c r="AF106"/>
    </row>
    <row r="107" spans="30:32" x14ac:dyDescent="0.25">
      <c r="AD107">
        <f t="shared" si="3"/>
        <v>80</v>
      </c>
      <c r="AE107"/>
      <c r="AF107"/>
    </row>
    <row r="108" spans="30:32" x14ac:dyDescent="0.25">
      <c r="AD108">
        <f t="shared" si="3"/>
        <v>81</v>
      </c>
      <c r="AE108"/>
      <c r="AF108"/>
    </row>
    <row r="109" spans="30:32" x14ac:dyDescent="0.25">
      <c r="AD109">
        <f t="shared" si="3"/>
        <v>82</v>
      </c>
      <c r="AE109"/>
      <c r="AF109"/>
    </row>
    <row r="110" spans="30:32" x14ac:dyDescent="0.25">
      <c r="AD110">
        <f t="shared" si="3"/>
        <v>83</v>
      </c>
      <c r="AE110"/>
      <c r="AF110"/>
    </row>
    <row r="111" spans="30:32" x14ac:dyDescent="0.25">
      <c r="AD111">
        <f t="shared" si="3"/>
        <v>84</v>
      </c>
      <c r="AE111"/>
      <c r="AF111"/>
    </row>
    <row r="112" spans="30:32" x14ac:dyDescent="0.25">
      <c r="AD112">
        <f t="shared" si="3"/>
        <v>85</v>
      </c>
      <c r="AE112"/>
      <c r="AF112"/>
    </row>
    <row r="113" spans="30:32" x14ac:dyDescent="0.25">
      <c r="AD113">
        <f t="shared" si="3"/>
        <v>86</v>
      </c>
      <c r="AE113"/>
      <c r="AF113"/>
    </row>
    <row r="114" spans="30:32" x14ac:dyDescent="0.25">
      <c r="AD114">
        <f t="shared" si="3"/>
        <v>87</v>
      </c>
      <c r="AE114"/>
      <c r="AF114"/>
    </row>
    <row r="115" spans="30:32" x14ac:dyDescent="0.25">
      <c r="AD115">
        <f t="shared" si="3"/>
        <v>88</v>
      </c>
      <c r="AE115"/>
      <c r="AF115"/>
    </row>
    <row r="116" spans="30:32" x14ac:dyDescent="0.25">
      <c r="AD116">
        <f t="shared" si="3"/>
        <v>89</v>
      </c>
      <c r="AE116"/>
      <c r="AF116"/>
    </row>
    <row r="117" spans="30:32" x14ac:dyDescent="0.25">
      <c r="AD117">
        <f t="shared" si="3"/>
        <v>90</v>
      </c>
      <c r="AE117"/>
      <c r="AF117"/>
    </row>
    <row r="118" spans="30:32" x14ac:dyDescent="0.25">
      <c r="AD118">
        <f t="shared" si="3"/>
        <v>91</v>
      </c>
      <c r="AE118"/>
      <c r="AF118"/>
    </row>
    <row r="119" spans="30:32" x14ac:dyDescent="0.25">
      <c r="AD119">
        <f t="shared" si="3"/>
        <v>92</v>
      </c>
      <c r="AE119"/>
      <c r="AF119"/>
    </row>
    <row r="120" spans="30:32" x14ac:dyDescent="0.25">
      <c r="AD120">
        <f t="shared" si="3"/>
        <v>93</v>
      </c>
      <c r="AE120"/>
      <c r="AF120"/>
    </row>
    <row r="121" spans="30:32" x14ac:dyDescent="0.25">
      <c r="AD121">
        <f t="shared" si="3"/>
        <v>94</v>
      </c>
      <c r="AE121"/>
      <c r="AF121"/>
    </row>
    <row r="122" spans="30:32" x14ac:dyDescent="0.25">
      <c r="AD122">
        <f t="shared" si="3"/>
        <v>95</v>
      </c>
      <c r="AE122"/>
      <c r="AF122"/>
    </row>
    <row r="123" spans="30:32" x14ac:dyDescent="0.25">
      <c r="AD123">
        <f t="shared" si="3"/>
        <v>96</v>
      </c>
      <c r="AE123"/>
      <c r="AF123"/>
    </row>
    <row r="124" spans="30:32" x14ac:dyDescent="0.25">
      <c r="AD124">
        <f t="shared" si="3"/>
        <v>97</v>
      </c>
      <c r="AE124"/>
      <c r="AF124"/>
    </row>
    <row r="125" spans="30:32" x14ac:dyDescent="0.25">
      <c r="AD125">
        <f t="shared" si="3"/>
        <v>98</v>
      </c>
      <c r="AE125"/>
      <c r="AF125"/>
    </row>
    <row r="126" spans="30:32" x14ac:dyDescent="0.25">
      <c r="AD126">
        <f t="shared" si="3"/>
        <v>99</v>
      </c>
      <c r="AE126"/>
      <c r="AF126"/>
    </row>
    <row r="127" spans="30:32" x14ac:dyDescent="0.25">
      <c r="AD127">
        <f t="shared" si="3"/>
        <v>100</v>
      </c>
      <c r="AE127"/>
      <c r="AF127"/>
    </row>
    <row r="128" spans="30:32" x14ac:dyDescent="0.25">
      <c r="AD128">
        <f t="shared" si="3"/>
        <v>101</v>
      </c>
      <c r="AE128"/>
      <c r="AF128"/>
    </row>
    <row r="129" spans="30:32" x14ac:dyDescent="0.25">
      <c r="AD129">
        <f t="shared" si="3"/>
        <v>102</v>
      </c>
      <c r="AE129"/>
      <c r="AF129"/>
    </row>
    <row r="130" spans="30:32" x14ac:dyDescent="0.25">
      <c r="AD130">
        <f t="shared" si="3"/>
        <v>103</v>
      </c>
      <c r="AE130"/>
      <c r="AF130"/>
    </row>
    <row r="131" spans="30:32" x14ac:dyDescent="0.25">
      <c r="AD131">
        <f t="shared" si="3"/>
        <v>104</v>
      </c>
      <c r="AE131"/>
      <c r="AF131"/>
    </row>
    <row r="132" spans="30:32" x14ac:dyDescent="0.25">
      <c r="AD132">
        <f t="shared" si="3"/>
        <v>105</v>
      </c>
      <c r="AE132"/>
      <c r="AF132"/>
    </row>
    <row r="133" spans="30:32" x14ac:dyDescent="0.25">
      <c r="AD133">
        <f t="shared" si="3"/>
        <v>106</v>
      </c>
      <c r="AE133"/>
      <c r="AF133"/>
    </row>
    <row r="134" spans="30:32" x14ac:dyDescent="0.25">
      <c r="AD134">
        <f t="shared" si="3"/>
        <v>107</v>
      </c>
      <c r="AE134"/>
      <c r="AF134"/>
    </row>
    <row r="135" spans="30:32" x14ac:dyDescent="0.25">
      <c r="AD135">
        <f t="shared" si="3"/>
        <v>108</v>
      </c>
      <c r="AE135"/>
      <c r="AF135"/>
    </row>
    <row r="136" spans="30:32" x14ac:dyDescent="0.25">
      <c r="AD136">
        <f t="shared" si="3"/>
        <v>109</v>
      </c>
      <c r="AE136"/>
      <c r="AF136"/>
    </row>
    <row r="137" spans="30:32" x14ac:dyDescent="0.25">
      <c r="AD137">
        <f t="shared" si="3"/>
        <v>110</v>
      </c>
      <c r="AE137"/>
      <c r="AF137"/>
    </row>
    <row r="138" spans="30:32" x14ac:dyDescent="0.25">
      <c r="AD138">
        <f t="shared" si="3"/>
        <v>111</v>
      </c>
      <c r="AE138"/>
      <c r="AF138"/>
    </row>
  </sheetData>
  <sheetProtection selectLockedCells="1" selectUnlockedCells="1"/>
  <mergeCells count="17">
    <mergeCell ref="B10:G10"/>
    <mergeCell ref="B11:B12"/>
    <mergeCell ref="C11:C12"/>
    <mergeCell ref="D11:D12"/>
    <mergeCell ref="G11:G12"/>
    <mergeCell ref="B37:D37"/>
    <mergeCell ref="B36:D36"/>
    <mergeCell ref="J11:J13"/>
    <mergeCell ref="B30:E30"/>
    <mergeCell ref="F11:F12"/>
    <mergeCell ref="B35:D35"/>
    <mergeCell ref="B34:D34"/>
    <mergeCell ref="B33:D33"/>
    <mergeCell ref="B32:D32"/>
    <mergeCell ref="B31:D31"/>
    <mergeCell ref="H11:H13"/>
    <mergeCell ref="I11:I13"/>
  </mergeCells>
  <phoneticPr fontId="34" type="noConversion"/>
  <conditionalFormatting sqref="B17:G27">
    <cfRule type="expression" dxfId="35" priority="4" stopIfTrue="1">
      <formula>MOD(ROW(),2)</formula>
    </cfRule>
  </conditionalFormatting>
  <conditionalFormatting sqref="E17:F27">
    <cfRule type="cellIs" dxfId="34" priority="2" stopIfTrue="1" operator="equal">
      <formula>"DESCARTADO"</formula>
    </cfRule>
    <cfRule type="cellIs" dxfId="33" priority="5" stopIfTrue="1" operator="equal">
      <formula>"NO ADMISIBLE"</formula>
    </cfRule>
  </conditionalFormatting>
  <pageMargins left="0.75" right="0.75" top="1" bottom="1" header="0" footer="0"/>
  <pageSetup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9" tint="-0.249977111117893"/>
  </sheetPr>
  <dimension ref="B1:R29"/>
  <sheetViews>
    <sheetView topLeftCell="I11" zoomScale="110" zoomScaleNormal="110" workbookViewId="0">
      <selection activeCell="S16" sqref="S16"/>
    </sheetView>
  </sheetViews>
  <sheetFormatPr baseColWidth="10" defaultColWidth="11.44140625" defaultRowHeight="13.2" x14ac:dyDescent="0.25"/>
  <cols>
    <col min="1" max="1" width="2.6640625" style="2" customWidth="1"/>
    <col min="2" max="2" width="10.33203125" style="2" bestFit="1" customWidth="1"/>
    <col min="3" max="3" width="10.33203125" style="2" customWidth="1"/>
    <col min="4" max="4" width="31.6640625" style="2" customWidth="1"/>
    <col min="5" max="5" width="11.44140625" style="2" bestFit="1" customWidth="1"/>
    <col min="6" max="6" width="14.44140625" style="2" customWidth="1"/>
    <col min="7" max="7" width="19.109375" style="2" customWidth="1"/>
    <col min="8" max="8" width="17.44140625" style="2" customWidth="1"/>
    <col min="9" max="9" width="10.88671875" style="2" customWidth="1"/>
    <col min="10" max="10" width="13.44140625" style="2" customWidth="1"/>
    <col min="11" max="11" width="12.6640625" style="2" customWidth="1"/>
    <col min="12" max="12" width="15.44140625" style="2" customWidth="1"/>
    <col min="13" max="13" width="11.44140625" style="2" customWidth="1"/>
    <col min="14" max="14" width="4.6640625" style="2" customWidth="1"/>
    <col min="15" max="15" width="9.109375" style="3" hidden="1" customWidth="1"/>
    <col min="16" max="16" width="9.33203125" style="3" bestFit="1" customWidth="1"/>
    <col min="17" max="17" width="64.44140625" style="2" customWidth="1"/>
    <col min="18" max="18" width="14.44140625" style="2" bestFit="1" customWidth="1"/>
    <col min="19" max="19" width="5.33203125" style="2" customWidth="1"/>
    <col min="20" max="16384" width="11.44140625" style="2"/>
  </cols>
  <sheetData>
    <row r="1" spans="2:18" ht="17.399999999999999" x14ac:dyDescent="0.25">
      <c r="B1" s="52" t="str">
        <f>'RESUMEN-M (1)'!B1</f>
        <v>INSTITUTO NACIONAL DE VÍAS</v>
      </c>
      <c r="C1" s="52"/>
      <c r="D1" s="1"/>
      <c r="E1" s="1"/>
      <c r="F1" s="1"/>
      <c r="G1" s="1"/>
      <c r="H1" s="1"/>
      <c r="I1" s="1"/>
      <c r="J1" s="1"/>
      <c r="K1" s="1"/>
      <c r="L1" s="1"/>
      <c r="M1" s="1"/>
      <c r="N1" s="265"/>
      <c r="O1" s="277"/>
      <c r="P1" s="52" t="str">
        <f t="shared" ref="P1:P7" si="0">B1</f>
        <v>INSTITUTO NACIONAL DE VÍAS</v>
      </c>
      <c r="Q1" s="5"/>
      <c r="R1" s="5"/>
    </row>
    <row r="2" spans="2:18" ht="15.6" x14ac:dyDescent="0.25">
      <c r="B2" s="54" t="str">
        <f>'RESUMEN-M (1)'!B2</f>
        <v>DIRECCIÓN GENERAL</v>
      </c>
      <c r="C2" s="54"/>
      <c r="D2" s="4"/>
      <c r="E2" s="4"/>
      <c r="F2" s="4"/>
      <c r="G2" s="4"/>
      <c r="H2" s="4"/>
      <c r="I2" s="4"/>
      <c r="J2" s="4"/>
      <c r="K2" s="4"/>
      <c r="L2" s="4"/>
      <c r="M2" s="4"/>
      <c r="N2" s="265"/>
      <c r="O2" s="277"/>
      <c r="P2" s="54" t="str">
        <f t="shared" si="0"/>
        <v>DIRECCIÓN GENERAL</v>
      </c>
      <c r="Q2" s="5"/>
      <c r="R2" s="5"/>
    </row>
    <row r="3" spans="2:18" x14ac:dyDescent="0.25">
      <c r="B3" s="54" t="str">
        <f>'RESUMEN-M (1)'!B3</f>
        <v>DIRECCIÓN TERRITORIAL MAGDALENA</v>
      </c>
      <c r="C3" s="54"/>
      <c r="D3" s="5"/>
      <c r="E3" s="5"/>
      <c r="F3" s="5"/>
      <c r="G3" s="5"/>
      <c r="H3" s="5"/>
      <c r="I3" s="5"/>
      <c r="J3" s="5"/>
      <c r="K3" s="5"/>
      <c r="L3" s="5"/>
      <c r="M3" s="5"/>
      <c r="N3" s="265"/>
      <c r="O3" s="277"/>
      <c r="P3" s="54" t="str">
        <f t="shared" si="0"/>
        <v>DIRECCIÓN TERRITORIAL MAGDALENA</v>
      </c>
      <c r="Q3" s="5"/>
      <c r="R3" s="5"/>
    </row>
    <row r="4" spans="2:18" hidden="1" x14ac:dyDescent="0.25">
      <c r="B4" s="54" t="e">
        <f>'RESUMEN-M (1)'!#REF!</f>
        <v>#REF!</v>
      </c>
      <c r="C4" s="54"/>
      <c r="D4" s="5"/>
      <c r="E4" s="5"/>
      <c r="F4" s="5"/>
      <c r="G4" s="5"/>
      <c r="H4" s="5"/>
      <c r="I4" s="5"/>
      <c r="J4" s="5"/>
      <c r="K4" s="5"/>
      <c r="L4" s="5"/>
      <c r="M4" s="5"/>
      <c r="N4" s="265"/>
      <c r="O4" s="277"/>
      <c r="P4" s="54" t="e">
        <f t="shared" si="0"/>
        <v>#REF!</v>
      </c>
      <c r="Q4" s="5"/>
      <c r="R4" s="5"/>
    </row>
    <row r="5" spans="2:18" x14ac:dyDescent="0.25">
      <c r="B5" s="54" t="str">
        <f>'RESUMEN-M (1)'!B4</f>
        <v>CONCURSO DE MÉRITOS ABIERTO No  CMA-DT-MAG-001-2024</v>
      </c>
      <c r="C5" s="54"/>
      <c r="D5" s="5"/>
      <c r="E5" s="5"/>
      <c r="F5" s="5"/>
      <c r="G5" s="5"/>
      <c r="H5" s="5"/>
      <c r="I5" s="5"/>
      <c r="J5" s="5"/>
      <c r="K5" s="5"/>
      <c r="L5" s="5"/>
      <c r="M5" s="5"/>
      <c r="N5" s="265"/>
      <c r="O5" s="277"/>
      <c r="P5" s="54" t="str">
        <f t="shared" si="0"/>
        <v>CONCURSO DE MÉRITOS ABIERTO No  CMA-DT-MAG-001-2024</v>
      </c>
      <c r="Q5" s="5"/>
      <c r="R5" s="5"/>
    </row>
    <row r="6" spans="2:18" ht="52.8" x14ac:dyDescent="0.25">
      <c r="B6" s="54" t="str">
        <f>'RESUMEN-M (1)'!B5</f>
        <v>OBJETO: “INTERVENTORIA TÉCNICA, ADMINISTRATIVA, FINANCIERA Y AMBIENTAL, PARA EL MEJORAMIENTO Y MANTENIMIENTO DE LAS VÍAS: RICAURTE – HATOVIEJO CÓDIGO 78218 EN EL MUNICIPIO DE GUAMAL; Y SAN SEBASTIÁN - LOS GALVIS CÓDIGO 78141, EN EL MUNICIPIO DE SAN SEBASTIÁN DE BUENAVISTA, DEPARTAMENTO DEL MAGDALENA”.</v>
      </c>
      <c r="C6" s="54"/>
      <c r="D6" s="6"/>
      <c r="E6" s="6"/>
      <c r="F6" s="6"/>
      <c r="G6" s="6"/>
      <c r="H6" s="6"/>
      <c r="I6" s="6"/>
      <c r="J6" s="6"/>
      <c r="K6" s="6"/>
      <c r="L6" s="6"/>
      <c r="M6" s="6"/>
      <c r="N6" s="265"/>
      <c r="O6" s="277"/>
      <c r="P6" s="54" t="str">
        <f t="shared" si="0"/>
        <v>OBJETO: “INTERVENTORIA TÉCNICA, ADMINISTRATIVA, FINANCIERA Y AMBIENTAL, PARA EL MEJORAMIENTO Y MANTENIMIENTO DE LAS VÍAS: RICAURTE – HATOVIEJO CÓDIGO 78218 EN EL MUNICIPIO DE GUAMAL; Y SAN SEBASTIÁN - LOS GALVIS CÓDIGO 78141, EN EL MUNICIPIO DE SAN SEBASTIÁN DE BUENAVISTA, DEPARTAMENTO DEL MAGDALENA”.</v>
      </c>
      <c r="Q6" s="5"/>
      <c r="R6" s="5"/>
    </row>
    <row r="7" spans="2:18" x14ac:dyDescent="0.25">
      <c r="B7" s="54">
        <f>'RESUMEN-M (1)'!B6</f>
        <v>0</v>
      </c>
      <c r="C7" s="54"/>
      <c r="D7" s="6"/>
      <c r="E7" s="6"/>
      <c r="F7" s="6"/>
      <c r="G7" s="6"/>
      <c r="H7" s="6"/>
      <c r="I7" s="6"/>
      <c r="J7" s="6"/>
      <c r="K7" s="6"/>
      <c r="L7" s="6"/>
      <c r="M7" s="6"/>
      <c r="N7" s="265"/>
      <c r="O7" s="277"/>
      <c r="P7" s="54">
        <f t="shared" si="0"/>
        <v>0</v>
      </c>
      <c r="Q7" s="5"/>
      <c r="R7" s="5"/>
    </row>
    <row r="8" spans="2:18" x14ac:dyDescent="0.25">
      <c r="B8" s="55" t="s">
        <v>104</v>
      </c>
      <c r="C8" s="55"/>
      <c r="D8" s="278"/>
      <c r="E8" s="278"/>
      <c r="F8" s="278"/>
      <c r="G8" s="278"/>
      <c r="H8" s="278"/>
      <c r="I8" s="278"/>
      <c r="J8" s="278"/>
      <c r="K8" s="278"/>
      <c r="L8" s="278"/>
      <c r="M8" s="278"/>
      <c r="N8" s="265"/>
      <c r="O8" s="277"/>
      <c r="P8" s="54" t="s">
        <v>105</v>
      </c>
      <c r="Q8" s="5"/>
      <c r="R8" s="5"/>
    </row>
    <row r="9" spans="2:18" x14ac:dyDescent="0.25">
      <c r="B9" s="54" t="s">
        <v>106</v>
      </c>
      <c r="C9" s="54"/>
      <c r="D9" s="278"/>
      <c r="E9" s="278"/>
      <c r="F9" s="278"/>
      <c r="G9" s="278"/>
      <c r="H9" s="278"/>
      <c r="I9" s="278"/>
      <c r="J9" s="278"/>
      <c r="K9" s="278"/>
      <c r="L9" s="278"/>
      <c r="M9" s="278"/>
      <c r="N9" s="265"/>
      <c r="O9" s="277"/>
      <c r="P9" s="277"/>
      <c r="Q9" s="265"/>
      <c r="R9" s="265"/>
    </row>
    <row r="10" spans="2:18" s="18" customFormat="1" ht="21" x14ac:dyDescent="0.25">
      <c r="B10" s="91"/>
      <c r="C10" s="91"/>
      <c r="D10" s="91"/>
      <c r="E10" s="91"/>
      <c r="F10" s="91"/>
      <c r="G10" s="91"/>
      <c r="H10" s="91"/>
      <c r="I10" s="91"/>
      <c r="J10" s="91"/>
      <c r="K10" s="91"/>
      <c r="L10" s="91"/>
      <c r="M10" s="91"/>
      <c r="O10" s="19"/>
      <c r="P10" s="121" t="s">
        <v>107</v>
      </c>
      <c r="Q10" s="121"/>
      <c r="R10" s="121"/>
    </row>
    <row r="11" spans="2:18" ht="13.8" thickBot="1" x14ac:dyDescent="0.3">
      <c r="B11" s="279"/>
      <c r="C11" s="279"/>
      <c r="D11" s="279"/>
      <c r="E11" s="279"/>
      <c r="F11" s="279"/>
      <c r="G11" s="279"/>
      <c r="H11" s="280"/>
      <c r="I11" s="279"/>
      <c r="J11" s="279"/>
      <c r="K11" s="279"/>
      <c r="L11" s="279" t="s">
        <v>108</v>
      </c>
      <c r="M11" s="279"/>
      <c r="N11" s="265"/>
      <c r="O11" s="456" t="s">
        <v>109</v>
      </c>
      <c r="P11" s="277"/>
      <c r="Q11" s="265"/>
      <c r="R11" s="265"/>
    </row>
    <row r="12" spans="2:18" ht="36.75" customHeight="1" thickTop="1" x14ac:dyDescent="0.25">
      <c r="B12" s="447" t="s">
        <v>7</v>
      </c>
      <c r="C12" s="449" t="s">
        <v>110</v>
      </c>
      <c r="D12" s="451" t="s">
        <v>9</v>
      </c>
      <c r="E12" s="285" t="s">
        <v>88</v>
      </c>
      <c r="F12" s="426" t="s">
        <v>111</v>
      </c>
      <c r="G12" s="453" t="s">
        <v>112</v>
      </c>
      <c r="H12" s="459" t="s">
        <v>11</v>
      </c>
      <c r="I12" s="460"/>
      <c r="J12" s="460"/>
      <c r="K12" s="460"/>
      <c r="L12" s="449" t="s">
        <v>113</v>
      </c>
      <c r="M12" s="457" t="s">
        <v>114</v>
      </c>
      <c r="N12" s="265"/>
      <c r="O12" s="456"/>
      <c r="P12" s="462"/>
      <c r="Q12" s="463"/>
      <c r="R12" s="464"/>
    </row>
    <row r="13" spans="2:18" ht="44.25" customHeight="1" thickBot="1" x14ac:dyDescent="0.3">
      <c r="B13" s="448"/>
      <c r="C13" s="450"/>
      <c r="D13" s="452"/>
      <c r="E13" s="286" t="s">
        <v>91</v>
      </c>
      <c r="F13" s="427"/>
      <c r="G13" s="454"/>
      <c r="H13" s="293" t="s">
        <v>115</v>
      </c>
      <c r="I13" s="117" t="s">
        <v>116</v>
      </c>
      <c r="J13" s="294" t="s">
        <v>117</v>
      </c>
      <c r="K13" s="294" t="s">
        <v>118</v>
      </c>
      <c r="L13" s="461"/>
      <c r="M13" s="458"/>
      <c r="N13" s="265"/>
      <c r="O13" s="456"/>
      <c r="P13" s="465" t="e">
        <f ca="1">VLOOKUP(Q16,D16:E25,2,FALSE)</f>
        <v>#N/A</v>
      </c>
      <c r="Q13" s="466"/>
      <c r="R13" s="467"/>
    </row>
    <row r="14" spans="2:18" ht="13.8" thickBot="1" x14ac:dyDescent="0.3">
      <c r="B14" s="98"/>
      <c r="C14" s="139"/>
      <c r="D14" s="116" t="s">
        <v>119</v>
      </c>
      <c r="E14" s="99">
        <f>COUNT(E16:E25)</f>
        <v>0</v>
      </c>
      <c r="F14" s="100"/>
      <c r="G14" s="100"/>
      <c r="H14" s="118">
        <f>'MEDIA GEOMETRICA'!E37</f>
        <v>800</v>
      </c>
      <c r="I14" s="118">
        <v>100</v>
      </c>
      <c r="J14" s="118"/>
      <c r="K14" s="119">
        <v>100</v>
      </c>
      <c r="L14" s="119">
        <f>H14+I14+J14+K14</f>
        <v>1000</v>
      </c>
      <c r="M14" s="120"/>
      <c r="N14" s="265"/>
      <c r="O14" s="456"/>
      <c r="P14" s="101" t="s">
        <v>120</v>
      </c>
      <c r="Q14" s="102" t="s">
        <v>9</v>
      </c>
      <c r="R14" s="103" t="s">
        <v>121</v>
      </c>
    </row>
    <row r="15" spans="2:18" ht="16.5" customHeight="1" x14ac:dyDescent="0.25">
      <c r="B15" s="92"/>
      <c r="C15" s="140"/>
      <c r="D15" s="93"/>
      <c r="E15" s="94"/>
      <c r="F15" s="95"/>
      <c r="G15" s="95"/>
      <c r="H15" s="96"/>
      <c r="I15" s="96"/>
      <c r="J15" s="96"/>
      <c r="K15" s="96"/>
      <c r="L15" s="97"/>
      <c r="M15" s="97"/>
      <c r="N15" s="265"/>
      <c r="O15" s="277"/>
      <c r="P15" s="104"/>
      <c r="Q15" s="105"/>
      <c r="R15" s="106"/>
    </row>
    <row r="16" spans="2:18" ht="17.399999999999999" x14ac:dyDescent="0.25">
      <c r="B16" s="108">
        <v>1</v>
      </c>
      <c r="C16" s="141">
        <f>'RESUMEN-M (1)'!C12</f>
        <v>1</v>
      </c>
      <c r="D16" s="145" t="str">
        <f>'RESUMEN-M (1)'!D12</f>
        <v>CONSORCIO CAP-SAS</v>
      </c>
      <c r="E16" s="109" t="e">
        <f>'MEDIA GEOMETRICA'!E17</f>
        <v>#REF!</v>
      </c>
      <c r="F16" s="181" t="e">
        <f>ABS('MEDIA GEOMETRICA'!$E$34-'MEDIA GEOMETRICA'!E17)</f>
        <v>#REF!</v>
      </c>
      <c r="G16" s="182" t="e">
        <f t="shared" ref="G16:G21" si="1">IF(E16="DESCARTADO","DESCARTADO","ADMISIBLE")</f>
        <v>#REF!</v>
      </c>
      <c r="H16" s="192" t="e">
        <f>VLOOKUP($D16,'MEDIA GEOMETRICA'!$D$17:$G$26,4,FALSE)</f>
        <v>#REF!</v>
      </c>
      <c r="I16" s="111">
        <f>VLOOKUP($D16,'RESUMEN-M (1)'!$D$12:$G$16,3,FALSE)</f>
        <v>10</v>
      </c>
      <c r="J16" s="111"/>
      <c r="K16" s="111" t="e">
        <f>VLOOKUP($D16,'RESUMEN-M (1)'!$D$12:$G$16,5,FALSE)</f>
        <v>#REF!</v>
      </c>
      <c r="L16" s="166" t="e">
        <f t="shared" ref="L16:L23" si="2">IF(E16="DESCARTADO",-M16,H16+I16+J16+K16+M16)</f>
        <v>#REF!</v>
      </c>
      <c r="M16" s="112"/>
      <c r="N16" s="265"/>
      <c r="O16" s="113" t="e">
        <f>RANK(L16,$L$16:$L$23,0)</f>
        <v>#REF!</v>
      </c>
      <c r="P16" s="114">
        <v>1</v>
      </c>
      <c r="Q16" s="144" t="e">
        <f ca="1">IF(P16="","",OFFSET($D$15,MATCH(B16,$O$16:$O$23,0),0))</f>
        <v>#N/A</v>
      </c>
      <c r="R16" s="115" t="e">
        <f ca="1">IF(Q16="","",VLOOKUP(Q16,$D$16:$L$25,9,FALSE))</f>
        <v>#N/A</v>
      </c>
    </row>
    <row r="17" spans="2:18" ht="17.399999999999999" x14ac:dyDescent="0.25">
      <c r="B17" s="108">
        <v>2</v>
      </c>
      <c r="C17" s="141">
        <f>'RESUMEN-M (1)'!C13</f>
        <v>2</v>
      </c>
      <c r="D17" s="145" t="str">
        <f>'RESUMEN-M (1)'!D13</f>
        <v>BRAIN INGENIERIA VIAL SAS</v>
      </c>
      <c r="E17" s="109" t="e">
        <f>'MEDIA GEOMETRICA'!E18</f>
        <v>#REF!</v>
      </c>
      <c r="F17" s="181" t="e">
        <f>ABS('MEDIA GEOMETRICA'!$E$34-'MEDIA GEOMETRICA'!E18)</f>
        <v>#REF!</v>
      </c>
      <c r="G17" s="182" t="e">
        <f t="shared" si="1"/>
        <v>#REF!</v>
      </c>
      <c r="H17" s="111" t="e">
        <f>VLOOKUP($D17,'MEDIA GEOMETRICA'!$D$17:$G$26,4,FALSE)</f>
        <v>#REF!</v>
      </c>
      <c r="I17" s="111">
        <f>VLOOKUP($D17,'RESUMEN-M (1)'!$D$12:$G$16,3,FALSE)</f>
        <v>10</v>
      </c>
      <c r="J17" s="111"/>
      <c r="K17" s="111" t="e">
        <f>VLOOKUP($D17,'RESUMEN-M (1)'!$D$12:$G$16,5,FALSE)</f>
        <v>#REF!</v>
      </c>
      <c r="L17" s="166" t="e">
        <f t="shared" si="2"/>
        <v>#REF!</v>
      </c>
      <c r="M17" s="112"/>
      <c r="N17" s="265"/>
      <c r="O17" s="113" t="e">
        <f t="shared" ref="O17:O23" si="3">RANK(L17,$L$16:$L$23,0)</f>
        <v>#REF!</v>
      </c>
      <c r="P17" s="114">
        <v>2</v>
      </c>
      <c r="Q17" s="144" t="e">
        <f ca="1">IF(P17="","",OFFSET($D$15,MATCH(B17,$O$16:$O$23,0),0))</f>
        <v>#N/A</v>
      </c>
      <c r="R17" s="115" t="e">
        <f t="shared" ref="R17:R22" ca="1" si="4">IF(Q17="","",VLOOKUP(Q17,$D$16:$L$25,9,FALSE))</f>
        <v>#N/A</v>
      </c>
    </row>
    <row r="18" spans="2:18" ht="20.399999999999999" x14ac:dyDescent="0.25">
      <c r="B18" s="108">
        <v>3</v>
      </c>
      <c r="C18" s="141">
        <f>'RESUMEN-M (1)'!C14</f>
        <v>3</v>
      </c>
      <c r="D18" s="145" t="str">
        <f>'RESUMEN-M (1)'!D14</f>
        <v>CONSORCIO INTER CONSTR
UCCION VIAL</v>
      </c>
      <c r="E18" s="109" t="e">
        <f>'MEDIA GEOMETRICA'!E19</f>
        <v>#REF!</v>
      </c>
      <c r="F18" s="181" t="e">
        <f>ABS('MEDIA GEOMETRICA'!$E$34-'MEDIA GEOMETRICA'!E19)</f>
        <v>#REF!</v>
      </c>
      <c r="G18" s="182" t="e">
        <f t="shared" si="1"/>
        <v>#REF!</v>
      </c>
      <c r="H18" s="111" t="e">
        <f>VLOOKUP($D18,'MEDIA GEOMETRICA'!$D$17:$G$26,4,FALSE)</f>
        <v>#REF!</v>
      </c>
      <c r="I18" s="111">
        <f>VLOOKUP($D18,'RESUMEN-M (1)'!$D$12:$G$16,3,FALSE)</f>
        <v>10</v>
      </c>
      <c r="J18" s="111"/>
      <c r="K18" s="111" t="e">
        <f>VLOOKUP($D18,'RESUMEN-M (1)'!$D$12:$G$16,5,FALSE)</f>
        <v>#REF!</v>
      </c>
      <c r="L18" s="166" t="e">
        <f t="shared" si="2"/>
        <v>#REF!</v>
      </c>
      <c r="M18" s="112"/>
      <c r="N18" s="265"/>
      <c r="O18" s="113" t="e">
        <f t="shared" si="3"/>
        <v>#REF!</v>
      </c>
      <c r="P18" s="114">
        <v>3</v>
      </c>
      <c r="Q18" s="144" t="e">
        <f t="shared" ref="Q18:Q23" ca="1" si="5">IF(P18="","",OFFSET($D$15,MATCH(B18,$O$16:$O$23,0),0))</f>
        <v>#N/A</v>
      </c>
      <c r="R18" s="115" t="e">
        <f t="shared" ca="1" si="4"/>
        <v>#N/A</v>
      </c>
    </row>
    <row r="19" spans="2:18" ht="27.75" customHeight="1" x14ac:dyDescent="0.25">
      <c r="B19" s="108">
        <v>4</v>
      </c>
      <c r="C19" s="141" t="e">
        <f>'RESUMEN-M (1)'!#REF!</f>
        <v>#REF!</v>
      </c>
      <c r="D19" s="145" t="e">
        <f>'RESUMEN-M (1)'!#REF!</f>
        <v>#REF!</v>
      </c>
      <c r="E19" s="109" t="e">
        <f>'MEDIA GEOMETRICA'!E20</f>
        <v>#REF!</v>
      </c>
      <c r="F19" s="181" t="e">
        <f>ABS('MEDIA GEOMETRICA'!$E$34-'MEDIA GEOMETRICA'!E20)</f>
        <v>#REF!</v>
      </c>
      <c r="G19" s="182" t="e">
        <f t="shared" si="1"/>
        <v>#REF!</v>
      </c>
      <c r="H19" s="111" t="e">
        <f>VLOOKUP($D19,'MEDIA GEOMETRICA'!$D$17:$G$26,4,FALSE)</f>
        <v>#REF!</v>
      </c>
      <c r="I19" s="111" t="e">
        <f>VLOOKUP($D19,'RESUMEN-M (1)'!$D$12:$G$16,3,FALSE)</f>
        <v>#REF!</v>
      </c>
      <c r="J19" s="111"/>
      <c r="K19" s="111" t="e">
        <f>VLOOKUP($D19,'RESUMEN-M (1)'!$D$12:$G$16,5,FALSE)</f>
        <v>#REF!</v>
      </c>
      <c r="L19" s="166" t="e">
        <f t="shared" si="2"/>
        <v>#REF!</v>
      </c>
      <c r="M19" s="112"/>
      <c r="N19" s="265"/>
      <c r="O19" s="113" t="e">
        <f t="shared" si="3"/>
        <v>#REF!</v>
      </c>
      <c r="P19" s="114">
        <v>4</v>
      </c>
      <c r="Q19" s="144" t="e">
        <f t="shared" ca="1" si="5"/>
        <v>#N/A</v>
      </c>
      <c r="R19" s="115" t="e">
        <f t="shared" ca="1" si="4"/>
        <v>#N/A</v>
      </c>
    </row>
    <row r="20" spans="2:18" ht="17.399999999999999" x14ac:dyDescent="0.25">
      <c r="B20" s="108">
        <v>5</v>
      </c>
      <c r="C20" s="141" t="e">
        <f>'RESUMEN-M (1)'!#REF!</f>
        <v>#REF!</v>
      </c>
      <c r="D20" s="145" t="e">
        <f>'RESUMEN-M (1)'!#REF!</f>
        <v>#REF!</v>
      </c>
      <c r="E20" s="109" t="e">
        <f>'MEDIA GEOMETRICA'!E21</f>
        <v>#REF!</v>
      </c>
      <c r="F20" s="181" t="e">
        <f>ABS('MEDIA GEOMETRICA'!$E$34-'MEDIA GEOMETRICA'!E21)</f>
        <v>#REF!</v>
      </c>
      <c r="G20" s="182" t="e">
        <f t="shared" si="1"/>
        <v>#REF!</v>
      </c>
      <c r="H20" s="111" t="e">
        <f>VLOOKUP($D20,'MEDIA GEOMETRICA'!$D$17:$G$26,4,FALSE)</f>
        <v>#REF!</v>
      </c>
      <c r="I20" s="111" t="e">
        <f>VLOOKUP($D20,'RESUMEN-M (1)'!$D$12:$G$16,3,FALSE)</f>
        <v>#REF!</v>
      </c>
      <c r="J20" s="111"/>
      <c r="K20" s="111" t="e">
        <f>VLOOKUP($D20,'RESUMEN-M (1)'!$D$12:$G$16,5,FALSE)</f>
        <v>#REF!</v>
      </c>
      <c r="L20" s="166" t="e">
        <f t="shared" si="2"/>
        <v>#REF!</v>
      </c>
      <c r="M20" s="112"/>
      <c r="N20" s="265"/>
      <c r="O20" s="113" t="e">
        <f t="shared" si="3"/>
        <v>#REF!</v>
      </c>
      <c r="P20" s="114">
        <v>5</v>
      </c>
      <c r="Q20" s="144" t="e">
        <f t="shared" ca="1" si="5"/>
        <v>#N/A</v>
      </c>
      <c r="R20" s="115" t="e">
        <f t="shared" ca="1" si="4"/>
        <v>#N/A</v>
      </c>
    </row>
    <row r="21" spans="2:18" ht="17.399999999999999" x14ac:dyDescent="0.25">
      <c r="B21" s="108">
        <v>6</v>
      </c>
      <c r="C21" s="141" t="e">
        <f>'RESUMEN-M (1)'!#REF!</f>
        <v>#REF!</v>
      </c>
      <c r="D21" s="145" t="e">
        <f>'RESUMEN-M (1)'!#REF!</f>
        <v>#REF!</v>
      </c>
      <c r="E21" s="109" t="e">
        <f>'MEDIA GEOMETRICA'!E22</f>
        <v>#REF!</v>
      </c>
      <c r="F21" s="181" t="e">
        <f>ABS('MEDIA GEOMETRICA'!$E$34-'MEDIA GEOMETRICA'!E22)</f>
        <v>#REF!</v>
      </c>
      <c r="G21" s="182" t="e">
        <f t="shared" si="1"/>
        <v>#REF!</v>
      </c>
      <c r="H21" s="111" t="e">
        <f>VLOOKUP($D21,'MEDIA GEOMETRICA'!$D$17:$G$26,4,FALSE)</f>
        <v>#REF!</v>
      </c>
      <c r="I21" s="111" t="e">
        <f>VLOOKUP($D21,'RESUMEN-M (1)'!$D$12:$G$16,3,FALSE)</f>
        <v>#REF!</v>
      </c>
      <c r="J21" s="111"/>
      <c r="K21" s="111" t="e">
        <f>VLOOKUP($D21,'RESUMEN-M (1)'!$D$12:$G$16,5,FALSE)</f>
        <v>#REF!</v>
      </c>
      <c r="L21" s="166" t="e">
        <f t="shared" si="2"/>
        <v>#REF!</v>
      </c>
      <c r="M21" s="112"/>
      <c r="N21" s="265"/>
      <c r="O21" s="113" t="e">
        <f>RANK(L21,$L$16:$L$23,0)</f>
        <v>#REF!</v>
      </c>
      <c r="P21" s="114">
        <v>6</v>
      </c>
      <c r="Q21" s="144" t="e">
        <f t="shared" ca="1" si="5"/>
        <v>#N/A</v>
      </c>
      <c r="R21" s="115" t="e">
        <f t="shared" ca="1" si="4"/>
        <v>#N/A</v>
      </c>
    </row>
    <row r="22" spans="2:18" ht="17.399999999999999" x14ac:dyDescent="0.25">
      <c r="B22" s="108">
        <v>7</v>
      </c>
      <c r="C22" s="141" t="e">
        <f>'RESUMEN-M (1)'!#REF!</f>
        <v>#REF!</v>
      </c>
      <c r="D22" s="145" t="e">
        <f>'RESUMEN-M (1)'!#REF!</f>
        <v>#REF!</v>
      </c>
      <c r="E22" s="109" t="e">
        <f>'MEDIA GEOMETRICA'!E23</f>
        <v>#REF!</v>
      </c>
      <c r="F22" s="181" t="e">
        <f>ABS('MEDIA GEOMETRICA'!$E$34-'MEDIA GEOMETRICA'!E23)</f>
        <v>#REF!</v>
      </c>
      <c r="G22" s="182" t="e">
        <f>IF(E22="DESCARTADO","DESCARTADO","ADMISIBLE")</f>
        <v>#REF!</v>
      </c>
      <c r="H22" s="111" t="e">
        <f>VLOOKUP($D22,'MEDIA GEOMETRICA'!$D$17:$G$26,4,FALSE)</f>
        <v>#REF!</v>
      </c>
      <c r="I22" s="111" t="e">
        <f>VLOOKUP($D22,'RESUMEN-M (1)'!$D$12:$G$16,3,FALSE)</f>
        <v>#REF!</v>
      </c>
      <c r="J22" s="111"/>
      <c r="K22" s="111" t="e">
        <f>VLOOKUP($D22,'RESUMEN-M (1)'!$D$12:$G$16,5,FALSE)</f>
        <v>#REF!</v>
      </c>
      <c r="L22" s="166" t="e">
        <f t="shared" si="2"/>
        <v>#REF!</v>
      </c>
      <c r="M22" s="112"/>
      <c r="N22" s="265"/>
      <c r="O22" s="113" t="e">
        <f t="shared" si="3"/>
        <v>#REF!</v>
      </c>
      <c r="P22" s="114">
        <v>7</v>
      </c>
      <c r="Q22" s="144" t="e">
        <f t="shared" ca="1" si="5"/>
        <v>#N/A</v>
      </c>
      <c r="R22" s="115" t="e">
        <f t="shared" ca="1" si="4"/>
        <v>#N/A</v>
      </c>
    </row>
    <row r="23" spans="2:18" ht="17.399999999999999" x14ac:dyDescent="0.25">
      <c r="B23" s="108">
        <v>8</v>
      </c>
      <c r="C23" s="141" t="e">
        <f>'RESUMEN-M (1)'!#REF!</f>
        <v>#REF!</v>
      </c>
      <c r="D23" s="145" t="e">
        <f>'RESUMEN-M (1)'!#REF!</f>
        <v>#REF!</v>
      </c>
      <c r="E23" s="109" t="e">
        <f>'MEDIA GEOMETRICA'!E24</f>
        <v>#REF!</v>
      </c>
      <c r="F23" s="181" t="e">
        <f>ABS('MEDIA GEOMETRICA'!$E$34-'MEDIA GEOMETRICA'!E24)</f>
        <v>#REF!</v>
      </c>
      <c r="G23" s="182" t="e">
        <f>IF(E23="DESCARTADO","DESCARTADO","ADMISIBLE")</f>
        <v>#REF!</v>
      </c>
      <c r="H23" s="111" t="e">
        <f>VLOOKUP($D23,'MEDIA GEOMETRICA'!$D$17:$G$26,4,FALSE)</f>
        <v>#REF!</v>
      </c>
      <c r="I23" s="111" t="e">
        <f>VLOOKUP($D23,'RESUMEN-M (1)'!$D$12:$G$16,3,FALSE)</f>
        <v>#REF!</v>
      </c>
      <c r="J23" s="111"/>
      <c r="K23" s="111" t="e">
        <f>VLOOKUP($D23,'RESUMEN-M (1)'!$D$12:$G$16,5,FALSE)</f>
        <v>#REF!</v>
      </c>
      <c r="L23" s="166" t="e">
        <f t="shared" si="2"/>
        <v>#REF!</v>
      </c>
      <c r="M23" s="112"/>
      <c r="N23" s="265"/>
      <c r="O23" s="113" t="e">
        <f t="shared" si="3"/>
        <v>#REF!</v>
      </c>
      <c r="P23" s="114">
        <v>8</v>
      </c>
      <c r="Q23" s="144" t="e">
        <f t="shared" ca="1" si="5"/>
        <v>#N/A</v>
      </c>
      <c r="R23" s="115" t="e">
        <f ca="1">IF(Q23="","",VLOOKUP(Q23,$D$16:$L$25,9,FALSE))</f>
        <v>#N/A</v>
      </c>
    </row>
    <row r="24" spans="2:18" ht="17.399999999999999" x14ac:dyDescent="0.25">
      <c r="B24" s="108"/>
      <c r="C24" s="141"/>
      <c r="D24" s="145"/>
      <c r="E24" s="109"/>
      <c r="F24" s="181"/>
      <c r="G24" s="182"/>
      <c r="H24" s="111"/>
      <c r="I24" s="111"/>
      <c r="J24" s="111"/>
      <c r="K24" s="111"/>
      <c r="L24" s="166"/>
      <c r="M24" s="112"/>
      <c r="N24" s="265"/>
      <c r="O24" s="113"/>
      <c r="P24" s="114"/>
      <c r="Q24" s="144"/>
      <c r="R24" s="115"/>
    </row>
    <row r="25" spans="2:18" ht="17.399999999999999" hidden="1" x14ac:dyDescent="0.25">
      <c r="B25" s="108"/>
      <c r="C25" s="141"/>
      <c r="D25" s="145"/>
      <c r="E25" s="109"/>
      <c r="F25" s="181"/>
      <c r="G25" s="182"/>
      <c r="H25" s="111"/>
      <c r="I25" s="111"/>
      <c r="J25" s="111"/>
      <c r="K25" s="111"/>
      <c r="L25" s="166"/>
      <c r="M25" s="112"/>
      <c r="N25" s="265"/>
      <c r="O25" s="113"/>
      <c r="P25" s="114"/>
      <c r="Q25" s="144"/>
      <c r="R25" s="115"/>
    </row>
    <row r="26" spans="2:18" ht="4.5" customHeight="1" thickBot="1" x14ac:dyDescent="0.35">
      <c r="B26" s="7"/>
      <c r="C26" s="142"/>
      <c r="D26" s="8"/>
      <c r="E26" s="9"/>
      <c r="F26" s="180"/>
      <c r="G26" s="10"/>
      <c r="H26" s="10"/>
      <c r="I26" s="10"/>
      <c r="J26" s="10"/>
      <c r="K26" s="10"/>
      <c r="L26" s="26"/>
      <c r="M26" s="11"/>
      <c r="N26" s="265"/>
      <c r="O26" s="277"/>
      <c r="P26" s="21"/>
      <c r="Q26" s="22"/>
      <c r="R26" s="23"/>
    </row>
    <row r="27" spans="2:18" ht="7.5" customHeight="1" x14ac:dyDescent="0.25">
      <c r="B27" s="12"/>
      <c r="C27" s="12"/>
      <c r="D27" s="13"/>
      <c r="E27" s="14"/>
      <c r="F27" s="15"/>
      <c r="G27" s="15"/>
      <c r="H27" s="15"/>
      <c r="I27" s="15"/>
      <c r="J27" s="15"/>
      <c r="K27" s="15"/>
      <c r="L27" s="16"/>
      <c r="M27" s="17"/>
      <c r="N27" s="265"/>
      <c r="O27" s="277"/>
      <c r="P27" s="277"/>
      <c r="Q27" s="265"/>
      <c r="R27" s="265"/>
    </row>
    <row r="28" spans="2:18" x14ac:dyDescent="0.25">
      <c r="B28" s="265"/>
      <c r="C28" s="265"/>
      <c r="D28" s="265"/>
      <c r="E28" s="265"/>
      <c r="F28" s="265"/>
      <c r="G28" s="265"/>
      <c r="H28" s="265"/>
      <c r="I28" s="265"/>
      <c r="J28" s="265"/>
      <c r="K28" s="265"/>
      <c r="L28" s="265"/>
      <c r="M28" s="265"/>
      <c r="N28" s="265"/>
      <c r="O28" s="277"/>
      <c r="P28" s="455" t="e">
        <f ca="1">IF(P13="DESCARTADO","MODULO DESIERTO","")</f>
        <v>#N/A</v>
      </c>
      <c r="Q28" s="455"/>
      <c r="R28" s="455"/>
    </row>
    <row r="29" spans="2:18" x14ac:dyDescent="0.25">
      <c r="B29" s="265"/>
      <c r="C29" s="265"/>
      <c r="D29" s="265"/>
      <c r="E29" s="265"/>
      <c r="F29" s="265"/>
      <c r="G29" s="265"/>
      <c r="H29" s="265"/>
      <c r="I29" s="265"/>
      <c r="J29" s="265"/>
      <c r="K29" s="265"/>
      <c r="L29" s="265"/>
      <c r="M29" s="281"/>
      <c r="N29" s="265"/>
      <c r="O29" s="277"/>
      <c r="P29" s="455"/>
      <c r="Q29" s="455"/>
      <c r="R29" s="455"/>
    </row>
  </sheetData>
  <mergeCells count="12">
    <mergeCell ref="B12:B13"/>
    <mergeCell ref="C12:C13"/>
    <mergeCell ref="D12:D13"/>
    <mergeCell ref="G12:G13"/>
    <mergeCell ref="P28:R29"/>
    <mergeCell ref="F12:F13"/>
    <mergeCell ref="O11:O14"/>
    <mergeCell ref="M12:M13"/>
    <mergeCell ref="H12:K12"/>
    <mergeCell ref="L12:L13"/>
    <mergeCell ref="P12:R12"/>
    <mergeCell ref="P13:R13"/>
  </mergeCells>
  <phoneticPr fontId="34" type="noConversion"/>
  <conditionalFormatting sqref="B16:M25 O16:R25">
    <cfRule type="expression" dxfId="32" priority="5" stopIfTrue="1">
      <formula>MOD(ROW(),2)</formula>
    </cfRule>
  </conditionalFormatting>
  <conditionalFormatting sqref="E16:E25 G16:G25">
    <cfRule type="cellIs" dxfId="31" priority="4" stopIfTrue="1" operator="equal">
      <formula>"DESCARTADO"</formula>
    </cfRule>
  </conditionalFormatting>
  <conditionalFormatting sqref="H16:L25">
    <cfRule type="cellIs" dxfId="30" priority="6" stopIfTrue="1" operator="greaterThan">
      <formula>1</formula>
    </cfRule>
    <cfRule type="cellIs" dxfId="29" priority="7" stopIfTrue="1" operator="equal">
      <formula>0</formula>
    </cfRule>
  </conditionalFormatting>
  <conditionalFormatting sqref="P28:R29">
    <cfRule type="cellIs" dxfId="28" priority="8" stopIfTrue="1" operator="equal">
      <formula>"MODULO DESIERTO"</formula>
    </cfRule>
  </conditionalFormatting>
  <pageMargins left="0.7" right="0.7" top="0.75" bottom="0.75" header="0.3" footer="0.3"/>
  <pageSetup orientation="portrait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Hoja2">
    <tabColor theme="8" tint="-0.499984740745262"/>
  </sheetPr>
  <dimension ref="B1:AH84"/>
  <sheetViews>
    <sheetView showGridLines="0" topLeftCell="A15" zoomScale="115" zoomScaleNormal="115" workbookViewId="0">
      <selection activeCell="N24" sqref="N24"/>
    </sheetView>
  </sheetViews>
  <sheetFormatPr baseColWidth="10" defaultColWidth="11.44140625" defaultRowHeight="13.2" x14ac:dyDescent="0.25"/>
  <cols>
    <col min="1" max="1" width="2.6640625" style="30" customWidth="1"/>
    <col min="2" max="2" width="13.33203125" style="30" customWidth="1"/>
    <col min="3" max="3" width="6.6640625" style="30" customWidth="1"/>
    <col min="4" max="4" width="29.109375" style="30" customWidth="1"/>
    <col min="5" max="5" width="26.33203125" style="30" bestFit="1" customWidth="1"/>
    <col min="6" max="7" width="19.44140625" style="30" hidden="1" customWidth="1"/>
    <col min="8" max="8" width="28.6640625" style="33" customWidth="1"/>
    <col min="9" max="9" width="12.6640625" style="28" hidden="1" customWidth="1"/>
    <col min="10" max="10" width="11.33203125" style="29" hidden="1" customWidth="1"/>
    <col min="11" max="11" width="11.44140625" style="30" hidden="1" customWidth="1"/>
    <col min="12" max="12" width="2.109375" style="30" customWidth="1"/>
    <col min="13" max="16384" width="11.44140625" style="30"/>
  </cols>
  <sheetData>
    <row r="1" spans="2:34" ht="17.399999999999999" x14ac:dyDescent="0.25">
      <c r="B1" s="52" t="str">
        <f>'RESUMEN-M (1)'!B1</f>
        <v>INSTITUTO NACIONAL DE VÍAS</v>
      </c>
      <c r="C1" s="52"/>
      <c r="D1" s="27"/>
      <c r="E1" s="27"/>
      <c r="F1" s="27"/>
      <c r="G1" s="27"/>
      <c r="H1" s="27"/>
    </row>
    <row r="2" spans="2:34" ht="15.6" x14ac:dyDescent="0.25">
      <c r="B2" s="54" t="str">
        <f>'RESUMEN-M (1)'!B2</f>
        <v>DIRECCIÓN GENERAL</v>
      </c>
      <c r="C2" s="54"/>
      <c r="D2" s="31"/>
      <c r="E2" s="31"/>
      <c r="F2" s="31"/>
      <c r="G2" s="31"/>
      <c r="H2" s="31"/>
    </row>
    <row r="3" spans="2:34" x14ac:dyDescent="0.25">
      <c r="B3" s="54" t="str">
        <f>'RESUMEN-M (1)'!B3</f>
        <v>DIRECCIÓN TERRITORIAL MAGDALENA</v>
      </c>
      <c r="C3" s="54"/>
      <c r="D3" s="32"/>
      <c r="E3" s="32"/>
      <c r="F3" s="32"/>
      <c r="G3" s="32"/>
      <c r="H3" s="32"/>
    </row>
    <row r="4" spans="2:34" ht="15.6" hidden="1" x14ac:dyDescent="0.25">
      <c r="B4" s="54" t="e">
        <f>'RESUMEN-M (1)'!#REF!</f>
        <v>#REF!</v>
      </c>
      <c r="C4" s="54"/>
      <c r="D4" s="31"/>
      <c r="E4" s="31"/>
      <c r="F4" s="31"/>
      <c r="G4" s="31"/>
      <c r="H4" s="31"/>
    </row>
    <row r="5" spans="2:34" ht="15.6" x14ac:dyDescent="0.25">
      <c r="B5" s="54" t="str">
        <f>'RESUMEN-M (1)'!B4</f>
        <v>CONCURSO DE MÉRITOS ABIERTO No  CMA-DT-MAG-001-2024</v>
      </c>
      <c r="C5" s="54"/>
      <c r="D5" s="31"/>
      <c r="E5" s="31"/>
      <c r="F5" s="31"/>
      <c r="G5" s="31"/>
      <c r="H5" s="31"/>
    </row>
    <row r="6" spans="2:34" ht="52.8" x14ac:dyDescent="0.25">
      <c r="B6" s="54" t="str">
        <f>'RESUMEN-M (1)'!B5</f>
        <v>OBJETO: “INTERVENTORIA TÉCNICA, ADMINISTRATIVA, FINANCIERA Y AMBIENTAL, PARA EL MEJORAMIENTO Y MANTENIMIENTO DE LAS VÍAS: RICAURTE – HATOVIEJO CÓDIGO 78218 EN EL MUNICIPIO DE GUAMAL; Y SAN SEBASTIÁN - LOS GALVIS CÓDIGO 78141, EN EL MUNICIPIO DE SAN SEBASTIÁN DE BUENAVISTA, DEPARTAMENTO DEL MAGDALENA”.</v>
      </c>
      <c r="C6" s="54"/>
      <c r="D6" s="31"/>
      <c r="E6" s="31"/>
      <c r="F6" s="31"/>
      <c r="G6" s="31"/>
      <c r="H6" s="31"/>
    </row>
    <row r="7" spans="2:34" ht="15.6" x14ac:dyDescent="0.25">
      <c r="B7" s="54">
        <f>'RESUMEN-M (1)'!B6</f>
        <v>0</v>
      </c>
      <c r="C7" s="54"/>
      <c r="D7" s="31"/>
      <c r="E7" s="31"/>
      <c r="F7" s="31"/>
      <c r="G7" s="31"/>
      <c r="H7" s="31"/>
    </row>
    <row r="8" spans="2:34" ht="15.6" x14ac:dyDescent="0.25">
      <c r="B8" s="55" t="s">
        <v>84</v>
      </c>
      <c r="C8" s="55"/>
      <c r="D8" s="31"/>
      <c r="E8" s="31"/>
      <c r="F8" s="31"/>
      <c r="G8" s="31"/>
      <c r="H8" s="31"/>
    </row>
    <row r="9" spans="2:34" ht="16.5" customHeight="1" thickBot="1" x14ac:dyDescent="0.3">
      <c r="B9" s="74" t="s">
        <v>85</v>
      </c>
      <c r="C9" s="74"/>
      <c r="D9" s="75"/>
      <c r="E9" s="75"/>
      <c r="F9" s="75"/>
      <c r="G9" s="75"/>
      <c r="H9" s="75"/>
    </row>
    <row r="10" spans="2:34" ht="25.2" thickBot="1" x14ac:dyDescent="0.3">
      <c r="B10" s="468" t="s">
        <v>122</v>
      </c>
      <c r="C10" s="469"/>
      <c r="D10" s="469"/>
      <c r="E10" s="469"/>
      <c r="F10" s="469"/>
      <c r="G10" s="469"/>
      <c r="H10" s="470"/>
    </row>
    <row r="11" spans="2:34" ht="23.25" customHeight="1" x14ac:dyDescent="0.25">
      <c r="B11" s="471" t="s">
        <v>7</v>
      </c>
      <c r="C11" s="471" t="s">
        <v>87</v>
      </c>
      <c r="D11" s="472" t="s">
        <v>9</v>
      </c>
      <c r="E11" s="292" t="s">
        <v>88</v>
      </c>
      <c r="F11" s="471" t="s">
        <v>123</v>
      </c>
      <c r="G11" s="473" t="s">
        <v>89</v>
      </c>
      <c r="H11" s="471" t="s">
        <v>124</v>
      </c>
      <c r="I11" s="488" t="s">
        <v>125</v>
      </c>
      <c r="J11" s="485" t="s">
        <v>126</v>
      </c>
      <c r="K11" s="485" t="s">
        <v>127</v>
      </c>
      <c r="AE11" s="30" t="str">
        <f>UPPER(Q11)</f>
        <v/>
      </c>
      <c r="AF11" s="30" t="str">
        <f>UPPER(R11)</f>
        <v/>
      </c>
      <c r="AG11" s="30" t="str">
        <f>UPPER(S11)</f>
        <v/>
      </c>
      <c r="AH11" s="30" t="str">
        <f>UPPER(T11)</f>
        <v/>
      </c>
    </row>
    <row r="12" spans="2:34" ht="18" customHeight="1" thickBot="1" x14ac:dyDescent="0.3">
      <c r="B12" s="444"/>
      <c r="C12" s="444"/>
      <c r="D12" s="446"/>
      <c r="E12" s="284" t="s">
        <v>91</v>
      </c>
      <c r="F12" s="444"/>
      <c r="G12" s="427"/>
      <c r="H12" s="444"/>
      <c r="I12" s="489"/>
      <c r="J12" s="486"/>
      <c r="K12" s="486"/>
    </row>
    <row r="13" spans="2:34" ht="10.5" customHeight="1" thickBot="1" x14ac:dyDescent="0.3">
      <c r="B13" s="76"/>
      <c r="C13" s="129"/>
      <c r="D13" s="77" t="s">
        <v>92</v>
      </c>
      <c r="E13" s="78">
        <f>COUNT(E17:E27)</f>
        <v>0</v>
      </c>
      <c r="F13" s="79"/>
      <c r="G13" s="146"/>
      <c r="H13" s="88"/>
      <c r="I13" s="490"/>
      <c r="J13" s="487"/>
      <c r="K13" s="487"/>
    </row>
    <row r="14" spans="2:34" ht="10.5" customHeight="1" thickBot="1" x14ac:dyDescent="0.3">
      <c r="B14" s="80"/>
      <c r="C14" s="130"/>
      <c r="D14" s="86"/>
      <c r="E14" s="81"/>
      <c r="F14" s="82" t="s">
        <v>128</v>
      </c>
      <c r="G14" s="82"/>
      <c r="H14" s="89" t="s">
        <v>93</v>
      </c>
    </row>
    <row r="15" spans="2:34" ht="12" customHeight="1" thickBot="1" x14ac:dyDescent="0.3">
      <c r="B15" s="83"/>
      <c r="C15" s="131"/>
      <c r="D15" s="84" t="s">
        <v>94</v>
      </c>
      <c r="E15" s="85" t="e">
        <f>#REF!</f>
        <v>#REF!</v>
      </c>
      <c r="F15" s="82" t="s">
        <v>129</v>
      </c>
      <c r="G15" s="82"/>
      <c r="H15" s="89" t="s">
        <v>95</v>
      </c>
      <c r="I15" s="34"/>
      <c r="J15" s="35"/>
      <c r="K15" s="35"/>
    </row>
    <row r="16" spans="2:34" ht="4.5" customHeight="1" thickBot="1" x14ac:dyDescent="0.3">
      <c r="B16" s="194"/>
      <c r="C16" s="195"/>
      <c r="D16" s="196"/>
      <c r="E16" s="197"/>
      <c r="F16" s="198"/>
      <c r="G16" s="198"/>
      <c r="H16" s="199"/>
      <c r="I16" s="34"/>
      <c r="J16" s="35"/>
      <c r="K16" s="35"/>
    </row>
    <row r="17" spans="2:11" ht="26.25" customHeight="1" x14ac:dyDescent="0.25">
      <c r="B17" s="206">
        <v>1</v>
      </c>
      <c r="C17" s="207">
        <f>'RESUMEN-M (1)'!C12</f>
        <v>1</v>
      </c>
      <c r="D17" s="208" t="str">
        <f>'RESUMEN-M (1)'!D12</f>
        <v>CONSORCIO CAP-SAS</v>
      </c>
      <c r="E17" s="209" t="e">
        <f>IF(ISTEXT(#REF!),"DESCARTADO",#REF! )</f>
        <v>#REF!</v>
      </c>
      <c r="F17" s="210" t="e">
        <f>IF(E17="DESCARTADO","DESCARTADO",ABS((E31-E17)))</f>
        <v>#REF!</v>
      </c>
      <c r="G17" s="211" t="e">
        <f>IF(F17="DESCARTADO","DESCARTADO",($E$15-E17)/$E$15)</f>
        <v>#REF!</v>
      </c>
      <c r="H17" s="212" t="e">
        <f t="shared" ref="H17:H22" si="0">IF(E17="DESCARTADO","",IF(E17&lt;$E$31,$E$32*(1-(($E$31-E17)/$E$31)),$E$32*(1-2*(ABS($E$31-E17)/$E$31))))</f>
        <v>#REF!</v>
      </c>
      <c r="I17" s="38" t="e">
        <f>IF(#REF!&lt;&gt;"",#REF!/$E$15,"")</f>
        <v>#REF!</v>
      </c>
      <c r="J17" s="39" t="e">
        <f>IF(#REF!&lt;&gt;"",#REF!/$E$33,"")</f>
        <v>#REF!</v>
      </c>
      <c r="K17" s="39" t="e">
        <f>IF(#REF!&lt;&gt;"",#REF!/#REF!,"")</f>
        <v>#REF!</v>
      </c>
    </row>
    <row r="18" spans="2:11" ht="26.25" customHeight="1" x14ac:dyDescent="0.25">
      <c r="B18" s="213">
        <v>2</v>
      </c>
      <c r="C18" s="201">
        <f>'RESUMEN-M (1)'!C13</f>
        <v>2</v>
      </c>
      <c r="D18" s="202" t="str">
        <f>'RESUMEN-M (1)'!D13</f>
        <v>BRAIN INGENIERIA VIAL SAS</v>
      </c>
      <c r="E18" s="203" t="e">
        <f>IF(ISTEXT(#REF!),"DESCARTADO",#REF! )</f>
        <v>#REF!</v>
      </c>
      <c r="F18" s="204"/>
      <c r="G18" s="205"/>
      <c r="H18" s="214" t="e">
        <f t="shared" si="0"/>
        <v>#REF!</v>
      </c>
      <c r="I18" s="38"/>
      <c r="J18" s="39"/>
      <c r="K18" s="39"/>
    </row>
    <row r="19" spans="2:11" ht="26.25" customHeight="1" x14ac:dyDescent="0.25">
      <c r="B19" s="213">
        <v>3</v>
      </c>
      <c r="C19" s="201">
        <f>'RESUMEN-M (1)'!C14</f>
        <v>3</v>
      </c>
      <c r="D19" s="202" t="str">
        <f>'RESUMEN-M (1)'!D14</f>
        <v>CONSORCIO INTER CONSTR
UCCION VIAL</v>
      </c>
      <c r="E19" s="203" t="e">
        <f>IF(ISTEXT(#REF!),"DESCARTADO",#REF! )</f>
        <v>#REF!</v>
      </c>
      <c r="F19" s="204"/>
      <c r="G19" s="205"/>
      <c r="H19" s="214" t="e">
        <f t="shared" si="0"/>
        <v>#REF!</v>
      </c>
      <c r="I19" s="38"/>
      <c r="J19" s="39"/>
      <c r="K19" s="39"/>
    </row>
    <row r="20" spans="2:11" ht="26.25" customHeight="1" x14ac:dyDescent="0.25">
      <c r="B20" s="213">
        <v>4</v>
      </c>
      <c r="C20" s="201" t="e">
        <f>'RESUMEN-M (1)'!#REF!</f>
        <v>#REF!</v>
      </c>
      <c r="D20" s="202" t="e">
        <f>'RESUMEN-M (1)'!#REF!</f>
        <v>#REF!</v>
      </c>
      <c r="E20" s="203" t="e">
        <f>IF(ISTEXT(#REF!),"DESCARTADO",#REF! )</f>
        <v>#REF!</v>
      </c>
      <c r="F20" s="204"/>
      <c r="G20" s="205"/>
      <c r="H20" s="214" t="e">
        <f t="shared" si="0"/>
        <v>#REF!</v>
      </c>
      <c r="I20" s="38"/>
      <c r="J20" s="39"/>
      <c r="K20" s="39"/>
    </row>
    <row r="21" spans="2:11" ht="26.25" customHeight="1" x14ac:dyDescent="0.25">
      <c r="B21" s="213">
        <v>5</v>
      </c>
      <c r="C21" s="201" t="e">
        <f>'RESUMEN-M (1)'!#REF!</f>
        <v>#REF!</v>
      </c>
      <c r="D21" s="202" t="e">
        <f>'RESUMEN-M (1)'!#REF!</f>
        <v>#REF!</v>
      </c>
      <c r="E21" s="203" t="e">
        <f>IF(ISTEXT(#REF!),"DESCARTADO",#REF! )</f>
        <v>#REF!</v>
      </c>
      <c r="F21" s="204"/>
      <c r="G21" s="205"/>
      <c r="H21" s="214" t="e">
        <f t="shared" si="0"/>
        <v>#REF!</v>
      </c>
      <c r="I21" s="38"/>
      <c r="J21" s="39"/>
      <c r="K21" s="39"/>
    </row>
    <row r="22" spans="2:11" ht="26.25" customHeight="1" x14ac:dyDescent="0.25">
      <c r="B22" s="213">
        <v>6</v>
      </c>
      <c r="C22" s="201" t="e">
        <f>'RESUMEN-M (1)'!#REF!</f>
        <v>#REF!</v>
      </c>
      <c r="D22" s="202" t="e">
        <f>'RESUMEN-M (1)'!#REF!</f>
        <v>#REF!</v>
      </c>
      <c r="E22" s="203" t="e">
        <f>IF(ISTEXT(#REF!),"DESCARTADO",#REF! )</f>
        <v>#REF!</v>
      </c>
      <c r="F22" s="204"/>
      <c r="G22" s="205"/>
      <c r="H22" s="214" t="e">
        <f t="shared" si="0"/>
        <v>#REF!</v>
      </c>
      <c r="I22" s="38"/>
      <c r="J22" s="39"/>
      <c r="K22" s="39"/>
    </row>
    <row r="23" spans="2:11" ht="26.25" customHeight="1" x14ac:dyDescent="0.25">
      <c r="B23" s="213">
        <v>7</v>
      </c>
      <c r="C23" s="201" t="e">
        <f>'RESUMEN-M (1)'!#REF!</f>
        <v>#REF!</v>
      </c>
      <c r="D23" s="202" t="e">
        <f>'RESUMEN-M (1)'!#REF!</f>
        <v>#REF!</v>
      </c>
      <c r="E23" s="203" t="e">
        <f>IF(ISTEXT(#REF!),"DESCARTADO",#REF! )</f>
        <v>#REF!</v>
      </c>
      <c r="F23" s="204"/>
      <c r="G23" s="205"/>
      <c r="H23" s="214" t="e">
        <f>IF(E23="DESCARTADO","",IF(E23&lt;$E$31,$E$32*(1-(($E$31-E23)/$E$31)),$E$32*(1-2*(ABS($E$31-E23)/$E$31))))</f>
        <v>#REF!</v>
      </c>
      <c r="I23" s="38"/>
      <c r="J23" s="39"/>
      <c r="K23" s="39"/>
    </row>
    <row r="24" spans="2:11" ht="26.25" customHeight="1" x14ac:dyDescent="0.25">
      <c r="B24" s="213">
        <v>8</v>
      </c>
      <c r="C24" s="201" t="e">
        <f>'RESUMEN-M (1)'!#REF!</f>
        <v>#REF!</v>
      </c>
      <c r="D24" s="202" t="e">
        <f>'RESUMEN-M (1)'!#REF!</f>
        <v>#REF!</v>
      </c>
      <c r="E24" s="203" t="e">
        <f>IF(ISTEXT(#REF!),"DESCARTADO",#REF! )</f>
        <v>#REF!</v>
      </c>
      <c r="F24" s="204"/>
      <c r="G24" s="205"/>
      <c r="H24" s="214" t="e">
        <f>IF(E24="DESCARTADO","",IF(E24&lt;$E$31,$E$32*(1-(($E$31-E24)/$E$31)),$E$32*(1-2*(ABS($E$31-E24)/$E$31))))</f>
        <v>#REF!</v>
      </c>
      <c r="I24" s="38"/>
      <c r="J24" s="39"/>
      <c r="K24" s="39"/>
    </row>
    <row r="25" spans="2:11" ht="26.25" customHeight="1" thickBot="1" x14ac:dyDescent="0.3">
      <c r="B25" s="215"/>
      <c r="C25" s="216"/>
      <c r="D25" s="217"/>
      <c r="E25" s="218"/>
      <c r="F25" s="219"/>
      <c r="G25" s="220"/>
      <c r="H25" s="221"/>
      <c r="I25" s="38"/>
      <c r="J25" s="39"/>
      <c r="K25" s="39"/>
    </row>
    <row r="26" spans="2:11" ht="26.25" hidden="1" customHeight="1" x14ac:dyDescent="0.25">
      <c r="B26" s="143"/>
      <c r="C26" s="143"/>
      <c r="D26" s="36"/>
      <c r="E26" s="37"/>
      <c r="F26" s="161"/>
      <c r="G26" s="163"/>
      <c r="H26" s="200"/>
      <c r="I26" s="38"/>
      <c r="J26" s="39"/>
      <c r="K26" s="39"/>
    </row>
    <row r="27" spans="2:11" ht="26.25" hidden="1" customHeight="1" thickBot="1" x14ac:dyDescent="0.3">
      <c r="B27" s="143"/>
      <c r="C27" s="143"/>
      <c r="D27" s="36"/>
      <c r="E27" s="37"/>
      <c r="F27" s="161"/>
      <c r="G27" s="163"/>
      <c r="H27" s="186"/>
      <c r="I27" s="38"/>
      <c r="J27" s="39"/>
      <c r="K27" s="39"/>
    </row>
    <row r="28" spans="2:11" ht="24" hidden="1" customHeight="1" x14ac:dyDescent="0.25">
      <c r="B28" s="40"/>
      <c r="C28" s="132"/>
      <c r="D28" s="41"/>
      <c r="E28" s="42"/>
      <c r="F28" s="160" t="s">
        <v>130</v>
      </c>
      <c r="G28" s="160"/>
      <c r="H28" s="251" t="s">
        <v>131</v>
      </c>
      <c r="I28" s="38"/>
      <c r="J28" s="39"/>
      <c r="K28" s="39"/>
    </row>
    <row r="29" spans="2:11" ht="8.25" customHeight="1" thickBot="1" x14ac:dyDescent="0.3">
      <c r="B29" s="43"/>
      <c r="C29" s="133"/>
      <c r="D29" s="44"/>
      <c r="E29" s="45"/>
      <c r="F29" s="167" t="s">
        <v>129</v>
      </c>
      <c r="G29" s="167"/>
      <c r="H29" s="252" t="s">
        <v>95</v>
      </c>
      <c r="I29" s="38"/>
      <c r="J29" s="39"/>
      <c r="K29" s="39"/>
    </row>
    <row r="30" spans="2:11" ht="24" customHeight="1" thickBot="1" x14ac:dyDescent="0.3">
      <c r="B30" s="423"/>
      <c r="C30" s="424"/>
      <c r="D30" s="424"/>
      <c r="E30" s="425"/>
      <c r="F30" s="493"/>
      <c r="G30" s="494"/>
      <c r="H30" s="494"/>
      <c r="I30" s="38"/>
      <c r="J30" s="39"/>
      <c r="K30" s="39"/>
    </row>
    <row r="31" spans="2:11" ht="18" x14ac:dyDescent="0.25">
      <c r="B31" s="437" t="s">
        <v>132</v>
      </c>
      <c r="C31" s="438"/>
      <c r="D31" s="491"/>
      <c r="E31" s="46">
        <f>IF(E13=0,0,AVERAGE(E17:E27))</f>
        <v>0</v>
      </c>
      <c r="F31" s="492" t="s">
        <v>133</v>
      </c>
      <c r="G31" s="290"/>
      <c r="H31" s="495"/>
      <c r="I31" s="38"/>
      <c r="J31" s="39"/>
      <c r="K31" s="39"/>
    </row>
    <row r="32" spans="2:11" x14ac:dyDescent="0.25">
      <c r="B32" s="475" t="s">
        <v>134</v>
      </c>
      <c r="C32" s="476"/>
      <c r="D32" s="477"/>
      <c r="E32" s="47">
        <v>800</v>
      </c>
      <c r="F32" s="492"/>
      <c r="G32" s="290"/>
      <c r="H32" s="495"/>
      <c r="I32" s="38"/>
      <c r="J32" s="39"/>
      <c r="K32" s="39"/>
    </row>
    <row r="33" spans="2:11" ht="18.75" customHeight="1" x14ac:dyDescent="0.25">
      <c r="B33" s="475" t="s">
        <v>135</v>
      </c>
      <c r="C33" s="476"/>
      <c r="D33" s="477"/>
      <c r="E33" s="48" t="e">
        <f>MAX(E17:E27)</f>
        <v>#REF!</v>
      </c>
      <c r="F33" s="482">
        <f>COUNTIF(E17:E27,"DESCARTADO")+COUNTIF(E17:E27,"ES MENOR Q' LI. INFER.")+COUNTIF(E17:E27,"ES MAYOR Q' LIM. SUPER.")</f>
        <v>0</v>
      </c>
      <c r="G33" s="288"/>
      <c r="H33" s="481"/>
      <c r="I33" s="38"/>
      <c r="J33" s="39"/>
      <c r="K33" s="39"/>
    </row>
    <row r="34" spans="2:11" ht="13.8" thickBot="1" x14ac:dyDescent="0.3">
      <c r="B34" s="478" t="s">
        <v>136</v>
      </c>
      <c r="C34" s="479"/>
      <c r="D34" s="480"/>
      <c r="E34" s="49" t="e">
        <f>MIN(E16:E27)</f>
        <v>#REF!</v>
      </c>
      <c r="F34" s="482"/>
      <c r="G34" s="288"/>
      <c r="H34" s="481"/>
      <c r="I34" s="38"/>
      <c r="J34" s="39"/>
      <c r="K34" s="39"/>
    </row>
    <row r="35" spans="2:11" ht="13.5" customHeight="1" x14ac:dyDescent="0.25">
      <c r="B35" s="484"/>
      <c r="C35" s="484"/>
      <c r="D35" s="484"/>
      <c r="E35" s="156"/>
      <c r="F35" s="483"/>
      <c r="G35" s="288"/>
      <c r="H35" s="481"/>
      <c r="I35" s="38"/>
      <c r="J35" s="39"/>
      <c r="K35" s="39"/>
    </row>
    <row r="36" spans="2:11" x14ac:dyDescent="0.25">
      <c r="B36" s="474"/>
      <c r="C36" s="474"/>
      <c r="D36" s="474"/>
      <c r="E36" s="45"/>
      <c r="F36" s="483"/>
      <c r="G36" s="288"/>
      <c r="H36" s="481"/>
      <c r="I36" s="38"/>
      <c r="J36" s="39"/>
      <c r="K36" s="39"/>
    </row>
    <row r="37" spans="2:11" ht="13.5" customHeight="1" x14ac:dyDescent="0.25">
      <c r="B37" s="474"/>
      <c r="C37" s="474"/>
      <c r="D37" s="474"/>
      <c r="E37" s="168"/>
      <c r="F37" s="483"/>
      <c r="G37" s="288"/>
      <c r="H37" s="481"/>
      <c r="I37" s="38"/>
      <c r="J37" s="39"/>
      <c r="K37" s="39"/>
    </row>
    <row r="38" spans="2:11" x14ac:dyDescent="0.25">
      <c r="B38" s="474"/>
      <c r="C38" s="474"/>
      <c r="D38" s="474"/>
      <c r="E38" s="45"/>
      <c r="F38" s="483"/>
      <c r="G38" s="288"/>
      <c r="H38" s="481"/>
      <c r="I38" s="38"/>
      <c r="J38" s="39"/>
      <c r="K38" s="39"/>
    </row>
    <row r="39" spans="2:11" ht="13.5" customHeight="1" x14ac:dyDescent="0.25">
      <c r="B39" s="474"/>
      <c r="C39" s="474"/>
      <c r="D39" s="474"/>
      <c r="E39" s="45"/>
      <c r="F39" s="497"/>
      <c r="G39" s="289"/>
      <c r="H39" s="481"/>
      <c r="I39" s="38"/>
      <c r="J39" s="39"/>
      <c r="K39" s="39"/>
    </row>
    <row r="40" spans="2:11" ht="13.5" customHeight="1" x14ac:dyDescent="0.25">
      <c r="B40" s="474"/>
      <c r="C40" s="474"/>
      <c r="D40" s="474"/>
      <c r="E40" s="45"/>
      <c r="F40" s="497"/>
      <c r="G40" s="289"/>
      <c r="H40" s="481"/>
      <c r="I40" s="38"/>
      <c r="J40" s="39"/>
      <c r="K40" s="39"/>
    </row>
    <row r="41" spans="2:11" ht="13.5" customHeight="1" x14ac:dyDescent="0.25">
      <c r="B41" s="474"/>
      <c r="C41" s="474"/>
      <c r="D41" s="474"/>
      <c r="E41" s="168"/>
      <c r="F41" s="496"/>
      <c r="G41" s="287"/>
      <c r="H41" s="481"/>
      <c r="I41" s="38"/>
      <c r="J41" s="39"/>
      <c r="K41" s="39"/>
    </row>
    <row r="42" spans="2:11" ht="16.5" customHeight="1" x14ac:dyDescent="0.25">
      <c r="B42" s="474"/>
      <c r="C42" s="474"/>
      <c r="D42" s="474"/>
      <c r="E42" s="45"/>
      <c r="F42" s="496"/>
      <c r="G42" s="287"/>
      <c r="H42" s="481"/>
      <c r="I42" s="38"/>
      <c r="J42" s="39"/>
      <c r="K42" s="39"/>
    </row>
    <row r="45" spans="2:11" x14ac:dyDescent="0.25">
      <c r="F45" s="50"/>
      <c r="G45" s="50"/>
    </row>
    <row r="61" spans="15:23" x14ac:dyDescent="0.25">
      <c r="O61" s="147"/>
      <c r="P61" s="147"/>
      <c r="Q61" s="147"/>
      <c r="R61" s="147"/>
      <c r="S61" s="147"/>
      <c r="T61" s="147"/>
      <c r="U61" s="147"/>
      <c r="V61" s="147"/>
      <c r="W61" s="147"/>
    </row>
    <row r="62" spans="15:23" x14ac:dyDescent="0.25">
      <c r="O62" s="147"/>
      <c r="P62" s="147"/>
      <c r="Q62" s="147"/>
      <c r="R62" s="147"/>
      <c r="S62" s="147"/>
      <c r="T62" s="147"/>
      <c r="U62" s="147"/>
      <c r="V62" s="147"/>
      <c r="W62" s="147"/>
    </row>
    <row r="63" spans="15:23" x14ac:dyDescent="0.25">
      <c r="O63" s="147"/>
      <c r="P63" s="147"/>
      <c r="Q63" s="147"/>
      <c r="R63" s="147"/>
      <c r="S63" s="147"/>
      <c r="T63" s="147"/>
      <c r="U63" s="147"/>
      <c r="V63" s="147"/>
      <c r="W63" s="147"/>
    </row>
    <row r="64" spans="15:23" x14ac:dyDescent="0.25">
      <c r="O64" s="147"/>
      <c r="P64" s="147"/>
      <c r="Q64" s="147"/>
      <c r="R64" s="147"/>
      <c r="S64" s="147"/>
      <c r="T64" s="147"/>
      <c r="U64" s="147"/>
      <c r="V64" s="147"/>
      <c r="W64" s="147"/>
    </row>
    <row r="65" spans="15:23" x14ac:dyDescent="0.25">
      <c r="O65" s="147"/>
      <c r="P65" s="147"/>
      <c r="Q65" s="147"/>
      <c r="R65" s="147"/>
      <c r="S65" s="147"/>
      <c r="T65" s="147"/>
      <c r="U65" s="147"/>
      <c r="V65" s="147"/>
      <c r="W65" s="147"/>
    </row>
    <row r="66" spans="15:23" x14ac:dyDescent="0.25">
      <c r="O66" s="147"/>
      <c r="P66" s="147"/>
      <c r="Q66" s="147"/>
      <c r="R66" s="147"/>
      <c r="S66" s="147"/>
      <c r="T66" s="147"/>
      <c r="U66" s="147"/>
      <c r="V66" s="147"/>
      <c r="W66" s="147"/>
    </row>
    <row r="67" spans="15:23" x14ac:dyDescent="0.25">
      <c r="O67" s="147"/>
      <c r="P67" s="147"/>
      <c r="Q67" s="147"/>
      <c r="R67" s="147"/>
      <c r="S67" s="147"/>
      <c r="T67" s="147"/>
      <c r="U67" s="147"/>
      <c r="V67" s="147"/>
      <c r="W67" s="147"/>
    </row>
    <row r="68" spans="15:23" x14ac:dyDescent="0.25">
      <c r="O68" s="147"/>
      <c r="P68" s="147"/>
      <c r="Q68" s="147"/>
      <c r="R68" s="147"/>
      <c r="S68" s="147"/>
      <c r="T68" s="147"/>
      <c r="U68" s="147"/>
      <c r="V68" s="147"/>
      <c r="W68" s="147"/>
    </row>
    <row r="69" spans="15:23" x14ac:dyDescent="0.25">
      <c r="O69" s="147"/>
      <c r="P69" s="147"/>
      <c r="Q69" s="147"/>
      <c r="R69" s="147"/>
      <c r="S69" s="147"/>
      <c r="T69" s="147"/>
      <c r="U69" s="147"/>
      <c r="V69" s="147"/>
      <c r="W69" s="147"/>
    </row>
    <row r="70" spans="15:23" x14ac:dyDescent="0.25">
      <c r="O70" s="147"/>
      <c r="P70" s="147"/>
      <c r="Q70" s="147"/>
      <c r="R70" s="147"/>
      <c r="S70" s="147"/>
      <c r="T70" s="147"/>
      <c r="U70" s="147"/>
      <c r="V70" s="147"/>
      <c r="W70" s="147"/>
    </row>
    <row r="71" spans="15:23" x14ac:dyDescent="0.25">
      <c r="O71" s="147"/>
      <c r="P71" s="147"/>
      <c r="Q71" s="147"/>
      <c r="R71" s="147"/>
      <c r="S71" s="147"/>
      <c r="T71" s="147"/>
      <c r="U71" s="147"/>
      <c r="V71" s="147"/>
      <c r="W71" s="147"/>
    </row>
    <row r="72" spans="15:23" x14ac:dyDescent="0.25">
      <c r="O72" s="147"/>
      <c r="P72" s="147"/>
      <c r="Q72" s="147"/>
      <c r="R72" s="147"/>
      <c r="S72" s="147"/>
      <c r="T72" s="147"/>
      <c r="U72" s="147"/>
      <c r="V72" s="147"/>
      <c r="W72" s="147"/>
    </row>
    <row r="73" spans="15:23" x14ac:dyDescent="0.25">
      <c r="O73" s="147"/>
      <c r="P73" s="147"/>
      <c r="Q73" s="147"/>
      <c r="R73" s="147"/>
      <c r="S73" s="147"/>
      <c r="T73" s="147"/>
      <c r="U73" s="147"/>
      <c r="V73" s="147"/>
      <c r="W73" s="147"/>
    </row>
    <row r="74" spans="15:23" x14ac:dyDescent="0.25">
      <c r="O74" s="147"/>
      <c r="P74" s="147"/>
      <c r="Q74" s="147"/>
      <c r="R74" s="147"/>
      <c r="S74" s="147"/>
      <c r="T74" s="147"/>
      <c r="U74" s="147"/>
      <c r="V74" s="147"/>
      <c r="W74" s="147"/>
    </row>
    <row r="75" spans="15:23" x14ac:dyDescent="0.25">
      <c r="O75" s="147"/>
      <c r="P75" s="147"/>
      <c r="Q75" s="147"/>
      <c r="R75" s="147"/>
      <c r="S75" s="147"/>
      <c r="T75" s="147"/>
      <c r="U75" s="147"/>
      <c r="V75" s="147"/>
      <c r="W75" s="147"/>
    </row>
    <row r="76" spans="15:23" x14ac:dyDescent="0.25">
      <c r="O76" s="147"/>
      <c r="P76" s="147"/>
      <c r="Q76" s="147"/>
      <c r="R76" s="147"/>
      <c r="S76" s="147"/>
      <c r="T76" s="147"/>
      <c r="U76" s="147"/>
      <c r="V76" s="147"/>
      <c r="W76" s="147"/>
    </row>
    <row r="77" spans="15:23" x14ac:dyDescent="0.25">
      <c r="O77" s="147"/>
      <c r="P77" s="147"/>
      <c r="Q77" s="147"/>
      <c r="R77" s="147"/>
      <c r="S77" s="147"/>
      <c r="T77" s="147"/>
      <c r="U77" s="147"/>
      <c r="V77" s="147"/>
      <c r="W77" s="147"/>
    </row>
    <row r="78" spans="15:23" x14ac:dyDescent="0.25">
      <c r="O78" s="147"/>
      <c r="P78" s="147"/>
      <c r="Q78" s="147"/>
      <c r="R78" s="147"/>
      <c r="S78" s="147"/>
      <c r="T78" s="147"/>
      <c r="U78" s="147"/>
      <c r="V78" s="147"/>
      <c r="W78" s="147"/>
    </row>
    <row r="79" spans="15:23" x14ac:dyDescent="0.25">
      <c r="O79" s="147"/>
      <c r="P79" s="147"/>
      <c r="Q79" s="147"/>
      <c r="R79" s="147"/>
      <c r="S79" s="147"/>
      <c r="T79" s="147"/>
      <c r="U79" s="147"/>
      <c r="V79" s="147"/>
      <c r="W79" s="147"/>
    </row>
    <row r="80" spans="15:23" x14ac:dyDescent="0.25">
      <c r="O80" s="147"/>
      <c r="P80" s="147"/>
      <c r="Q80" s="147"/>
      <c r="R80" s="147"/>
      <c r="S80" s="147"/>
      <c r="T80" s="147"/>
      <c r="U80" s="147"/>
      <c r="V80" s="147"/>
      <c r="W80" s="147"/>
    </row>
    <row r="81" spans="15:23" x14ac:dyDescent="0.25">
      <c r="O81" s="147"/>
      <c r="P81" s="147"/>
      <c r="Q81" s="147"/>
      <c r="R81" s="147"/>
      <c r="S81" s="147"/>
      <c r="T81" s="147"/>
      <c r="U81" s="147"/>
      <c r="V81" s="147"/>
      <c r="W81" s="147"/>
    </row>
    <row r="82" spans="15:23" x14ac:dyDescent="0.25">
      <c r="O82" s="147"/>
      <c r="P82" s="147"/>
      <c r="Q82" s="147"/>
      <c r="R82" s="147"/>
      <c r="S82" s="147"/>
      <c r="T82" s="147"/>
      <c r="U82" s="147"/>
      <c r="V82" s="147"/>
      <c r="W82" s="147"/>
    </row>
    <row r="83" spans="15:23" x14ac:dyDescent="0.25">
      <c r="O83" s="147"/>
      <c r="P83" s="147"/>
      <c r="Q83" s="147"/>
      <c r="R83" s="147"/>
      <c r="S83" s="147"/>
      <c r="T83" s="147"/>
      <c r="U83" s="147"/>
      <c r="V83" s="147"/>
      <c r="W83" s="147"/>
    </row>
    <row r="84" spans="15:23" x14ac:dyDescent="0.25">
      <c r="O84" s="147"/>
      <c r="P84" s="147"/>
      <c r="Q84" s="147"/>
      <c r="R84" s="147"/>
      <c r="S84" s="147"/>
      <c r="T84" s="147"/>
      <c r="U84" s="147"/>
      <c r="V84" s="147"/>
      <c r="W84" s="147"/>
    </row>
  </sheetData>
  <sheetProtection selectLockedCells="1"/>
  <mergeCells count="36">
    <mergeCell ref="B41:D41"/>
    <mergeCell ref="B42:D42"/>
    <mergeCell ref="F41:F42"/>
    <mergeCell ref="H41:H42"/>
    <mergeCell ref="F37:F38"/>
    <mergeCell ref="F39:F40"/>
    <mergeCell ref="B37:D37"/>
    <mergeCell ref="B38:D38"/>
    <mergeCell ref="B39:D39"/>
    <mergeCell ref="B40:D40"/>
    <mergeCell ref="H37:H38"/>
    <mergeCell ref="H39:H40"/>
    <mergeCell ref="K11:K13"/>
    <mergeCell ref="B30:E30"/>
    <mergeCell ref="I11:I13"/>
    <mergeCell ref="B31:D31"/>
    <mergeCell ref="F31:F32"/>
    <mergeCell ref="B32:D32"/>
    <mergeCell ref="F30:H30"/>
    <mergeCell ref="H31:H32"/>
    <mergeCell ref="J11:J13"/>
    <mergeCell ref="B36:D36"/>
    <mergeCell ref="B33:D33"/>
    <mergeCell ref="B34:D34"/>
    <mergeCell ref="H33:H34"/>
    <mergeCell ref="F33:F34"/>
    <mergeCell ref="H35:H36"/>
    <mergeCell ref="F35:F36"/>
    <mergeCell ref="B35:D35"/>
    <mergeCell ref="B10:H10"/>
    <mergeCell ref="B11:B12"/>
    <mergeCell ref="D11:D12"/>
    <mergeCell ref="C11:C12"/>
    <mergeCell ref="H11:H12"/>
    <mergeCell ref="G11:G12"/>
    <mergeCell ref="F11:F12"/>
  </mergeCells>
  <phoneticPr fontId="34" type="noConversion"/>
  <conditionalFormatting sqref="B17:H27">
    <cfRule type="expression" dxfId="27" priority="6" stopIfTrue="1">
      <formula>MOD(ROW(),2)</formula>
    </cfRule>
  </conditionalFormatting>
  <conditionalFormatting sqref="E17:E27">
    <cfRule type="cellIs" dxfId="26" priority="4" stopIfTrue="1" operator="equal">
      <formula>"DESCARTADO"</formula>
    </cfRule>
    <cfRule type="cellIs" dxfId="25" priority="5" stopIfTrue="1" operator="equal">
      <formula>"NO ADMISIBLE"</formula>
    </cfRule>
  </conditionalFormatting>
  <printOptions horizontalCentered="1"/>
  <pageMargins left="0.23622047244094491" right="0.23622047244094491" top="0.74803149606299213" bottom="0.74803149606299213" header="0.31496062992125984" footer="0.31496062992125984"/>
  <pageSetup scale="43" orientation="portrait" horizontalDpi="1200" verticalDpi="1200" r:id="rId1"/>
  <headerFooter alignWithMargins="0">
    <oddFooter>&amp;L&amp;9&amp;F
&amp;A&amp;C&amp;P de &amp;N&amp;R&amp;9INSTITUTO NACIONAL DE VIAS
&amp;D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Hoja9">
    <tabColor theme="9" tint="-0.249977111117893"/>
  </sheetPr>
  <dimension ref="B1:S32"/>
  <sheetViews>
    <sheetView showGridLines="0" topLeftCell="A11" zoomScaleNormal="100" workbookViewId="0">
      <selection activeCell="M16" sqref="M16"/>
    </sheetView>
  </sheetViews>
  <sheetFormatPr baseColWidth="10" defaultColWidth="11.44140625" defaultRowHeight="13.2" x14ac:dyDescent="0.25"/>
  <cols>
    <col min="1" max="1" width="2.6640625" style="2" customWidth="1"/>
    <col min="2" max="2" width="10.33203125" style="2" bestFit="1" customWidth="1"/>
    <col min="3" max="3" width="10.33203125" style="2" customWidth="1"/>
    <col min="4" max="4" width="31.6640625" style="2" customWidth="1"/>
    <col min="5" max="5" width="11.44140625" style="2" bestFit="1" customWidth="1"/>
    <col min="6" max="6" width="15.33203125" style="2" hidden="1" customWidth="1"/>
    <col min="7" max="7" width="15.44140625" style="2" hidden="1" customWidth="1"/>
    <col min="8" max="8" width="10.109375" style="2" bestFit="1" customWidth="1"/>
    <col min="9" max="9" width="10.88671875" style="2" customWidth="1"/>
    <col min="10" max="10" width="13.44140625" style="2" customWidth="1"/>
    <col min="11" max="11" width="12.6640625" style="2" customWidth="1"/>
    <col min="12" max="12" width="10.6640625" style="2" customWidth="1"/>
    <col min="13" max="13" width="11.44140625" style="2" customWidth="1"/>
    <col min="14" max="14" width="4.6640625" style="2" customWidth="1"/>
    <col min="15" max="15" width="4.6640625" style="2" hidden="1" customWidth="1"/>
    <col min="16" max="16" width="11.88671875" style="3" hidden="1" customWidth="1"/>
    <col min="17" max="17" width="9.33203125" style="3" bestFit="1" customWidth="1"/>
    <col min="18" max="18" width="64.44140625" style="2" customWidth="1"/>
    <col min="19" max="19" width="14.44140625" style="2" bestFit="1" customWidth="1"/>
    <col min="20" max="20" width="5.33203125" style="2" customWidth="1"/>
    <col min="21" max="16384" width="11.44140625" style="2"/>
  </cols>
  <sheetData>
    <row r="1" spans="2:19" ht="17.399999999999999" x14ac:dyDescent="0.25">
      <c r="B1" s="52" t="str">
        <f>'RESUMEN-M (1)'!B1</f>
        <v>INSTITUTO NACIONAL DE VÍAS</v>
      </c>
      <c r="C1" s="52"/>
      <c r="D1" s="1"/>
      <c r="E1" s="1"/>
      <c r="F1" s="1"/>
      <c r="G1" s="1"/>
      <c r="H1" s="1"/>
      <c r="I1" s="1"/>
      <c r="J1" s="1"/>
      <c r="K1" s="1"/>
      <c r="L1" s="1"/>
      <c r="M1" s="1"/>
      <c r="N1" s="265"/>
      <c r="O1" s="265"/>
      <c r="P1" s="277"/>
      <c r="Q1" s="52" t="str">
        <f t="shared" ref="Q1:Q7" si="0">B1</f>
        <v>INSTITUTO NACIONAL DE VÍAS</v>
      </c>
      <c r="R1" s="5"/>
      <c r="S1" s="5"/>
    </row>
    <row r="2" spans="2:19" ht="15.6" x14ac:dyDescent="0.25">
      <c r="B2" s="54" t="str">
        <f>'RESUMEN-M (1)'!B2</f>
        <v>DIRECCIÓN GENERAL</v>
      </c>
      <c r="C2" s="54"/>
      <c r="D2" s="4"/>
      <c r="E2" s="4"/>
      <c r="F2" s="4"/>
      <c r="G2" s="4"/>
      <c r="H2" s="4"/>
      <c r="I2" s="4"/>
      <c r="J2" s="4"/>
      <c r="K2" s="4"/>
      <c r="L2" s="4"/>
      <c r="M2" s="4"/>
      <c r="N2" s="265"/>
      <c r="O2" s="265"/>
      <c r="P2" s="277"/>
      <c r="Q2" s="54" t="str">
        <f t="shared" si="0"/>
        <v>DIRECCIÓN GENERAL</v>
      </c>
      <c r="R2" s="5"/>
      <c r="S2" s="5"/>
    </row>
    <row r="3" spans="2:19" x14ac:dyDescent="0.25">
      <c r="B3" s="54" t="str">
        <f>'RESUMEN-M (1)'!B3</f>
        <v>DIRECCIÓN TERRITORIAL MAGDALENA</v>
      </c>
      <c r="C3" s="54"/>
      <c r="D3" s="5"/>
      <c r="E3" s="5"/>
      <c r="F3" s="5"/>
      <c r="G3" s="5"/>
      <c r="H3" s="5"/>
      <c r="I3" s="5"/>
      <c r="J3" s="5"/>
      <c r="K3" s="5"/>
      <c r="L3" s="5"/>
      <c r="M3" s="5"/>
      <c r="N3" s="265"/>
      <c r="O3" s="265"/>
      <c r="P3" s="277"/>
      <c r="Q3" s="54" t="str">
        <f t="shared" si="0"/>
        <v>DIRECCIÓN TERRITORIAL MAGDALENA</v>
      </c>
      <c r="R3" s="5"/>
      <c r="S3" s="5"/>
    </row>
    <row r="4" spans="2:19" hidden="1" x14ac:dyDescent="0.25">
      <c r="B4" s="54" t="e">
        <f>'RESUMEN-M (1)'!#REF!</f>
        <v>#REF!</v>
      </c>
      <c r="C4" s="54"/>
      <c r="D4" s="5"/>
      <c r="E4" s="5"/>
      <c r="F4" s="5"/>
      <c r="G4" s="5"/>
      <c r="H4" s="5"/>
      <c r="I4" s="5"/>
      <c r="J4" s="5"/>
      <c r="K4" s="5"/>
      <c r="L4" s="5"/>
      <c r="M4" s="5"/>
      <c r="N4" s="265"/>
      <c r="O4" s="265"/>
      <c r="P4" s="277"/>
      <c r="Q4" s="54" t="e">
        <f t="shared" si="0"/>
        <v>#REF!</v>
      </c>
      <c r="R4" s="5"/>
      <c r="S4" s="5"/>
    </row>
    <row r="5" spans="2:19" x14ac:dyDescent="0.25">
      <c r="B5" s="54" t="str">
        <f>'RESUMEN-M (1)'!B4</f>
        <v>CONCURSO DE MÉRITOS ABIERTO No  CMA-DT-MAG-001-2024</v>
      </c>
      <c r="C5" s="54"/>
      <c r="D5" s="5"/>
      <c r="E5" s="5"/>
      <c r="F5" s="5"/>
      <c r="G5" s="5"/>
      <c r="H5" s="5"/>
      <c r="I5" s="5"/>
      <c r="J5" s="5"/>
      <c r="K5" s="5"/>
      <c r="L5" s="5"/>
      <c r="M5" s="5"/>
      <c r="N5" s="265"/>
      <c r="O5" s="265"/>
      <c r="P5" s="277"/>
      <c r="Q5" s="54" t="str">
        <f t="shared" si="0"/>
        <v>CONCURSO DE MÉRITOS ABIERTO No  CMA-DT-MAG-001-2024</v>
      </c>
      <c r="R5" s="5"/>
      <c r="S5" s="5"/>
    </row>
    <row r="6" spans="2:19" ht="52.8" x14ac:dyDescent="0.25">
      <c r="B6" s="54" t="str">
        <f>'RESUMEN-M (1)'!B5</f>
        <v>OBJETO: “INTERVENTORIA TÉCNICA, ADMINISTRATIVA, FINANCIERA Y AMBIENTAL, PARA EL MEJORAMIENTO Y MANTENIMIENTO DE LAS VÍAS: RICAURTE – HATOVIEJO CÓDIGO 78218 EN EL MUNICIPIO DE GUAMAL; Y SAN SEBASTIÁN - LOS GALVIS CÓDIGO 78141, EN EL MUNICIPIO DE SAN SEBASTIÁN DE BUENAVISTA, DEPARTAMENTO DEL MAGDALENA”.</v>
      </c>
      <c r="C6" s="54"/>
      <c r="D6" s="6"/>
      <c r="E6" s="6"/>
      <c r="F6" s="6"/>
      <c r="G6" s="6"/>
      <c r="H6" s="6"/>
      <c r="I6" s="6"/>
      <c r="J6" s="6"/>
      <c r="K6" s="6"/>
      <c r="L6" s="6"/>
      <c r="M6" s="6"/>
      <c r="N6" s="265"/>
      <c r="O6" s="265"/>
      <c r="P6" s="277"/>
      <c r="Q6" s="54" t="str">
        <f t="shared" si="0"/>
        <v>OBJETO: “INTERVENTORIA TÉCNICA, ADMINISTRATIVA, FINANCIERA Y AMBIENTAL, PARA EL MEJORAMIENTO Y MANTENIMIENTO DE LAS VÍAS: RICAURTE – HATOVIEJO CÓDIGO 78218 EN EL MUNICIPIO DE GUAMAL; Y SAN SEBASTIÁN - LOS GALVIS CÓDIGO 78141, EN EL MUNICIPIO DE SAN SEBASTIÁN DE BUENAVISTA, DEPARTAMENTO DEL MAGDALENA”.</v>
      </c>
      <c r="R6" s="5"/>
      <c r="S6" s="5"/>
    </row>
    <row r="7" spans="2:19" x14ac:dyDescent="0.25">
      <c r="B7" s="54">
        <f>'RESUMEN-M (1)'!B6</f>
        <v>0</v>
      </c>
      <c r="C7" s="54"/>
      <c r="D7" s="6"/>
      <c r="E7" s="6"/>
      <c r="F7" s="6"/>
      <c r="G7" s="6"/>
      <c r="H7" s="6"/>
      <c r="I7" s="6"/>
      <c r="J7" s="6"/>
      <c r="K7" s="6"/>
      <c r="L7" s="6"/>
      <c r="M7" s="6"/>
      <c r="N7" s="265"/>
      <c r="O7" s="265"/>
      <c r="P7" s="277"/>
      <c r="Q7" s="54">
        <f t="shared" si="0"/>
        <v>0</v>
      </c>
      <c r="R7" s="5"/>
      <c r="S7" s="5"/>
    </row>
    <row r="8" spans="2:19" x14ac:dyDescent="0.25">
      <c r="B8" s="55" t="s">
        <v>104</v>
      </c>
      <c r="C8" s="55"/>
      <c r="D8" s="278"/>
      <c r="E8" s="278"/>
      <c r="F8" s="278"/>
      <c r="G8" s="278"/>
      <c r="H8" s="278"/>
      <c r="I8" s="278"/>
      <c r="J8" s="278"/>
      <c r="K8" s="278"/>
      <c r="L8" s="278"/>
      <c r="M8" s="278"/>
      <c r="N8" s="265"/>
      <c r="O8" s="265"/>
      <c r="P8" s="277"/>
      <c r="Q8" s="54" t="s">
        <v>105</v>
      </c>
      <c r="R8" s="5"/>
      <c r="S8" s="5"/>
    </row>
    <row r="9" spans="2:19" x14ac:dyDescent="0.25">
      <c r="B9" s="54" t="s">
        <v>106</v>
      </c>
      <c r="C9" s="54"/>
      <c r="D9" s="278"/>
      <c r="E9" s="278"/>
      <c r="F9" s="278"/>
      <c r="G9" s="278"/>
      <c r="H9" s="278"/>
      <c r="I9" s="278"/>
      <c r="J9" s="278"/>
      <c r="K9" s="278"/>
      <c r="L9" s="278"/>
      <c r="M9" s="278"/>
      <c r="N9" s="265"/>
      <c r="O9" s="265"/>
      <c r="P9" s="277"/>
      <c r="Q9" s="277"/>
      <c r="R9" s="265"/>
      <c r="S9" s="265"/>
    </row>
    <row r="10" spans="2:19" s="18" customFormat="1" ht="21" x14ac:dyDescent="0.25">
      <c r="B10" s="91"/>
      <c r="C10" s="91"/>
      <c r="D10" s="91"/>
      <c r="E10" s="91"/>
      <c r="F10" s="91"/>
      <c r="G10" s="91"/>
      <c r="H10" s="91"/>
      <c r="I10" s="91"/>
      <c r="J10" s="91"/>
      <c r="K10" s="91"/>
      <c r="L10" s="91"/>
      <c r="M10" s="91"/>
      <c r="P10" s="19"/>
      <c r="Q10" s="121" t="s">
        <v>107</v>
      </c>
      <c r="R10" s="121"/>
      <c r="S10" s="121"/>
    </row>
    <row r="11" spans="2:19" ht="13.8" thickBot="1" x14ac:dyDescent="0.3">
      <c r="B11" s="279"/>
      <c r="C11" s="279"/>
      <c r="D11" s="279"/>
      <c r="E11" s="279"/>
      <c r="F11" s="279"/>
      <c r="G11" s="279"/>
      <c r="H11" s="280"/>
      <c r="I11" s="279"/>
      <c r="J11" s="279"/>
      <c r="K11" s="279"/>
      <c r="L11" s="279" t="s">
        <v>108</v>
      </c>
      <c r="M11" s="279"/>
      <c r="N11" s="265"/>
      <c r="O11" s="265"/>
      <c r="P11" s="456" t="s">
        <v>109</v>
      </c>
      <c r="Q11" s="277"/>
      <c r="R11" s="265"/>
      <c r="S11" s="265"/>
    </row>
    <row r="12" spans="2:19" ht="24.6" thickTop="1" x14ac:dyDescent="0.25">
      <c r="B12" s="447" t="s">
        <v>7</v>
      </c>
      <c r="C12" s="449" t="s">
        <v>110</v>
      </c>
      <c r="D12" s="451" t="s">
        <v>9</v>
      </c>
      <c r="E12" s="285" t="s">
        <v>88</v>
      </c>
      <c r="F12" s="90" t="s">
        <v>130</v>
      </c>
      <c r="G12" s="453" t="s">
        <v>112</v>
      </c>
      <c r="H12" s="459" t="s">
        <v>11</v>
      </c>
      <c r="I12" s="460"/>
      <c r="J12" s="460"/>
      <c r="K12" s="460"/>
      <c r="L12" s="449" t="s">
        <v>113</v>
      </c>
      <c r="M12" s="457" t="s">
        <v>114</v>
      </c>
      <c r="N12" s="265"/>
      <c r="O12" s="265"/>
      <c r="P12" s="456"/>
      <c r="Q12" s="462"/>
      <c r="R12" s="463"/>
      <c r="S12" s="464"/>
    </row>
    <row r="13" spans="2:19" ht="44.25" customHeight="1" thickBot="1" x14ac:dyDescent="0.3">
      <c r="B13" s="498"/>
      <c r="C13" s="461"/>
      <c r="D13" s="499"/>
      <c r="E13" s="294" t="s">
        <v>91</v>
      </c>
      <c r="F13" s="223" t="s">
        <v>137</v>
      </c>
      <c r="G13" s="500"/>
      <c r="H13" s="293" t="s">
        <v>115</v>
      </c>
      <c r="I13" s="117" t="s">
        <v>116</v>
      </c>
      <c r="J13" s="294" t="s">
        <v>117</v>
      </c>
      <c r="K13" s="294" t="s">
        <v>138</v>
      </c>
      <c r="L13" s="461"/>
      <c r="M13" s="458"/>
      <c r="N13" s="265"/>
      <c r="O13" s="265"/>
      <c r="P13" s="456"/>
      <c r="Q13" s="465" t="e">
        <f ca="1">VLOOKUP(R16,D16:E28,2,FALSE)</f>
        <v>#N/A</v>
      </c>
      <c r="R13" s="466"/>
      <c r="S13" s="467"/>
    </row>
    <row r="14" spans="2:19" ht="13.8" thickBot="1" x14ac:dyDescent="0.3">
      <c r="B14" s="98"/>
      <c r="C14" s="139"/>
      <c r="D14" s="116" t="s">
        <v>119</v>
      </c>
      <c r="E14" s="99">
        <f>COUNT(E16:E28)</f>
        <v>0</v>
      </c>
      <c r="F14" s="100"/>
      <c r="G14" s="100"/>
      <c r="H14" s="232">
        <f>'MEDIA ARITMETICA'!E32</f>
        <v>800</v>
      </c>
      <c r="I14" s="233">
        <v>100</v>
      </c>
      <c r="J14" s="233"/>
      <c r="K14" s="234">
        <v>100</v>
      </c>
      <c r="L14" s="235">
        <f>H14+I14+J14+K14</f>
        <v>1000</v>
      </c>
      <c r="M14" s="222"/>
      <c r="N14" s="265"/>
      <c r="O14" s="265"/>
      <c r="P14" s="456"/>
      <c r="Q14" s="101" t="s">
        <v>120</v>
      </c>
      <c r="R14" s="102" t="s">
        <v>9</v>
      </c>
      <c r="S14" s="103" t="s">
        <v>121</v>
      </c>
    </row>
    <row r="15" spans="2:19" ht="17.25" customHeight="1" x14ac:dyDescent="0.25">
      <c r="B15" s="92"/>
      <c r="C15" s="140"/>
      <c r="D15" s="93"/>
      <c r="E15" s="94"/>
      <c r="F15" s="95"/>
      <c r="G15" s="95"/>
      <c r="H15" s="96"/>
      <c r="I15" s="96"/>
      <c r="J15" s="96"/>
      <c r="K15" s="96"/>
      <c r="L15" s="97"/>
      <c r="M15" s="97"/>
      <c r="N15" s="265"/>
      <c r="O15" s="265"/>
      <c r="P15" s="277"/>
      <c r="Q15" s="104"/>
      <c r="R15" s="105"/>
      <c r="S15" s="106"/>
    </row>
    <row r="16" spans="2:19" ht="17.399999999999999" x14ac:dyDescent="0.25">
      <c r="B16" s="108">
        <v>1</v>
      </c>
      <c r="C16" s="141">
        <f>'RESUMEN-M (1)'!C12</f>
        <v>1</v>
      </c>
      <c r="D16" s="193" t="str">
        <f>'RESUMEN-M (1)'!D12</f>
        <v>CONSORCIO CAP-SAS</v>
      </c>
      <c r="E16" s="109" t="e">
        <f>'MEDIA ARITMETICA'!E17</f>
        <v>#REF!</v>
      </c>
      <c r="F16" s="158" t="e">
        <f>'MEDIA ARITMETICA'!F17</f>
        <v>#REF!</v>
      </c>
      <c r="G16" s="110"/>
      <c r="H16" s="111" t="e">
        <f>VLOOKUP($D16,'MEDIA ARITMETICA'!$D$13:$I$27,5,FALSE)</f>
        <v>#REF!</v>
      </c>
      <c r="I16" s="111">
        <f>VLOOKUP($D16,'RESUMEN-M (1)'!$D$12:$G$94,3,FALSE)</f>
        <v>10</v>
      </c>
      <c r="J16" s="111"/>
      <c r="K16" s="111" t="e">
        <f>VLOOKUP($D16,'RESUMEN-M (1)'!$D$12:$G$94,5,FALSE)</f>
        <v>#REF!</v>
      </c>
      <c r="L16" s="107" t="e">
        <f t="shared" ref="L16:L21" si="1">IF(E16="DESCARTADO",-M16,H16+I16+J16+K16+M16)</f>
        <v>#REF!</v>
      </c>
      <c r="M16" s="112"/>
      <c r="N16" s="265"/>
      <c r="O16" s="265"/>
      <c r="P16" s="113" t="e">
        <f>RANK(L16,$L$16:$L$23,0)</f>
        <v>#REF!</v>
      </c>
      <c r="Q16" s="114">
        <v>1</v>
      </c>
      <c r="R16" s="144" t="e">
        <f ca="1">IF(Q16="","",OFFSET($D$15,MATCH(B16,$P$16:$P$28,0),0))</f>
        <v>#N/A</v>
      </c>
      <c r="S16" s="115" t="e">
        <f ca="1">IF(R16="","",VLOOKUP(R16,$D$16:$L$28,9,FALSE))</f>
        <v>#N/A</v>
      </c>
    </row>
    <row r="17" spans="2:19" ht="17.399999999999999" x14ac:dyDescent="0.25">
      <c r="B17" s="108">
        <v>2</v>
      </c>
      <c r="C17" s="141">
        <f>'RESUMEN-M (1)'!C13</f>
        <v>2</v>
      </c>
      <c r="D17" s="193" t="str">
        <f>'RESUMEN-M (1)'!D13</f>
        <v>BRAIN INGENIERIA VIAL SAS</v>
      </c>
      <c r="E17" s="109" t="e">
        <f>'MEDIA ARITMETICA'!E18</f>
        <v>#REF!</v>
      </c>
      <c r="F17" s="158"/>
      <c r="G17" s="110"/>
      <c r="H17" s="111" t="e">
        <f>VLOOKUP($D17,'MEDIA ARITMETICA'!$D$13:$I$27,5,FALSE)</f>
        <v>#REF!</v>
      </c>
      <c r="I17" s="111">
        <f>VLOOKUP($D17,'RESUMEN-M (1)'!$D$12:$G$94,3,FALSE)</f>
        <v>10</v>
      </c>
      <c r="J17" s="111"/>
      <c r="K17" s="111" t="e">
        <f>VLOOKUP($D17,'RESUMEN-M (1)'!$D$12:$G$94,5,FALSE)</f>
        <v>#REF!</v>
      </c>
      <c r="L17" s="107" t="e">
        <f t="shared" si="1"/>
        <v>#REF!</v>
      </c>
      <c r="M17" s="112"/>
      <c r="N17" s="265"/>
      <c r="O17" s="265"/>
      <c r="P17" s="113" t="e">
        <f t="shared" ref="P17:P23" si="2">RANK(L17,$L$16:$L$23,0)</f>
        <v>#REF!</v>
      </c>
      <c r="Q17" s="114">
        <v>2</v>
      </c>
      <c r="R17" s="144" t="e">
        <f t="shared" ref="R17:R24" ca="1" si="3">IF(Q17="","",OFFSET($D$15,MATCH(B17,$P$16:$P$28,0),0))</f>
        <v>#N/A</v>
      </c>
      <c r="S17" s="115" t="e">
        <f t="shared" ref="S17:S26" ca="1" si="4">IF(R17="","",VLOOKUP(R17,$D$16:$L$28,9,FALSE))</f>
        <v>#N/A</v>
      </c>
    </row>
    <row r="18" spans="2:19" ht="24" customHeight="1" x14ac:dyDescent="0.25">
      <c r="B18" s="108">
        <v>3</v>
      </c>
      <c r="C18" s="141">
        <f>'RESUMEN-M (1)'!C14</f>
        <v>3</v>
      </c>
      <c r="D18" s="193" t="str">
        <f>'RESUMEN-M (1)'!D14</f>
        <v>CONSORCIO INTER CONSTR
UCCION VIAL</v>
      </c>
      <c r="E18" s="109" t="e">
        <f>'MEDIA ARITMETICA'!E19</f>
        <v>#REF!</v>
      </c>
      <c r="F18" s="158"/>
      <c r="G18" s="110"/>
      <c r="H18" s="111" t="e">
        <f>VLOOKUP($D18,'MEDIA ARITMETICA'!$D$13:$I$27,5,FALSE)</f>
        <v>#REF!</v>
      </c>
      <c r="I18" s="111">
        <f>VLOOKUP($D18,'RESUMEN-M (1)'!$D$12:$G$94,3,FALSE)</f>
        <v>10</v>
      </c>
      <c r="J18" s="111"/>
      <c r="K18" s="111" t="e">
        <f>VLOOKUP($D18,'RESUMEN-M (1)'!$D$12:$G$94,5,FALSE)</f>
        <v>#REF!</v>
      </c>
      <c r="L18" s="107" t="e">
        <f t="shared" si="1"/>
        <v>#REF!</v>
      </c>
      <c r="M18" s="112"/>
      <c r="N18" s="265"/>
      <c r="O18" s="265"/>
      <c r="P18" s="113" t="e">
        <f t="shared" si="2"/>
        <v>#REF!</v>
      </c>
      <c r="Q18" s="114">
        <v>3</v>
      </c>
      <c r="R18" s="144" t="e">
        <f t="shared" ca="1" si="3"/>
        <v>#N/A</v>
      </c>
      <c r="S18" s="115" t="e">
        <f t="shared" ca="1" si="4"/>
        <v>#N/A</v>
      </c>
    </row>
    <row r="19" spans="2:19" ht="17.399999999999999" x14ac:dyDescent="0.25">
      <c r="B19" s="108">
        <v>4</v>
      </c>
      <c r="C19" s="141" t="e">
        <f>'RESUMEN-M (1)'!#REF!</f>
        <v>#REF!</v>
      </c>
      <c r="D19" s="193" t="e">
        <f>'RESUMEN-M (1)'!#REF!</f>
        <v>#REF!</v>
      </c>
      <c r="E19" s="109" t="e">
        <f>'MEDIA ARITMETICA'!E20</f>
        <v>#REF!</v>
      </c>
      <c r="F19" s="158"/>
      <c r="G19" s="110"/>
      <c r="H19" s="111" t="e">
        <f>VLOOKUP($D19,'MEDIA ARITMETICA'!$D$13:$I$27,5,FALSE)</f>
        <v>#REF!</v>
      </c>
      <c r="I19" s="111" t="e">
        <f>VLOOKUP($D19,'RESUMEN-M (1)'!$D$12:$G$94,3,FALSE)</f>
        <v>#REF!</v>
      </c>
      <c r="J19" s="111"/>
      <c r="K19" s="111" t="e">
        <f>VLOOKUP($D19,'RESUMEN-M (1)'!$D$12:$G$94,5,FALSE)</f>
        <v>#REF!</v>
      </c>
      <c r="L19" s="107" t="e">
        <f t="shared" si="1"/>
        <v>#REF!</v>
      </c>
      <c r="M19" s="112"/>
      <c r="N19" s="265"/>
      <c r="O19" s="265"/>
      <c r="P19" s="113" t="e">
        <f t="shared" si="2"/>
        <v>#REF!</v>
      </c>
      <c r="Q19" s="114">
        <v>4</v>
      </c>
      <c r="R19" s="144" t="e">
        <f t="shared" ca="1" si="3"/>
        <v>#N/A</v>
      </c>
      <c r="S19" s="115" t="e">
        <f t="shared" ca="1" si="4"/>
        <v>#N/A</v>
      </c>
    </row>
    <row r="20" spans="2:19" ht="17.399999999999999" x14ac:dyDescent="0.25">
      <c r="B20" s="108">
        <v>5</v>
      </c>
      <c r="C20" s="141" t="e">
        <f>'RESUMEN-M (1)'!#REF!</f>
        <v>#REF!</v>
      </c>
      <c r="D20" s="193" t="e">
        <f>'RESUMEN-M (1)'!#REF!</f>
        <v>#REF!</v>
      </c>
      <c r="E20" s="109" t="e">
        <f>'MEDIA ARITMETICA'!E21</f>
        <v>#REF!</v>
      </c>
      <c r="F20" s="158"/>
      <c r="G20" s="110"/>
      <c r="H20" s="111" t="e">
        <f>VLOOKUP($D20,'MEDIA ARITMETICA'!$D$13:$I$27,5,FALSE)</f>
        <v>#REF!</v>
      </c>
      <c r="I20" s="111" t="e">
        <f>VLOOKUP($D20,'RESUMEN-M (1)'!$D$12:$G$94,3,FALSE)</f>
        <v>#REF!</v>
      </c>
      <c r="J20" s="111"/>
      <c r="K20" s="111" t="e">
        <f>VLOOKUP($D20,'RESUMEN-M (1)'!$D$12:$G$94,5,FALSE)</f>
        <v>#REF!</v>
      </c>
      <c r="L20" s="107" t="e">
        <f t="shared" si="1"/>
        <v>#REF!</v>
      </c>
      <c r="M20" s="112"/>
      <c r="N20" s="265"/>
      <c r="O20" s="265"/>
      <c r="P20" s="113" t="e">
        <f t="shared" si="2"/>
        <v>#REF!</v>
      </c>
      <c r="Q20" s="114">
        <v>5</v>
      </c>
      <c r="R20" s="144" t="e">
        <f t="shared" ca="1" si="3"/>
        <v>#N/A</v>
      </c>
      <c r="S20" s="115" t="e">
        <f t="shared" ca="1" si="4"/>
        <v>#N/A</v>
      </c>
    </row>
    <row r="21" spans="2:19" ht="17.399999999999999" x14ac:dyDescent="0.25">
      <c r="B21" s="108">
        <v>6</v>
      </c>
      <c r="C21" s="141" t="e">
        <f>'RESUMEN-M (1)'!#REF!</f>
        <v>#REF!</v>
      </c>
      <c r="D21" s="193" t="e">
        <f>'RESUMEN-M (1)'!#REF!</f>
        <v>#REF!</v>
      </c>
      <c r="E21" s="109" t="e">
        <f>'MEDIA ARITMETICA'!E22</f>
        <v>#REF!</v>
      </c>
      <c r="F21" s="158"/>
      <c r="G21" s="110"/>
      <c r="H21" s="111" t="e">
        <f>VLOOKUP($D21,'MEDIA ARITMETICA'!$D$13:$I$27,5,FALSE)</f>
        <v>#REF!</v>
      </c>
      <c r="I21" s="111" t="e">
        <f>VLOOKUP($D21,'RESUMEN-M (1)'!$D$12:$G$94,3,FALSE)</f>
        <v>#REF!</v>
      </c>
      <c r="J21" s="111"/>
      <c r="K21" s="111" t="e">
        <f>VLOOKUP($D21,'RESUMEN-M (1)'!$D$12:$G$94,5,FALSE)</f>
        <v>#REF!</v>
      </c>
      <c r="L21" s="107" t="e">
        <f t="shared" si="1"/>
        <v>#REF!</v>
      </c>
      <c r="M21" s="112"/>
      <c r="N21" s="265"/>
      <c r="O21" s="265"/>
      <c r="P21" s="113" t="e">
        <f t="shared" si="2"/>
        <v>#REF!</v>
      </c>
      <c r="Q21" s="114">
        <v>6</v>
      </c>
      <c r="R21" s="144" t="e">
        <f t="shared" ca="1" si="3"/>
        <v>#N/A</v>
      </c>
      <c r="S21" s="115" t="e">
        <f t="shared" ca="1" si="4"/>
        <v>#N/A</v>
      </c>
    </row>
    <row r="22" spans="2:19" ht="17.399999999999999" x14ac:dyDescent="0.25">
      <c r="B22" s="108">
        <v>7</v>
      </c>
      <c r="C22" s="141" t="e">
        <f>'RESUMEN-M (1)'!#REF!</f>
        <v>#REF!</v>
      </c>
      <c r="D22" s="193" t="e">
        <f>'RESUMEN-M (1)'!#REF!</f>
        <v>#REF!</v>
      </c>
      <c r="E22" s="109" t="e">
        <f>'MEDIA ARITMETICA'!E23</f>
        <v>#REF!</v>
      </c>
      <c r="F22" s="158"/>
      <c r="G22" s="110"/>
      <c r="H22" s="111" t="e">
        <f>VLOOKUP($D22,'MEDIA ARITMETICA'!$D$13:$I$27,5,FALSE)</f>
        <v>#REF!</v>
      </c>
      <c r="I22" s="111" t="e">
        <f>VLOOKUP($D22,'RESUMEN-M (1)'!$D$12:$G$94,3,FALSE)</f>
        <v>#REF!</v>
      </c>
      <c r="J22" s="111"/>
      <c r="K22" s="111" t="e">
        <f>VLOOKUP($D22,'RESUMEN-M (1)'!$D$12:$G$94,5,FALSE)</f>
        <v>#REF!</v>
      </c>
      <c r="L22" s="107" t="e">
        <f>IF(E22="DESCARTADO",-M22,H22+I22+J22+K22+M22)</f>
        <v>#REF!</v>
      </c>
      <c r="M22" s="112"/>
      <c r="N22" s="265"/>
      <c r="O22" s="265"/>
      <c r="P22" s="113" t="e">
        <f t="shared" si="2"/>
        <v>#REF!</v>
      </c>
      <c r="Q22" s="114">
        <v>7</v>
      </c>
      <c r="R22" s="144" t="e">
        <f t="shared" ca="1" si="3"/>
        <v>#N/A</v>
      </c>
      <c r="S22" s="115" t="e">
        <f t="shared" ca="1" si="4"/>
        <v>#N/A</v>
      </c>
    </row>
    <row r="23" spans="2:19" ht="17.399999999999999" x14ac:dyDescent="0.25">
      <c r="B23" s="108">
        <v>8</v>
      </c>
      <c r="C23" s="141" t="e">
        <f>'RESUMEN-M (1)'!#REF!</f>
        <v>#REF!</v>
      </c>
      <c r="D23" s="193" t="e">
        <f>'RESUMEN-M (1)'!#REF!</f>
        <v>#REF!</v>
      </c>
      <c r="E23" s="109" t="e">
        <f>'MEDIA ARITMETICA'!E24</f>
        <v>#REF!</v>
      </c>
      <c r="F23" s="158"/>
      <c r="G23" s="110"/>
      <c r="H23" s="111" t="e">
        <f>VLOOKUP($D23,'MEDIA ARITMETICA'!$D$13:$I$27,5,FALSE)</f>
        <v>#REF!</v>
      </c>
      <c r="I23" s="111" t="e">
        <f>VLOOKUP($D23,'RESUMEN-M (1)'!$D$12:$G$94,3,FALSE)</f>
        <v>#REF!</v>
      </c>
      <c r="J23" s="111"/>
      <c r="K23" s="111" t="e">
        <f>VLOOKUP($D23,'RESUMEN-M (1)'!$D$12:$G$94,5,FALSE)</f>
        <v>#REF!</v>
      </c>
      <c r="L23" s="107" t="e">
        <f>IF(E23="DESCARTADO",-M23,H23+I23+J23+K23+M23)</f>
        <v>#REF!</v>
      </c>
      <c r="M23" s="112"/>
      <c r="N23" s="265"/>
      <c r="O23" s="265"/>
      <c r="P23" s="113" t="e">
        <f t="shared" si="2"/>
        <v>#REF!</v>
      </c>
      <c r="Q23" s="114">
        <v>8</v>
      </c>
      <c r="R23" s="144" t="e">
        <f t="shared" ca="1" si="3"/>
        <v>#N/A</v>
      </c>
      <c r="S23" s="115" t="e">
        <f t="shared" ca="1" si="4"/>
        <v>#N/A</v>
      </c>
    </row>
    <row r="24" spans="2:19" ht="18" thickBot="1" x14ac:dyDescent="0.3">
      <c r="B24" s="236"/>
      <c r="C24" s="237"/>
      <c r="D24" s="238"/>
      <c r="E24" s="239"/>
      <c r="F24" s="240"/>
      <c r="G24" s="241"/>
      <c r="H24" s="242"/>
      <c r="I24" s="242"/>
      <c r="J24" s="242"/>
      <c r="K24" s="242"/>
      <c r="L24" s="243"/>
      <c r="M24" s="112"/>
      <c r="N24" s="265"/>
      <c r="O24" s="265"/>
      <c r="P24" s="113" t="e">
        <f t="shared" ref="P24:P31" si="5">RANK(L24,$L$16:$L$22,0)</f>
        <v>#REF!</v>
      </c>
      <c r="Q24" s="114">
        <v>9</v>
      </c>
      <c r="R24" s="144" t="e">
        <f t="shared" ca="1" si="3"/>
        <v>#N/A</v>
      </c>
      <c r="S24" s="115" t="e">
        <f t="shared" ca="1" si="4"/>
        <v>#N/A</v>
      </c>
    </row>
    <row r="25" spans="2:19" ht="17.399999999999999" hidden="1" x14ac:dyDescent="0.25">
      <c r="B25" s="224"/>
      <c r="C25" s="225"/>
      <c r="D25" s="226"/>
      <c r="E25" s="227"/>
      <c r="F25" s="228"/>
      <c r="G25" s="229"/>
      <c r="H25" s="230"/>
      <c r="I25" s="230"/>
      <c r="J25" s="230"/>
      <c r="K25" s="230"/>
      <c r="L25" s="231"/>
      <c r="M25" s="112"/>
      <c r="N25" s="265"/>
      <c r="O25" s="265"/>
      <c r="P25" s="113" t="e">
        <f t="shared" si="5"/>
        <v>#REF!</v>
      </c>
      <c r="Q25" s="114"/>
      <c r="R25" s="144"/>
      <c r="S25" s="115" t="str">
        <f t="shared" si="4"/>
        <v/>
      </c>
    </row>
    <row r="26" spans="2:19" ht="17.399999999999999" hidden="1" x14ac:dyDescent="0.25">
      <c r="B26" s="108"/>
      <c r="C26" s="141"/>
      <c r="D26" s="145"/>
      <c r="E26" s="109"/>
      <c r="F26" s="158"/>
      <c r="G26" s="110"/>
      <c r="H26" s="111"/>
      <c r="I26" s="111"/>
      <c r="J26" s="111"/>
      <c r="K26" s="111"/>
      <c r="L26" s="107"/>
      <c r="M26" s="112"/>
      <c r="N26" s="265"/>
      <c r="O26" s="265"/>
      <c r="P26" s="113" t="e">
        <f t="shared" si="5"/>
        <v>#REF!</v>
      </c>
      <c r="Q26" s="114"/>
      <c r="R26" s="144"/>
      <c r="S26" s="115" t="str">
        <f t="shared" si="4"/>
        <v/>
      </c>
    </row>
    <row r="27" spans="2:19" ht="17.399999999999999" hidden="1" x14ac:dyDescent="0.25">
      <c r="B27" s="108"/>
      <c r="C27" s="141"/>
      <c r="D27" s="145"/>
      <c r="E27" s="109"/>
      <c r="F27" s="158"/>
      <c r="G27" s="110"/>
      <c r="H27" s="111"/>
      <c r="I27" s="111"/>
      <c r="J27" s="111"/>
      <c r="K27" s="111"/>
      <c r="L27" s="107"/>
      <c r="M27" s="112"/>
      <c r="N27" s="265"/>
      <c r="O27" s="265"/>
      <c r="P27" s="113" t="e">
        <f t="shared" si="5"/>
        <v>#REF!</v>
      </c>
      <c r="Q27" s="114"/>
      <c r="R27" s="144"/>
      <c r="S27" s="115"/>
    </row>
    <row r="28" spans="2:19" ht="17.399999999999999" hidden="1" x14ac:dyDescent="0.25">
      <c r="B28" s="108"/>
      <c r="C28" s="141"/>
      <c r="D28" s="145"/>
      <c r="E28" s="109"/>
      <c r="F28" s="158"/>
      <c r="G28" s="110"/>
      <c r="H28" s="111"/>
      <c r="I28" s="111"/>
      <c r="J28" s="111"/>
      <c r="K28" s="111"/>
      <c r="L28" s="107"/>
      <c r="M28" s="112"/>
      <c r="N28" s="265"/>
      <c r="O28" s="265"/>
      <c r="P28" s="113" t="e">
        <f t="shared" si="5"/>
        <v>#REF!</v>
      </c>
      <c r="Q28" s="114"/>
      <c r="R28" s="144"/>
      <c r="S28" s="115"/>
    </row>
    <row r="29" spans="2:19" ht="4.5" hidden="1" customHeight="1" thickBot="1" x14ac:dyDescent="0.35">
      <c r="B29" s="7"/>
      <c r="C29" s="142"/>
      <c r="D29" s="8"/>
      <c r="E29" s="9"/>
      <c r="F29" s="10"/>
      <c r="G29" s="10"/>
      <c r="H29" s="10"/>
      <c r="I29" s="10"/>
      <c r="J29" s="10"/>
      <c r="K29" s="10"/>
      <c r="L29" s="26"/>
      <c r="M29" s="11"/>
      <c r="N29" s="265"/>
      <c r="O29" s="265"/>
      <c r="P29" s="113" t="e">
        <f t="shared" si="5"/>
        <v>#REF!</v>
      </c>
      <c r="Q29" s="21"/>
      <c r="R29" s="22"/>
      <c r="S29" s="23"/>
    </row>
    <row r="30" spans="2:19" ht="7.5" hidden="1" customHeight="1" x14ac:dyDescent="0.25">
      <c r="B30" s="12"/>
      <c r="C30" s="12"/>
      <c r="D30" s="13"/>
      <c r="E30" s="14"/>
      <c r="F30" s="15"/>
      <c r="G30" s="15"/>
      <c r="H30" s="15"/>
      <c r="I30" s="15"/>
      <c r="J30" s="15"/>
      <c r="K30" s="15"/>
      <c r="L30" s="16"/>
      <c r="M30" s="17"/>
      <c r="N30" s="265"/>
      <c r="O30" s="265"/>
      <c r="P30" s="113" t="e">
        <f t="shared" si="5"/>
        <v>#REF!</v>
      </c>
      <c r="Q30" s="277"/>
      <c r="R30" s="265"/>
      <c r="S30" s="265"/>
    </row>
    <row r="31" spans="2:19" ht="12.75" hidden="1" customHeight="1" x14ac:dyDescent="0.25">
      <c r="B31" s="265"/>
      <c r="C31" s="265"/>
      <c r="D31" s="265"/>
      <c r="E31" s="265"/>
      <c r="F31" s="265"/>
      <c r="G31" s="265"/>
      <c r="H31" s="265"/>
      <c r="I31" s="265"/>
      <c r="J31" s="265"/>
      <c r="K31" s="265"/>
      <c r="L31" s="265"/>
      <c r="M31" s="265"/>
      <c r="N31" s="265"/>
      <c r="O31" s="265"/>
      <c r="P31" s="113" t="e">
        <f t="shared" si="5"/>
        <v>#REF!</v>
      </c>
      <c r="Q31" s="184" t="s">
        <v>139</v>
      </c>
      <c r="R31" s="183"/>
      <c r="S31" s="183"/>
    </row>
    <row r="32" spans="2:19" ht="12.75" customHeight="1" x14ac:dyDescent="0.25">
      <c r="B32" s="265"/>
      <c r="C32" s="265"/>
      <c r="D32" s="265"/>
      <c r="E32" s="265"/>
      <c r="F32" s="265"/>
      <c r="G32" s="265"/>
      <c r="H32" s="265"/>
      <c r="I32" s="265"/>
      <c r="J32" s="265"/>
      <c r="K32" s="265"/>
      <c r="L32" s="265"/>
      <c r="M32" s="501"/>
      <c r="N32" s="501"/>
      <c r="O32" s="265"/>
      <c r="P32" s="277"/>
      <c r="Q32" s="183"/>
      <c r="R32" s="183"/>
      <c r="S32" s="183"/>
    </row>
  </sheetData>
  <sheetProtection selectLockedCells="1"/>
  <mergeCells count="11">
    <mergeCell ref="B12:B13"/>
    <mergeCell ref="D12:D13"/>
    <mergeCell ref="G12:G13"/>
    <mergeCell ref="H12:K12"/>
    <mergeCell ref="M32:N32"/>
    <mergeCell ref="Q12:S12"/>
    <mergeCell ref="Q13:S13"/>
    <mergeCell ref="M12:M13"/>
    <mergeCell ref="L12:L13"/>
    <mergeCell ref="C12:C13"/>
    <mergeCell ref="P11:P14"/>
  </mergeCells>
  <phoneticPr fontId="2" type="noConversion"/>
  <conditionalFormatting sqref="B16:M28 P16:S16 Q17:S28 P17:P31">
    <cfRule type="expression" dxfId="24" priority="13" stopIfTrue="1">
      <formula>MOD(ROW(),2)</formula>
    </cfRule>
  </conditionalFormatting>
  <conditionalFormatting sqref="E16:E28 G16:G28">
    <cfRule type="cellIs" dxfId="23" priority="4" stopIfTrue="1" operator="equal">
      <formula>"DESCARTADO"</formula>
    </cfRule>
  </conditionalFormatting>
  <conditionalFormatting sqref="H16:L28">
    <cfRule type="cellIs" dxfId="22" priority="7" stopIfTrue="1" operator="greaterThan">
      <formula>1</formula>
    </cfRule>
    <cfRule type="cellIs" dxfId="21" priority="12" stopIfTrue="1" operator="equal">
      <formula>0</formula>
    </cfRule>
  </conditionalFormatting>
  <conditionalFormatting sqref="Q31:S32">
    <cfRule type="cellIs" dxfId="20" priority="6" stopIfTrue="1" operator="equal">
      <formula>"MODULO DESIERTO"</formula>
    </cfRule>
  </conditionalFormatting>
  <printOptions horizontalCentered="1"/>
  <pageMargins left="0.23622047244094491" right="0.23622047244094491" top="0.74803149606299213" bottom="0.74803149606299213" header="0.31496062992125984" footer="0.31496062992125984"/>
  <pageSetup scale="60" orientation="portrait" horizontalDpi="1200" verticalDpi="1200" r:id="rId1"/>
  <headerFooter alignWithMargins="0">
    <oddFooter>&amp;L&amp;9&amp;F
&amp;A&amp;C&amp;P de &amp;N&amp;R&amp;9INSTITUTO NACIONAL DE VIAS
&amp;D</oddFooter>
  </headerFooter>
  <rowBreaks count="1" manualBreakCount="1">
    <brk id="29" min="1" max="18" man="1"/>
  </rowBreaks>
  <colBreaks count="1" manualBreakCount="1">
    <brk id="14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N90"/>
  <sheetViews>
    <sheetView topLeftCell="C5" zoomScale="80" zoomScaleNormal="80" workbookViewId="0">
      <pane ySplit="4" topLeftCell="A49" activePane="bottomLeft" state="frozen"/>
      <selection pane="bottomLeft" activeCell="J59" sqref="J59"/>
    </sheetView>
  </sheetViews>
  <sheetFormatPr baseColWidth="10" defaultColWidth="11.44140625" defaultRowHeight="13.2" x14ac:dyDescent="0.25"/>
  <cols>
    <col min="1" max="1" width="11.44140625" style="299"/>
    <col min="2" max="2" width="46.44140625" customWidth="1"/>
    <col min="3" max="3" width="22.6640625" customWidth="1"/>
    <col min="4" max="7" width="9.5546875" customWidth="1"/>
    <col min="8" max="8" width="9.6640625" customWidth="1"/>
    <col min="9" max="9" width="0.33203125" customWidth="1"/>
    <col min="10" max="10" width="28.5546875" style="306" customWidth="1"/>
    <col min="11" max="11" width="8.33203125" customWidth="1"/>
    <col min="12" max="12" width="1.44140625" customWidth="1"/>
    <col min="13" max="14" width="11.44140625" hidden="1" customWidth="1"/>
    <col min="15" max="15" width="13.109375" customWidth="1"/>
  </cols>
  <sheetData>
    <row r="1" spans="1:14" ht="40.5" customHeight="1" x14ac:dyDescent="0.25">
      <c r="A1" s="502" t="str">
        <f>'RESUMEN-M (1)'!B1</f>
        <v>INSTITUTO NACIONAL DE VÍAS</v>
      </c>
      <c r="B1" s="502"/>
      <c r="C1" s="502"/>
      <c r="D1" s="502"/>
      <c r="E1" s="502"/>
      <c r="F1" s="502"/>
      <c r="G1" s="502"/>
      <c r="H1" s="502"/>
      <c r="I1" s="502"/>
      <c r="J1" s="502"/>
      <c r="K1" s="27"/>
      <c r="L1" s="27"/>
      <c r="M1" s="27"/>
      <c r="N1" s="27"/>
    </row>
    <row r="2" spans="1:14" ht="30" customHeight="1" x14ac:dyDescent="0.25">
      <c r="A2" s="502" t="str">
        <f>'RESUMEN-M (1)'!B2</f>
        <v>DIRECCIÓN GENERAL</v>
      </c>
      <c r="B2" s="502"/>
      <c r="C2" s="502"/>
      <c r="D2" s="502"/>
      <c r="E2" s="502"/>
      <c r="F2" s="502"/>
      <c r="G2" s="502"/>
      <c r="H2" s="502"/>
      <c r="I2" s="502"/>
      <c r="J2" s="502"/>
      <c r="K2" s="31"/>
      <c r="L2" s="31"/>
      <c r="M2" s="31"/>
      <c r="N2" s="31"/>
    </row>
    <row r="3" spans="1:14" ht="35.25" customHeight="1" x14ac:dyDescent="0.25">
      <c r="A3" s="502" t="str">
        <f>'RESUMEN-M (1)'!B3</f>
        <v>DIRECCIÓN TERRITORIAL MAGDALENA</v>
      </c>
      <c r="B3" s="502"/>
      <c r="C3" s="502"/>
      <c r="D3" s="502"/>
      <c r="E3" s="502"/>
      <c r="F3" s="502"/>
      <c r="G3" s="502"/>
      <c r="H3" s="502"/>
      <c r="I3" s="502"/>
      <c r="J3" s="502"/>
      <c r="K3" s="32"/>
      <c r="L3" s="32"/>
      <c r="M3" s="32"/>
      <c r="N3" s="32"/>
    </row>
    <row r="4" spans="1:14" ht="28.5" customHeight="1" x14ac:dyDescent="0.25">
      <c r="A4" s="502" t="str">
        <f>'RESUMEN-M (1)'!B4</f>
        <v>CONCURSO DE MÉRITOS ABIERTO No  CMA-DT-MAG-001-2024</v>
      </c>
      <c r="B4" s="502"/>
      <c r="C4" s="502"/>
      <c r="D4" s="502"/>
      <c r="E4" s="502"/>
      <c r="F4" s="502"/>
      <c r="G4" s="502"/>
      <c r="H4" s="502"/>
      <c r="I4" s="502"/>
      <c r="J4" s="502"/>
      <c r="K4" s="31"/>
      <c r="L4" s="31"/>
      <c r="M4" s="31"/>
      <c r="N4" s="31"/>
    </row>
    <row r="5" spans="1:14" ht="81" customHeight="1" x14ac:dyDescent="0.25">
      <c r="A5" s="502" t="str">
        <f>'RESUMEN-M (1)'!B5</f>
        <v>OBJETO: “INTERVENTORIA TÉCNICA, ADMINISTRATIVA, FINANCIERA Y AMBIENTAL, PARA EL MEJORAMIENTO Y MANTENIMIENTO DE LAS VÍAS: RICAURTE – HATOVIEJO CÓDIGO 78218 EN EL MUNICIPIO DE GUAMAL; Y SAN SEBASTIÁN - LOS GALVIS CÓDIGO 78141, EN EL MUNICIPIO DE SAN SEBASTIÁN DE BUENAVISTA, DEPARTAMENTO DEL MAGDALENA”.</v>
      </c>
      <c r="B5" s="502"/>
      <c r="C5" s="502"/>
      <c r="D5" s="502"/>
      <c r="E5" s="502"/>
      <c r="F5" s="502"/>
      <c r="G5" s="502"/>
      <c r="H5" s="502"/>
      <c r="I5" s="502"/>
      <c r="J5" s="502"/>
      <c r="K5" s="31"/>
      <c r="L5" s="31"/>
      <c r="M5" s="31"/>
      <c r="N5" s="31"/>
    </row>
    <row r="6" spans="1:14" ht="28.5" customHeight="1" x14ac:dyDescent="0.25">
      <c r="A6" s="504" t="s">
        <v>87</v>
      </c>
      <c r="B6" s="503" t="s">
        <v>9</v>
      </c>
      <c r="C6" s="300"/>
      <c r="D6" s="503" t="s">
        <v>140</v>
      </c>
      <c r="E6" s="503"/>
      <c r="F6" s="503"/>
      <c r="G6" s="503"/>
      <c r="H6" s="503"/>
      <c r="I6" s="503"/>
      <c r="J6" s="399" t="s">
        <v>141</v>
      </c>
      <c r="K6" s="31"/>
      <c r="L6" s="31"/>
      <c r="M6" s="31"/>
      <c r="N6" s="31"/>
    </row>
    <row r="7" spans="1:14" ht="48" customHeight="1" x14ac:dyDescent="0.25">
      <c r="A7" s="504"/>
      <c r="B7" s="503"/>
      <c r="C7" s="398" t="s">
        <v>142</v>
      </c>
      <c r="D7" s="503" t="s">
        <v>143</v>
      </c>
      <c r="E7" s="503"/>
      <c r="F7" s="503"/>
      <c r="G7" s="503"/>
      <c r="H7" s="503"/>
      <c r="I7" s="503"/>
      <c r="J7" s="505" t="s">
        <v>143</v>
      </c>
      <c r="K7" s="31"/>
      <c r="L7" s="31"/>
      <c r="M7" s="31"/>
      <c r="N7" s="31"/>
    </row>
    <row r="8" spans="1:14" ht="18.75" customHeight="1" x14ac:dyDescent="0.25">
      <c r="A8" s="504"/>
      <c r="B8" s="503"/>
      <c r="C8" s="300"/>
      <c r="D8" s="300">
        <v>1</v>
      </c>
      <c r="E8" s="300">
        <v>2</v>
      </c>
      <c r="F8" s="300">
        <v>3</v>
      </c>
      <c r="G8" s="300">
        <v>4</v>
      </c>
      <c r="H8" s="300">
        <v>5</v>
      </c>
      <c r="I8" s="300">
        <v>6</v>
      </c>
      <c r="J8" s="505"/>
      <c r="K8" s="31"/>
      <c r="L8" s="31"/>
      <c r="M8" s="31"/>
      <c r="N8" s="31"/>
    </row>
    <row r="9" spans="1:14" ht="24.75" customHeight="1" x14ac:dyDescent="0.25">
      <c r="A9" s="301">
        <v>1</v>
      </c>
      <c r="B9" s="282" t="str">
        <f>VLOOKUP(A9,'RESUMEN-M (1)'!B$12:D$93,3,FALSE)</f>
        <v>CONSORCIO CAP-SAS</v>
      </c>
      <c r="C9" s="282" t="str">
        <f>'RESUMEN-M (1)'!E12</f>
        <v>HÁBIL</v>
      </c>
      <c r="D9" s="282">
        <v>687.56</v>
      </c>
      <c r="E9" s="282">
        <v>30.66</v>
      </c>
      <c r="F9" s="282"/>
      <c r="G9" s="282"/>
      <c r="H9" s="282"/>
      <c r="I9" s="282"/>
      <c r="J9" s="395">
        <f t="shared" ref="J9:J15" si="0">IF(C9="HÁBIL",AVERAGE(D9:I9),C9)</f>
        <v>359.10999999999996</v>
      </c>
    </row>
    <row r="10" spans="1:14" ht="24.75" customHeight="1" x14ac:dyDescent="0.25">
      <c r="A10" s="301">
        <v>2</v>
      </c>
      <c r="B10" s="282" t="str">
        <f>VLOOKUP(A10,'RESUMEN-M (1)'!B$12:D$93,3,FALSE)</f>
        <v>BRAIN INGENIERIA VIAL SAS</v>
      </c>
      <c r="C10" s="282" t="str">
        <f>'RESUMEN-M (1)'!E13</f>
        <v>HÁBIL</v>
      </c>
      <c r="D10" s="282">
        <v>517.57000000000005</v>
      </c>
      <c r="E10" s="282"/>
      <c r="F10" s="282"/>
      <c r="G10" s="282"/>
      <c r="H10" s="282"/>
      <c r="I10" s="282"/>
      <c r="J10" s="395">
        <f t="shared" si="0"/>
        <v>517.57000000000005</v>
      </c>
    </row>
    <row r="11" spans="1:14" ht="24.75" customHeight="1" x14ac:dyDescent="0.25">
      <c r="A11" s="301">
        <v>3</v>
      </c>
      <c r="B11" s="282" t="str">
        <f>VLOOKUP(A11,'RESUMEN-M (1)'!B$12:D$93,3,FALSE)</f>
        <v>CONSORCIO INTER CONSTR
UCCION VIAL</v>
      </c>
      <c r="C11" s="282" t="str">
        <f>'RESUMEN-M (1)'!E14</f>
        <v>RECHAZADO</v>
      </c>
      <c r="D11" s="282">
        <v>774.68</v>
      </c>
      <c r="E11" s="282"/>
      <c r="F11" s="282"/>
      <c r="G11" s="282"/>
      <c r="H11" s="282"/>
      <c r="I11" s="282"/>
      <c r="J11" s="395" t="str">
        <f t="shared" si="0"/>
        <v>RECHAZADO</v>
      </c>
    </row>
    <row r="12" spans="1:14" ht="24.75" customHeight="1" x14ac:dyDescent="0.25">
      <c r="A12" s="301">
        <v>4</v>
      </c>
      <c r="B12" s="282" t="str">
        <f>VLOOKUP(A12,'RESUMEN-M (1)'!B$12:D$93,3,FALSE)</f>
        <v>CONSORCIO INFRAVIAL</v>
      </c>
      <c r="C12" s="282" t="str">
        <f>'RESUMEN-M (1)'!E15</f>
        <v>HÁBIL</v>
      </c>
      <c r="D12" s="282">
        <v>360.67</v>
      </c>
      <c r="E12" s="282"/>
      <c r="F12" s="282"/>
      <c r="G12" s="282"/>
      <c r="H12" s="282"/>
      <c r="I12" s="282"/>
      <c r="J12" s="395">
        <f t="shared" si="0"/>
        <v>360.67</v>
      </c>
    </row>
    <row r="13" spans="1:14" ht="24.75" customHeight="1" x14ac:dyDescent="0.25">
      <c r="A13" s="301">
        <v>5</v>
      </c>
      <c r="B13" s="282" t="str">
        <f>VLOOKUP(A13,'RESUMEN-M (1)'!B$12:D$93,3,FALSE)</f>
        <v>C&amp;A PROFESIONALES DE IN
GENIERÍA S.A.S</v>
      </c>
      <c r="C13" s="282" t="str">
        <f>'RESUMEN-M (1)'!E16</f>
        <v>HÁBIL</v>
      </c>
      <c r="D13" s="282">
        <v>477.74</v>
      </c>
      <c r="E13" s="282"/>
      <c r="F13" s="282"/>
      <c r="G13" s="282"/>
      <c r="H13" s="282"/>
      <c r="I13" s="282"/>
      <c r="J13" s="395">
        <f t="shared" si="0"/>
        <v>477.74</v>
      </c>
    </row>
    <row r="14" spans="1:14" ht="24.75" customHeight="1" x14ac:dyDescent="0.25">
      <c r="A14" s="301">
        <v>6</v>
      </c>
      <c r="B14" s="282" t="str">
        <f>VLOOKUP(A14,'RESUMEN-M (1)'!B$12:D$93,3,FALSE)</f>
        <v>CONSORCIO VIAS NRT</v>
      </c>
      <c r="C14" s="282" t="str">
        <f>'RESUMEN-M (1)'!E17</f>
        <v>HÁBIL</v>
      </c>
      <c r="D14" s="282">
        <v>502.98</v>
      </c>
      <c r="E14" s="282"/>
      <c r="F14" s="282"/>
      <c r="G14" s="282"/>
      <c r="H14" s="282"/>
      <c r="I14" s="282"/>
      <c r="J14" s="395">
        <f t="shared" si="0"/>
        <v>502.98</v>
      </c>
    </row>
    <row r="15" spans="1:14" ht="24.75" customHeight="1" x14ac:dyDescent="0.25">
      <c r="A15" s="301">
        <v>7</v>
      </c>
      <c r="B15" s="282" t="str">
        <f>VLOOKUP(A15,'RESUMEN-M (1)'!B$12:D$93,3,FALSE)</f>
        <v>INTERSA S.A.</v>
      </c>
      <c r="C15" s="282" t="str">
        <f>'RESUMEN-M (1)'!E18</f>
        <v>HÁBIL</v>
      </c>
      <c r="D15" s="282">
        <v>444.85</v>
      </c>
      <c r="E15" s="282">
        <v>185.76</v>
      </c>
      <c r="F15" s="282">
        <v>590.42999999999995</v>
      </c>
      <c r="G15" s="282"/>
      <c r="H15" s="282"/>
      <c r="I15" s="282"/>
      <c r="J15" s="395">
        <f t="shared" si="0"/>
        <v>407.01333333333332</v>
      </c>
    </row>
    <row r="16" spans="1:14" ht="24.75" customHeight="1" x14ac:dyDescent="0.25">
      <c r="A16" s="301">
        <v>8</v>
      </c>
      <c r="B16" s="282" t="str">
        <f>VLOOKUP(A16,'RESUMEN-M (1)'!B$12:D$93,3,FALSE)</f>
        <v>PROESING</v>
      </c>
      <c r="C16" s="282" t="str">
        <f>'RESUMEN-M (1)'!E19</f>
        <v>HÁBIL</v>
      </c>
      <c r="D16" s="282">
        <v>203.37</v>
      </c>
      <c r="E16" s="282"/>
      <c r="F16" s="282"/>
      <c r="G16" s="282"/>
      <c r="H16" s="282"/>
      <c r="I16" s="282"/>
      <c r="J16" s="395">
        <f>IF(C16="HÁBIL",AVERAGE(D16:I16),C16)</f>
        <v>203.37</v>
      </c>
    </row>
    <row r="17" spans="1:10" ht="24.75" customHeight="1" x14ac:dyDescent="0.25">
      <c r="A17" s="301">
        <v>9</v>
      </c>
      <c r="B17" s="282" t="str">
        <f>VLOOKUP(A17,'RESUMEN-M (1)'!B$12:D$93,3,FALSE)</f>
        <v>INTERVAL2</v>
      </c>
      <c r="C17" s="282" t="str">
        <f>'RESUMEN-M (1)'!E20</f>
        <v>HÁBIL</v>
      </c>
      <c r="D17" s="282">
        <v>536.51</v>
      </c>
      <c r="E17" s="282">
        <v>445.14</v>
      </c>
      <c r="F17" s="282">
        <v>589.5</v>
      </c>
      <c r="G17" s="282"/>
      <c r="H17" s="282"/>
      <c r="I17" s="282"/>
      <c r="J17" s="395">
        <f t="shared" ref="J17:J80" si="1">IF(C17="HÁBIL",AVERAGE(D17:I17),C17)</f>
        <v>523.7166666666667</v>
      </c>
    </row>
    <row r="18" spans="1:10" ht="24.75" customHeight="1" x14ac:dyDescent="0.25">
      <c r="A18" s="301">
        <v>10</v>
      </c>
      <c r="B18" s="282" t="str">
        <f>VLOOKUP(A18,'RESUMEN-M (1)'!B$12:D$93,3,FALSE)</f>
        <v>CONINTER JMJ SAS</v>
      </c>
      <c r="C18" s="282" t="str">
        <f>'RESUMEN-M (1)'!E21</f>
        <v>HÁBIL</v>
      </c>
      <c r="D18" s="282">
        <v>645.1</v>
      </c>
      <c r="E18" s="282"/>
      <c r="F18" s="282"/>
      <c r="G18" s="282"/>
      <c r="H18" s="282"/>
      <c r="I18" s="282"/>
      <c r="J18" s="395">
        <f t="shared" si="1"/>
        <v>645.1</v>
      </c>
    </row>
    <row r="19" spans="1:10" ht="24.75" customHeight="1" x14ac:dyDescent="0.25">
      <c r="A19" s="301">
        <v>11</v>
      </c>
      <c r="B19" s="282" t="str">
        <f>VLOOKUP(A19,'RESUMEN-M (1)'!B$12:D$93,3,FALSE)</f>
        <v>CONSORCIO METRO CINCO</v>
      </c>
      <c r="C19" s="282" t="str">
        <f>'RESUMEN-M (1)'!E22</f>
        <v>HÁBIL</v>
      </c>
      <c r="D19" s="282">
        <v>7351.85</v>
      </c>
      <c r="E19" s="282">
        <v>2177.35</v>
      </c>
      <c r="F19" s="282">
        <v>328.65</v>
      </c>
      <c r="G19" s="282"/>
      <c r="H19" s="282"/>
      <c r="I19" s="282"/>
      <c r="J19" s="395">
        <f t="shared" si="1"/>
        <v>3285.9500000000003</v>
      </c>
    </row>
    <row r="20" spans="1:10" ht="24.75" customHeight="1" x14ac:dyDescent="0.25">
      <c r="A20" s="301">
        <v>12</v>
      </c>
      <c r="B20" s="282" t="str">
        <f>VLOOKUP(A20,'RESUMEN-M (1)'!B$12:D$93,3,FALSE)</f>
        <v>Consorcio INTERING</v>
      </c>
      <c r="C20" s="282" t="str">
        <f>'RESUMEN-M (1)'!E23</f>
        <v>HÁBIL</v>
      </c>
      <c r="D20" s="282">
        <v>2198.7399999999998</v>
      </c>
      <c r="E20" s="282"/>
      <c r="F20" s="282"/>
      <c r="G20" s="282"/>
      <c r="H20" s="282"/>
      <c r="I20" s="282"/>
      <c r="J20" s="395">
        <f t="shared" si="1"/>
        <v>2198.7399999999998</v>
      </c>
    </row>
    <row r="21" spans="1:10" ht="24.75" customHeight="1" x14ac:dyDescent="0.25">
      <c r="A21" s="301">
        <v>13</v>
      </c>
      <c r="B21" s="282" t="str">
        <f>VLOOKUP(A21,'RESUMEN-M (1)'!B$12:D$93,3,FALSE)</f>
        <v>CONSORCIO INFRAESTRUCT
URA CAUCA</v>
      </c>
      <c r="C21" s="282" t="str">
        <f>'RESUMEN-M (1)'!E24</f>
        <v>RECHAZADO</v>
      </c>
      <c r="D21" s="282">
        <v>496.11</v>
      </c>
      <c r="E21" s="282"/>
      <c r="F21" s="282"/>
      <c r="G21" s="282"/>
      <c r="H21" s="282"/>
      <c r="I21" s="282"/>
      <c r="J21" s="395" t="str">
        <f t="shared" si="1"/>
        <v>RECHAZADO</v>
      </c>
    </row>
    <row r="22" spans="1:10" ht="24.75" customHeight="1" x14ac:dyDescent="0.25">
      <c r="A22" s="301">
        <v>14</v>
      </c>
      <c r="B22" s="282" t="str">
        <f>VLOOKUP(A22,'RESUMEN-M (1)'!B$12:D$93,3,FALSE)</f>
        <v>CONSORCIO HUPK VIAS MAG
DALENA</v>
      </c>
      <c r="C22" s="282" t="str">
        <f>'RESUMEN-M (1)'!E25</f>
        <v>HÁBIL</v>
      </c>
      <c r="D22" s="282">
        <v>479.08</v>
      </c>
      <c r="E22" s="282">
        <v>95.97</v>
      </c>
      <c r="F22" s="282"/>
      <c r="G22" s="282"/>
      <c r="H22" s="282"/>
      <c r="I22" s="282"/>
      <c r="J22" s="395">
        <f t="shared" si="1"/>
        <v>287.52499999999998</v>
      </c>
    </row>
    <row r="23" spans="1:10" ht="24.75" customHeight="1" x14ac:dyDescent="0.25">
      <c r="A23" s="301">
        <v>15</v>
      </c>
      <c r="B23" s="282" t="str">
        <f>VLOOKUP(A23,'RESUMEN-M (1)'!B$12:D$93,3,FALSE)</f>
        <v>CONSORCIO INTER VIAL G&amp;
G</v>
      </c>
      <c r="C23" s="282" t="str">
        <f>'RESUMEN-M (1)'!E26</f>
        <v>HÁBIL</v>
      </c>
      <c r="D23" s="282">
        <v>301.505</v>
      </c>
      <c r="E23" s="282">
        <v>841.33</v>
      </c>
      <c r="F23" s="282">
        <v>155.57</v>
      </c>
      <c r="G23" s="282"/>
      <c r="H23" s="282"/>
      <c r="I23" s="282"/>
      <c r="J23" s="395">
        <f t="shared" si="1"/>
        <v>432.80166666666668</v>
      </c>
    </row>
    <row r="24" spans="1:10" ht="24.75" customHeight="1" x14ac:dyDescent="0.25">
      <c r="A24" s="301">
        <v>16</v>
      </c>
      <c r="B24" s="282" t="str">
        <f>VLOOKUP(A24,'RESUMEN-M (1)'!B$12:D$93,3,FALSE)</f>
        <v>IC INGENIO CIVIL</v>
      </c>
      <c r="C24" s="282" t="str">
        <f>'RESUMEN-M (1)'!E27</f>
        <v>HÁBIL</v>
      </c>
      <c r="D24" s="282">
        <v>321.03500000000003</v>
      </c>
      <c r="E24" s="282">
        <v>237.96</v>
      </c>
      <c r="F24" s="282"/>
      <c r="G24" s="282"/>
      <c r="H24" s="282"/>
      <c r="I24" s="282"/>
      <c r="J24" s="395">
        <f t="shared" si="1"/>
        <v>279.4975</v>
      </c>
    </row>
    <row r="25" spans="1:10" ht="24.75" customHeight="1" x14ac:dyDescent="0.25">
      <c r="A25" s="301">
        <v>17</v>
      </c>
      <c r="B25" s="282" t="str">
        <f>VLOOKUP(A25,'RESUMEN-M (1)'!B$12:D$93,3,FALSE)</f>
        <v>MORAM CONSULTORIA SAS</v>
      </c>
      <c r="C25" s="282" t="str">
        <f>'RESUMEN-M (1)'!E28</f>
        <v>HÁBIL</v>
      </c>
      <c r="D25" s="282">
        <v>352.95499999999998</v>
      </c>
      <c r="E25" s="282"/>
      <c r="F25" s="282"/>
      <c r="G25" s="282"/>
      <c r="H25" s="282"/>
      <c r="I25" s="282"/>
      <c r="J25" s="395">
        <f t="shared" si="1"/>
        <v>352.95499999999998</v>
      </c>
    </row>
    <row r="26" spans="1:10" ht="24.75" customHeight="1" x14ac:dyDescent="0.25">
      <c r="A26" s="301">
        <v>18</v>
      </c>
      <c r="B26" s="282" t="str">
        <f>VLOOKUP(A26,'RESUMEN-M (1)'!B$12:D$93,3,FALSE)</f>
        <v>VELNEC S.A.</v>
      </c>
      <c r="C26" s="282" t="str">
        <f>'RESUMEN-M (1)'!E29</f>
        <v>HÁBIL</v>
      </c>
      <c r="D26" s="282">
        <v>1119.75</v>
      </c>
      <c r="E26" s="282"/>
      <c r="F26" s="282"/>
      <c r="G26" s="282"/>
      <c r="H26" s="282"/>
      <c r="I26" s="282"/>
      <c r="J26" s="395">
        <f t="shared" si="1"/>
        <v>1119.75</v>
      </c>
    </row>
    <row r="27" spans="1:10" ht="24.75" customHeight="1" x14ac:dyDescent="0.25">
      <c r="A27" s="301">
        <v>19</v>
      </c>
      <c r="B27" s="282" t="str">
        <f>VLOOKUP(A27,'RESUMEN-M (1)'!B$12:D$93,3,FALSE)</f>
        <v>CONSULTORES SOLANO NA
VAS LTDA</v>
      </c>
      <c r="C27" s="282" t="str">
        <f>'RESUMEN-M (1)'!E30</f>
        <v>HÁBIL</v>
      </c>
      <c r="D27" s="282">
        <v>853.66499999999996</v>
      </c>
      <c r="E27" s="282">
        <v>490.86</v>
      </c>
      <c r="F27" s="282">
        <v>255.32300000000001</v>
      </c>
      <c r="G27" s="282"/>
      <c r="H27" s="282"/>
      <c r="I27" s="282"/>
      <c r="J27" s="395">
        <f t="shared" si="1"/>
        <v>533.28266666666673</v>
      </c>
    </row>
    <row r="28" spans="1:10" ht="24.75" customHeight="1" x14ac:dyDescent="0.25">
      <c r="A28" s="301">
        <v>20</v>
      </c>
      <c r="B28" s="282" t="str">
        <f>VLOOKUP(A28,'RESUMEN-M (1)'!B$12:D$93,3,FALSE)</f>
        <v>MAVECA INGENIERIA S.A.S</v>
      </c>
      <c r="C28" s="282" t="str">
        <f>'RESUMEN-M (1)'!E31</f>
        <v>HÁBIL</v>
      </c>
      <c r="D28" s="282">
        <v>58.41</v>
      </c>
      <c r="E28" s="282">
        <v>452.21</v>
      </c>
      <c r="F28" s="282">
        <v>511.01</v>
      </c>
      <c r="G28" s="282">
        <v>26.32</v>
      </c>
      <c r="H28" s="282">
        <v>1906.71</v>
      </c>
      <c r="I28" s="282"/>
      <c r="J28" s="395">
        <f>IF(C28="HÁBIL",AVERAGE(D28:I28),C28)</f>
        <v>590.93200000000002</v>
      </c>
    </row>
    <row r="29" spans="1:10" ht="24.75" customHeight="1" x14ac:dyDescent="0.25">
      <c r="A29" s="301">
        <v>21</v>
      </c>
      <c r="B29" s="282" t="str">
        <f>VLOOKUP(A29,'RESUMEN-M (1)'!B$12:D$93,3,FALSE)</f>
        <v>CONSORCIO SF 2023</v>
      </c>
      <c r="C29" s="282" t="str">
        <f>'RESUMEN-M (1)'!E32</f>
        <v>HÁBIL</v>
      </c>
      <c r="D29" s="282">
        <v>446.07</v>
      </c>
      <c r="E29" s="282"/>
      <c r="F29" s="282"/>
      <c r="G29" s="282"/>
      <c r="H29" s="282"/>
      <c r="I29" s="282"/>
      <c r="J29" s="395">
        <f t="shared" si="1"/>
        <v>446.07</v>
      </c>
    </row>
    <row r="30" spans="1:10" ht="24.75" customHeight="1" x14ac:dyDescent="0.25">
      <c r="A30" s="301">
        <v>22</v>
      </c>
      <c r="B30" s="282" t="str">
        <f>VLOOKUP(A30,'RESUMEN-M (1)'!B$12:D$93,3,FALSE)</f>
        <v xml:space="preserve">ALMA INTERVENTORÍA &amp; CONSULTORÍA S.A.S.
</v>
      </c>
      <c r="C30" s="282" t="str">
        <f>'RESUMEN-M (1)'!E33</f>
        <v>HÁBIL</v>
      </c>
      <c r="D30" s="282">
        <v>1277.76</v>
      </c>
      <c r="E30" s="282"/>
      <c r="F30" s="282"/>
      <c r="G30" s="282"/>
      <c r="H30" s="282"/>
      <c r="I30" s="282"/>
      <c r="J30" s="395">
        <f t="shared" si="1"/>
        <v>1277.76</v>
      </c>
    </row>
    <row r="31" spans="1:10" ht="24.75" customHeight="1" x14ac:dyDescent="0.25">
      <c r="A31" s="301">
        <v>23</v>
      </c>
      <c r="B31" s="282" t="str">
        <f>VLOOKUP(A31,'RESUMEN-M (1)'!B$12:D$93,3,FALSE)</f>
        <v xml:space="preserve">JMELO INGENIERÍA DE PROYECTOS S.A.S.
</v>
      </c>
      <c r="C31" s="282" t="str">
        <f>'RESUMEN-M (1)'!E34</f>
        <v>HÁBIL</v>
      </c>
      <c r="D31" s="282">
        <v>319.88</v>
      </c>
      <c r="E31" s="282">
        <v>331.69</v>
      </c>
      <c r="F31" s="282"/>
      <c r="G31" s="282"/>
      <c r="H31" s="282"/>
      <c r="I31" s="282"/>
      <c r="J31" s="395">
        <f t="shared" si="1"/>
        <v>325.78499999999997</v>
      </c>
    </row>
    <row r="32" spans="1:10" ht="24.75" customHeight="1" x14ac:dyDescent="0.25">
      <c r="A32" s="301">
        <v>24</v>
      </c>
      <c r="B32" s="282" t="str">
        <f>VLOOKUP(A32,'RESUMEN-M (1)'!B$12:D$93,3,FALSE)</f>
        <v>SEIING SAS BIC</v>
      </c>
      <c r="C32" s="282" t="str">
        <f>'RESUMEN-M (1)'!E35</f>
        <v>HÁBIL</v>
      </c>
      <c r="D32" s="282">
        <v>368.75</v>
      </c>
      <c r="E32" s="282"/>
      <c r="F32" s="282"/>
      <c r="G32" s="282"/>
      <c r="H32" s="282"/>
      <c r="I32" s="282"/>
      <c r="J32" s="395">
        <f t="shared" si="1"/>
        <v>368.75</v>
      </c>
    </row>
    <row r="33" spans="1:10" ht="24.75" customHeight="1" x14ac:dyDescent="0.25">
      <c r="A33" s="301">
        <v>25</v>
      </c>
      <c r="B33" s="282" t="str">
        <f>VLOOKUP(A33,'RESUMEN-M (1)'!B$12:D$93,3,FALSE)</f>
        <v>JET INGENIERIA SAS</v>
      </c>
      <c r="C33" s="282" t="str">
        <f>'RESUMEN-M (1)'!E36</f>
        <v>HÁBIL</v>
      </c>
      <c r="D33" s="282">
        <v>130.66</v>
      </c>
      <c r="E33" s="282">
        <v>257.60000000000002</v>
      </c>
      <c r="F33" s="282">
        <v>645.39</v>
      </c>
      <c r="G33" s="282"/>
      <c r="H33" s="282"/>
      <c r="I33" s="282"/>
      <c r="J33" s="395">
        <f t="shared" si="1"/>
        <v>344.55</v>
      </c>
    </row>
    <row r="34" spans="1:10" ht="24.75" customHeight="1" x14ac:dyDescent="0.25">
      <c r="A34" s="301">
        <v>26</v>
      </c>
      <c r="B34" s="282" t="str">
        <f>VLOOKUP(A34,'RESUMEN-M (1)'!B$12:D$93,3,FALSE)</f>
        <v>EQUILATERO SAS</v>
      </c>
      <c r="C34" s="282" t="str">
        <f>'RESUMEN-M (1)'!E37</f>
        <v>HÁBIL</v>
      </c>
      <c r="D34" s="282">
        <v>817.14</v>
      </c>
      <c r="E34" s="282"/>
      <c r="F34" s="282"/>
      <c r="G34" s="282"/>
      <c r="H34" s="282"/>
      <c r="I34" s="282"/>
      <c r="J34" s="395">
        <f t="shared" si="1"/>
        <v>817.14</v>
      </c>
    </row>
    <row r="35" spans="1:10" ht="24.75" customHeight="1" x14ac:dyDescent="0.25">
      <c r="A35" s="301">
        <v>27</v>
      </c>
      <c r="B35" s="282" t="str">
        <f>VLOOKUP(A35,'RESUMEN-M (1)'!B$12:D$93,3,FALSE)</f>
        <v>CONSORCIO CB-TALATAA</v>
      </c>
      <c r="C35" s="282" t="str">
        <f>'RESUMEN-M (1)'!E38</f>
        <v>HÁBIL</v>
      </c>
      <c r="D35" s="282">
        <v>5.85</v>
      </c>
      <c r="E35" s="282">
        <v>48.73</v>
      </c>
      <c r="F35" s="282">
        <v>75.819999999999993</v>
      </c>
      <c r="G35" s="282">
        <v>2236.7600000000002</v>
      </c>
      <c r="H35" s="282">
        <v>14.68</v>
      </c>
      <c r="I35" s="282"/>
      <c r="J35" s="395">
        <f t="shared" si="1"/>
        <v>476.36800000000005</v>
      </c>
    </row>
    <row r="36" spans="1:10" ht="24.75" customHeight="1" x14ac:dyDescent="0.25">
      <c r="A36" s="301">
        <v>28</v>
      </c>
      <c r="B36" s="282" t="str">
        <f>VLOOKUP(A36,'RESUMEN-M (1)'!B$12:D$93,3,FALSE)</f>
        <v>D&amp;B INGENIEROS CIVILES S.
A.S.</v>
      </c>
      <c r="C36" s="282" t="str">
        <f>'RESUMEN-M (1)'!E39</f>
        <v>HÁBIL</v>
      </c>
      <c r="D36" s="282">
        <v>254.44</v>
      </c>
      <c r="E36" s="282">
        <v>233.98</v>
      </c>
      <c r="F36" s="282"/>
      <c r="G36" s="282"/>
      <c r="H36" s="282"/>
      <c r="I36" s="282"/>
      <c r="J36" s="395">
        <f t="shared" si="1"/>
        <v>244.20999999999998</v>
      </c>
    </row>
    <row r="37" spans="1:10" ht="24.75" customHeight="1" x14ac:dyDescent="0.25">
      <c r="A37" s="301">
        <v>29</v>
      </c>
      <c r="B37" s="282" t="str">
        <f>VLOOKUP(A37,'RESUMEN-M (1)'!B$12:D$93,3,FALSE)</f>
        <v>CONSORCIO OJB</v>
      </c>
      <c r="C37" s="282" t="str">
        <f>'RESUMEN-M (1)'!E40</f>
        <v>HÁBIL</v>
      </c>
      <c r="D37" s="282">
        <v>1475.52</v>
      </c>
      <c r="E37" s="282">
        <v>50.44</v>
      </c>
      <c r="F37" s="282">
        <v>171.6925</v>
      </c>
      <c r="G37" s="282"/>
      <c r="H37" s="282"/>
      <c r="I37" s="282"/>
      <c r="J37" s="395">
        <f>IF(C37="HÁBIL",AVERAGE(D37:F37),F37)</f>
        <v>565.88416666666672</v>
      </c>
    </row>
    <row r="38" spans="1:10" ht="24.75" customHeight="1" x14ac:dyDescent="0.25">
      <c r="A38" s="301">
        <v>30</v>
      </c>
      <c r="B38" s="282" t="str">
        <f>VLOOKUP(A38,'RESUMEN-M (1)'!B$12:D$93,3,FALSE)</f>
        <v>PROYECTISTAS DE COLOMB
IA &amp; CIA SAS</v>
      </c>
      <c r="C38" s="282" t="str">
        <f>'RESUMEN-M (1)'!E41</f>
        <v>HÁBIL</v>
      </c>
      <c r="D38" s="282">
        <v>459.09</v>
      </c>
      <c r="E38" s="282"/>
      <c r="F38" s="282"/>
      <c r="G38" s="282"/>
      <c r="H38" s="282"/>
      <c r="I38" s="282"/>
      <c r="J38" s="395">
        <f t="shared" si="1"/>
        <v>459.09</v>
      </c>
    </row>
    <row r="39" spans="1:10" ht="24.75" customHeight="1" x14ac:dyDescent="0.25">
      <c r="A39" s="301">
        <v>31</v>
      </c>
      <c r="B39" s="282" t="str">
        <f>VLOOKUP(A39,'RESUMEN-M (1)'!B$12:D$93,3,FALSE)</f>
        <v>CONSORCIO AESA-BALER</v>
      </c>
      <c r="C39" s="282" t="str">
        <f>'RESUMEN-M (1)'!E42</f>
        <v>HÁBIL</v>
      </c>
      <c r="D39" s="282">
        <v>1647.47</v>
      </c>
      <c r="E39" s="282">
        <v>859</v>
      </c>
      <c r="F39" s="282">
        <v>43.52</v>
      </c>
      <c r="G39" s="282"/>
      <c r="H39" s="282"/>
      <c r="I39" s="282"/>
      <c r="J39" s="395">
        <f t="shared" si="1"/>
        <v>849.99666666666678</v>
      </c>
    </row>
    <row r="40" spans="1:10" ht="24.75" customHeight="1" x14ac:dyDescent="0.25">
      <c r="A40" s="301">
        <v>32</v>
      </c>
      <c r="B40" s="282" t="str">
        <f>VLOOKUP(A40,'RESUMEN-M (1)'!B$12:D$93,3,FALSE)</f>
        <v>CONSORCIO INTERVIAL GM</v>
      </c>
      <c r="C40" s="282" t="str">
        <f>'RESUMEN-M (1)'!E43</f>
        <v>HÁBIL</v>
      </c>
      <c r="D40" s="282">
        <v>1249.75</v>
      </c>
      <c r="E40" s="282"/>
      <c r="F40" s="282"/>
      <c r="G40" s="282"/>
      <c r="H40" s="282"/>
      <c r="I40" s="282"/>
      <c r="J40" s="395">
        <f>IF(C40="HÁBIL",AVERAGE(D40:I40),C40)</f>
        <v>1249.75</v>
      </c>
    </row>
    <row r="41" spans="1:10" ht="24.75" customHeight="1" x14ac:dyDescent="0.25">
      <c r="A41" s="301">
        <v>33</v>
      </c>
      <c r="B41" s="282" t="str">
        <f>VLOOKUP(A41,'RESUMEN-M (1)'!B$12:D$93,3,FALSE)</f>
        <v>G&amp;C</v>
      </c>
      <c r="C41" s="282" t="str">
        <f>'RESUMEN-M (1)'!E44</f>
        <v>HÁBIL</v>
      </c>
      <c r="D41" s="282">
        <v>720.59</v>
      </c>
      <c r="E41" s="282"/>
      <c r="F41" s="282"/>
      <c r="G41" s="282"/>
      <c r="H41" s="282"/>
      <c r="I41" s="282"/>
      <c r="J41" s="395">
        <f t="shared" si="1"/>
        <v>720.59</v>
      </c>
    </row>
    <row r="42" spans="1:10" ht="24.75" customHeight="1" x14ac:dyDescent="0.25">
      <c r="A42" s="301">
        <v>34</v>
      </c>
      <c r="B42" s="282" t="str">
        <f>VLOOKUP(A42,'RESUMEN-M (1)'!B$12:D$93,3,FALSE)</f>
        <v>CONSORCIO GC</v>
      </c>
      <c r="C42" s="282" t="str">
        <f>'RESUMEN-M (1)'!E45</f>
        <v>HÁBIL</v>
      </c>
      <c r="D42" s="282">
        <v>238.08</v>
      </c>
      <c r="E42" s="282"/>
      <c r="F42" s="282"/>
      <c r="G42" s="282"/>
      <c r="H42" s="282"/>
      <c r="I42" s="282"/>
      <c r="J42" s="395">
        <f t="shared" si="1"/>
        <v>238.08</v>
      </c>
    </row>
    <row r="43" spans="1:10" ht="24.75" customHeight="1" x14ac:dyDescent="0.25">
      <c r="A43" s="301">
        <v>35</v>
      </c>
      <c r="B43" s="282" t="str">
        <f>VLOOKUP(A43,'RESUMEN-M (1)'!B$12:D$93,3,FALSE)</f>
        <v>CONSORCIO CABAC-AZIMUT</v>
      </c>
      <c r="C43" s="282" t="str">
        <f>'RESUMEN-M (1)'!E46</f>
        <v>HÁBIL</v>
      </c>
      <c r="D43" s="282">
        <v>529.21</v>
      </c>
      <c r="E43" s="282"/>
      <c r="F43" s="282"/>
      <c r="G43" s="282"/>
      <c r="H43" s="282"/>
      <c r="I43" s="282"/>
      <c r="J43" s="395">
        <f t="shared" si="1"/>
        <v>529.21</v>
      </c>
    </row>
    <row r="44" spans="1:10" ht="24.75" customHeight="1" x14ac:dyDescent="0.25">
      <c r="A44" s="301">
        <v>36</v>
      </c>
      <c r="B44" s="282" t="str">
        <f>VLOOKUP(A44,'RESUMEN-M (1)'!B$12:D$93,3,FALSE)</f>
        <v>ARQUICIVILES CONSTRUCTO
RA SAS</v>
      </c>
      <c r="C44" s="282" t="str">
        <f>'RESUMEN-M (1)'!E47</f>
        <v>HÁBIL</v>
      </c>
      <c r="D44" s="282">
        <v>380.38</v>
      </c>
      <c r="E44" s="282"/>
      <c r="F44" s="282"/>
      <c r="G44" s="282"/>
      <c r="H44" s="282"/>
      <c r="I44" s="282"/>
      <c r="J44" s="395">
        <f t="shared" si="1"/>
        <v>380.38</v>
      </c>
    </row>
    <row r="45" spans="1:10" ht="24.75" customHeight="1" x14ac:dyDescent="0.25">
      <c r="A45" s="301">
        <v>37</v>
      </c>
      <c r="B45" s="282" t="str">
        <f>VLOOKUP(A45,'RESUMEN-M (1)'!B$12:D$93,3,FALSE)</f>
        <v>VERTICE INTERVENTORIA D
E PROYECTOS SAS</v>
      </c>
      <c r="C45" s="282" t="str">
        <f>'RESUMEN-M (1)'!E48</f>
        <v>HÁBIL</v>
      </c>
      <c r="D45" s="282">
        <v>403.36</v>
      </c>
      <c r="E45" s="282"/>
      <c r="F45" s="282"/>
      <c r="G45" s="282"/>
      <c r="H45" s="282"/>
      <c r="I45" s="282"/>
      <c r="J45" s="395">
        <f t="shared" si="1"/>
        <v>403.36</v>
      </c>
    </row>
    <row r="46" spans="1:10" ht="24.75" customHeight="1" x14ac:dyDescent="0.25">
      <c r="A46" s="301">
        <v>38</v>
      </c>
      <c r="B46" s="282" t="str">
        <f>VLOOKUP(A46,'RESUMEN-M (1)'!B$12:D$93,3,FALSE)</f>
        <v>CONSORCIO INTERVENTORE
S AC</v>
      </c>
      <c r="C46" s="282" t="str">
        <f>'RESUMEN-M (1)'!E49</f>
        <v>HÁBIL</v>
      </c>
      <c r="D46" s="282">
        <v>302.63</v>
      </c>
      <c r="E46" s="282">
        <v>752.36</v>
      </c>
      <c r="F46" s="282"/>
      <c r="G46" s="282"/>
      <c r="H46" s="282"/>
      <c r="I46" s="282"/>
      <c r="J46" s="395">
        <f t="shared" si="1"/>
        <v>527.495</v>
      </c>
    </row>
    <row r="47" spans="1:10" ht="24.75" customHeight="1" x14ac:dyDescent="0.25">
      <c r="A47" s="301">
        <v>39</v>
      </c>
      <c r="B47" s="282" t="str">
        <f>VLOOKUP(A47,'RESUMEN-M (1)'!B$12:D$93,3,FALSE)</f>
        <v>CONSORCIO RED VIAL HUILA</v>
      </c>
      <c r="C47" s="282" t="str">
        <f>'RESUMEN-M (1)'!E50</f>
        <v>HÁBIL</v>
      </c>
      <c r="D47" s="282">
        <v>609.59</v>
      </c>
      <c r="E47" s="282">
        <v>183.09</v>
      </c>
      <c r="F47" s="282">
        <v>909.08</v>
      </c>
      <c r="G47" s="282"/>
      <c r="H47" s="282"/>
      <c r="I47" s="282"/>
      <c r="J47" s="395">
        <f t="shared" si="1"/>
        <v>567.25333333333344</v>
      </c>
    </row>
    <row r="48" spans="1:10" ht="24.75" customHeight="1" x14ac:dyDescent="0.25">
      <c r="A48" s="301">
        <v>40</v>
      </c>
      <c r="B48" s="282" t="str">
        <f>VLOOKUP(A48,'RESUMEN-M (1)'!B$12:D$93,3,FALSE)</f>
        <v>CONSORCIO SAMUEL 2024</v>
      </c>
      <c r="C48" s="282" t="str">
        <f>'RESUMEN-M (1)'!E51</f>
        <v>HÁBIL</v>
      </c>
      <c r="D48" s="282">
        <v>1076.78</v>
      </c>
      <c r="E48" s="282"/>
      <c r="F48" s="282"/>
      <c r="G48" s="282"/>
      <c r="H48" s="282"/>
      <c r="I48" s="282"/>
      <c r="J48" s="395">
        <f t="shared" si="1"/>
        <v>1076.78</v>
      </c>
    </row>
    <row r="49" spans="1:10" ht="24.75" customHeight="1" x14ac:dyDescent="0.25">
      <c r="A49" s="301">
        <v>41</v>
      </c>
      <c r="B49" s="282" t="str">
        <f>VLOOKUP(A49,'RESUMEN-M (1)'!B$12:D$93,3,FALSE)</f>
        <v>CONSORCIO NOGAC</v>
      </c>
      <c r="C49" s="282" t="str">
        <f>'RESUMEN-M (1)'!E52</f>
        <v>HÁBIL</v>
      </c>
      <c r="D49" s="282">
        <v>426.14</v>
      </c>
      <c r="E49" s="282"/>
      <c r="F49" s="282"/>
      <c r="G49" s="282"/>
      <c r="H49" s="282"/>
      <c r="I49" s="282"/>
      <c r="J49" s="395">
        <f t="shared" si="1"/>
        <v>426.14</v>
      </c>
    </row>
    <row r="50" spans="1:10" ht="24.75" customHeight="1" x14ac:dyDescent="0.25">
      <c r="A50" s="301">
        <v>42</v>
      </c>
      <c r="B50" s="282" t="str">
        <f>VLOOKUP(A50,'RESUMEN-M (1)'!B$12:D$93,3,FALSE)</f>
        <v>HR ING SAS</v>
      </c>
      <c r="C50" s="282" t="str">
        <f>'RESUMEN-M (1)'!E53</f>
        <v>HÁBIL</v>
      </c>
      <c r="D50" s="282">
        <v>412.72</v>
      </c>
      <c r="E50" s="282"/>
      <c r="F50" s="282"/>
      <c r="G50" s="282"/>
      <c r="H50" s="282"/>
      <c r="I50" s="282"/>
      <c r="J50" s="395">
        <f t="shared" si="1"/>
        <v>412.72</v>
      </c>
    </row>
    <row r="51" spans="1:10" ht="24.75" customHeight="1" x14ac:dyDescent="0.25">
      <c r="A51" s="301">
        <v>43</v>
      </c>
      <c r="B51" s="282" t="str">
        <f>VLOOKUP(A51,'RESUMEN-M (1)'!B$12:D$93,3,FALSE)</f>
        <v>UCPI MAGDALENA</v>
      </c>
      <c r="C51" s="282" t="str">
        <f>'RESUMEN-M (1)'!E54</f>
        <v>HÁBIL</v>
      </c>
      <c r="D51" s="282">
        <v>2242.4</v>
      </c>
      <c r="E51" s="282">
        <v>1666.2539999999999</v>
      </c>
      <c r="F51" s="282">
        <v>562.94100000000003</v>
      </c>
      <c r="G51" s="282"/>
      <c r="H51" s="282"/>
      <c r="I51" s="282"/>
      <c r="J51" s="395">
        <f t="shared" si="1"/>
        <v>1490.5316666666668</v>
      </c>
    </row>
    <row r="52" spans="1:10" ht="24.75" customHeight="1" x14ac:dyDescent="0.25">
      <c r="A52" s="301">
        <v>44</v>
      </c>
      <c r="B52" s="282" t="str">
        <f>VLOOKUP(A52,'RESUMEN-M (1)'!B$12:D$93,3,FALSE)</f>
        <v>VIGAVI ZOMAC S.A.S</v>
      </c>
      <c r="C52" s="282" t="str">
        <f>'RESUMEN-M (1)'!E55</f>
        <v>HÁBIL</v>
      </c>
      <c r="D52" s="282">
        <v>418.56</v>
      </c>
      <c r="E52" s="282"/>
      <c r="F52" s="282"/>
      <c r="G52" s="282"/>
      <c r="H52" s="282"/>
      <c r="I52" s="282"/>
      <c r="J52" s="395">
        <f t="shared" si="1"/>
        <v>418.56</v>
      </c>
    </row>
    <row r="53" spans="1:10" ht="24.75" customHeight="1" x14ac:dyDescent="0.25">
      <c r="A53" s="301">
        <v>45</v>
      </c>
      <c r="B53" s="282" t="str">
        <f>VLOOKUP(A53,'RESUMEN-M (1)'!B$12:D$93,3,FALSE)</f>
        <v>CONSTRUCTORA VISAA S.A.
S.</v>
      </c>
      <c r="C53" s="282" t="str">
        <f>'RESUMEN-M (1)'!E56</f>
        <v>HÁBIL</v>
      </c>
      <c r="D53" s="282">
        <v>83.11</v>
      </c>
      <c r="E53" s="282">
        <v>16.91</v>
      </c>
      <c r="F53" s="282">
        <v>34.418999999999997</v>
      </c>
      <c r="G53" s="282">
        <v>189.45500000000001</v>
      </c>
      <c r="H53" s="282"/>
      <c r="I53" s="282"/>
      <c r="J53" s="395">
        <f t="shared" si="1"/>
        <v>80.973500000000001</v>
      </c>
    </row>
    <row r="54" spans="1:10" ht="24.75" customHeight="1" x14ac:dyDescent="0.25">
      <c r="A54" s="301">
        <v>46</v>
      </c>
      <c r="B54" s="282" t="str">
        <f>VLOOKUP(A54,'RESUMEN-M (1)'!B$12:D$93,3,FALSE)</f>
        <v>CONSORCIO INTERVIAS A.S.
A.</v>
      </c>
      <c r="C54" s="282" t="str">
        <f>'RESUMEN-M (1)'!E57</f>
        <v>HÁBIL</v>
      </c>
      <c r="D54" s="282">
        <v>842.072</v>
      </c>
      <c r="E54" s="282">
        <v>654.024</v>
      </c>
      <c r="F54" s="282"/>
      <c r="G54" s="282"/>
      <c r="H54" s="282"/>
      <c r="I54" s="282"/>
      <c r="J54" s="395">
        <f t="shared" si="1"/>
        <v>748.048</v>
      </c>
    </row>
    <row r="55" spans="1:10" ht="24.75" customHeight="1" x14ac:dyDescent="0.25">
      <c r="A55" s="301">
        <v>47</v>
      </c>
      <c r="B55" s="282" t="str">
        <f>VLOOKUP(A55,'RESUMEN-M (1)'!B$12:D$93,3,FALSE)</f>
        <v>LEMOINE RIVERA INGENIEROS ASOCIADOS SAS</v>
      </c>
      <c r="C55" s="282" t="str">
        <f>'RESUMEN-M (1)'!E58</f>
        <v>HÁBIL</v>
      </c>
      <c r="D55" s="282">
        <v>438.17070000000001</v>
      </c>
      <c r="E55" s="282"/>
      <c r="F55" s="282"/>
      <c r="G55" s="282"/>
      <c r="H55" s="282"/>
      <c r="I55" s="282"/>
      <c r="J55" s="395">
        <f t="shared" si="1"/>
        <v>438.17070000000001</v>
      </c>
    </row>
    <row r="56" spans="1:10" ht="24.75" customHeight="1" x14ac:dyDescent="0.25">
      <c r="A56" s="301">
        <v>48</v>
      </c>
      <c r="B56" s="282" t="str">
        <f>VLOOKUP(A56,'RESUMEN-M (1)'!B$12:D$93,3,FALSE)</f>
        <v>AVGR INGENIERIA S.A.S.</v>
      </c>
      <c r="C56" s="282" t="str">
        <f>'RESUMEN-M (1)'!E59</f>
        <v>HÁBIL</v>
      </c>
      <c r="D56" s="282">
        <v>773.28</v>
      </c>
      <c r="E56" s="282">
        <v>309.32</v>
      </c>
      <c r="F56" s="282"/>
      <c r="G56" s="282"/>
      <c r="H56" s="282"/>
      <c r="I56" s="282"/>
      <c r="J56" s="395">
        <f t="shared" si="1"/>
        <v>541.29999999999995</v>
      </c>
    </row>
    <row r="57" spans="1:10" ht="24.75" customHeight="1" x14ac:dyDescent="0.25">
      <c r="A57" s="318">
        <v>49</v>
      </c>
      <c r="B57" s="305" t="str">
        <f>VLOOKUP(A57,'RESUMEN-M (1)'!B$12:D$93,3,FALSE)</f>
        <v>ICE S.A.S.</v>
      </c>
      <c r="C57" s="305" t="str">
        <f>'RESUMEN-M (1)'!E60</f>
        <v>HÁBIL</v>
      </c>
      <c r="D57" s="282">
        <v>1317.93</v>
      </c>
      <c r="E57" s="282">
        <v>937.41</v>
      </c>
      <c r="F57" s="282">
        <v>1668.38</v>
      </c>
      <c r="G57" s="282">
        <v>182.64</v>
      </c>
      <c r="H57" s="282"/>
      <c r="I57" s="282"/>
      <c r="J57" s="395">
        <f t="shared" si="1"/>
        <v>1026.5900000000001</v>
      </c>
    </row>
    <row r="58" spans="1:10" ht="24.75" customHeight="1" x14ac:dyDescent="0.25">
      <c r="A58" s="301">
        <v>50</v>
      </c>
      <c r="B58" s="282" t="str">
        <f>VLOOKUP(A58,'RESUMEN-M (1)'!B$12:D$93,3,FALSE)</f>
        <v>CONSORCIO INTER JC MAG</v>
      </c>
      <c r="C58" s="282" t="str">
        <f>'RESUMEN-M (1)'!E61</f>
        <v>RECHAZADO</v>
      </c>
      <c r="D58" s="302">
        <v>776.88149999999996</v>
      </c>
      <c r="E58" s="302">
        <v>410.63499999999999</v>
      </c>
      <c r="F58" s="302"/>
      <c r="G58" s="302"/>
      <c r="H58" s="302"/>
      <c r="I58" s="302"/>
      <c r="J58" s="395" t="str">
        <f t="shared" si="1"/>
        <v>RECHAZADO</v>
      </c>
    </row>
    <row r="59" spans="1:10" ht="24.75" customHeight="1" x14ac:dyDescent="0.25">
      <c r="A59" s="301">
        <v>51</v>
      </c>
      <c r="B59" s="282" t="str">
        <f>VLOOKUP(A59,'RESUMEN-M (1)'!B$12:D$93,3,FALSE)</f>
        <v>CONSORCIO VIAL 2023</v>
      </c>
      <c r="C59" s="282" t="str">
        <f>'RESUMEN-M (1)'!E62</f>
        <v>HÁBIL</v>
      </c>
      <c r="D59" s="282">
        <v>1702.17</v>
      </c>
      <c r="E59" s="282"/>
      <c r="F59" s="282"/>
      <c r="G59" s="282"/>
      <c r="H59" s="282"/>
      <c r="I59" s="282"/>
      <c r="J59" s="395">
        <f t="shared" si="1"/>
        <v>1702.17</v>
      </c>
    </row>
    <row r="60" spans="1:10" ht="24.75" customHeight="1" x14ac:dyDescent="0.25">
      <c r="A60" s="301">
        <v>52</v>
      </c>
      <c r="B60" s="282" t="str">
        <f>VLOOKUP(A60,'RESUMEN-M (1)'!B$12:D$93,3,FALSE)</f>
        <v>SAICON SAS</v>
      </c>
      <c r="C60" s="282" t="str">
        <f>'RESUMEN-M (1)'!E63</f>
        <v>HÁBIL</v>
      </c>
      <c r="D60" s="302">
        <v>534.4</v>
      </c>
      <c r="E60" s="302"/>
      <c r="F60" s="302"/>
      <c r="G60" s="302"/>
      <c r="H60" s="302"/>
      <c r="I60" s="302"/>
      <c r="J60" s="395">
        <f t="shared" si="1"/>
        <v>534.4</v>
      </c>
    </row>
    <row r="61" spans="1:10" ht="24.75" customHeight="1" x14ac:dyDescent="0.25">
      <c r="A61" s="301">
        <v>53</v>
      </c>
      <c r="B61" s="282" t="str">
        <f>VLOOKUP(A61,'RESUMEN-M (1)'!B$12:D$93,3,FALSE)</f>
        <v>SOTA LTDA</v>
      </c>
      <c r="C61" s="282" t="str">
        <f>'RESUMEN-M (1)'!E64</f>
        <v>HÁBIL</v>
      </c>
      <c r="D61" s="282">
        <v>856.21</v>
      </c>
      <c r="E61" s="282"/>
      <c r="F61" s="282"/>
      <c r="G61" s="282"/>
      <c r="H61" s="282"/>
      <c r="I61" s="282"/>
      <c r="J61" s="395">
        <f t="shared" si="1"/>
        <v>856.21</v>
      </c>
    </row>
    <row r="62" spans="1:10" ht="24.75" customHeight="1" x14ac:dyDescent="0.25">
      <c r="A62" s="301">
        <v>54</v>
      </c>
      <c r="B62" s="282" t="str">
        <f>VLOOKUP(A62,'RESUMEN-M (1)'!B$12:D$93,3,FALSE)</f>
        <v>JAMES ALBERTO KAMMERER JIMENEZ</v>
      </c>
      <c r="C62" s="282" t="str">
        <f>'RESUMEN-M (1)'!E65</f>
        <v>HÁBIL</v>
      </c>
      <c r="D62" s="302">
        <v>1229.9000000000001</v>
      </c>
      <c r="E62" s="302"/>
      <c r="F62" s="302"/>
      <c r="G62" s="302"/>
      <c r="H62" s="302"/>
      <c r="I62" s="302"/>
      <c r="J62" s="395">
        <f t="shared" si="1"/>
        <v>1229.9000000000001</v>
      </c>
    </row>
    <row r="63" spans="1:10" ht="24.75" customHeight="1" x14ac:dyDescent="0.25">
      <c r="A63" s="301">
        <v>55</v>
      </c>
      <c r="B63" s="282" t="str">
        <f>VLOOKUP(A63,'RESUMEN-M (1)'!B$12:D$93,3,FALSE)</f>
        <v>DBB INGENIERÍA SAS</v>
      </c>
      <c r="C63" s="282" t="str">
        <f>'RESUMEN-M (1)'!E66</f>
        <v>HÁBIL</v>
      </c>
      <c r="D63" s="282">
        <v>631.25</v>
      </c>
      <c r="E63" s="282">
        <v>237.35</v>
      </c>
      <c r="F63" s="282"/>
      <c r="G63" s="282"/>
      <c r="H63" s="282"/>
      <c r="I63" s="282"/>
      <c r="J63" s="395">
        <f t="shared" si="1"/>
        <v>434.3</v>
      </c>
    </row>
    <row r="64" spans="1:10" ht="24.75" customHeight="1" x14ac:dyDescent="0.25">
      <c r="A64" s="301">
        <v>56</v>
      </c>
      <c r="B64" s="282" t="str">
        <f>VLOOKUP(A64,'RESUMEN-M (1)'!B$12:D$93,3,FALSE)</f>
        <v>LITORAL CONSULTING SAS</v>
      </c>
      <c r="C64" s="282" t="str">
        <f>'RESUMEN-M (1)'!E67</f>
        <v>HÁBIL</v>
      </c>
      <c r="D64" s="302">
        <v>837.68</v>
      </c>
      <c r="E64" s="302">
        <v>109.49</v>
      </c>
      <c r="F64" s="302">
        <v>593.9</v>
      </c>
      <c r="G64" s="302">
        <v>161.66</v>
      </c>
      <c r="H64" s="302"/>
      <c r="I64" s="302"/>
      <c r="J64" s="395">
        <f t="shared" si="1"/>
        <v>425.6825</v>
      </c>
    </row>
    <row r="65" spans="1:10" ht="24.75" customHeight="1" x14ac:dyDescent="0.25">
      <c r="A65" s="301">
        <v>57</v>
      </c>
      <c r="B65" s="282" t="str">
        <f>VLOOKUP(A65,'RESUMEN-M (1)'!B$12:D$93,3,FALSE)</f>
        <v>CONSORCIO HGR - INCON</v>
      </c>
      <c r="C65" s="282" t="str">
        <f>'RESUMEN-M (1)'!E68</f>
        <v>HÁBIL</v>
      </c>
      <c r="D65" s="302">
        <v>532.98</v>
      </c>
      <c r="E65" s="302"/>
      <c r="F65" s="302"/>
      <c r="G65" s="302"/>
      <c r="H65" s="302"/>
      <c r="I65" s="302"/>
      <c r="J65" s="395">
        <f t="shared" si="1"/>
        <v>532.98</v>
      </c>
    </row>
    <row r="66" spans="1:10" ht="24.75" customHeight="1" x14ac:dyDescent="0.25">
      <c r="A66" s="301">
        <v>58</v>
      </c>
      <c r="B66" s="282" t="str">
        <f>VLOOKUP(A66,'RESUMEN-M (1)'!B$12:D$93,3,FALSE)</f>
        <v>INGEOCILCON S.A.S.</v>
      </c>
      <c r="C66" s="282" t="str">
        <f>'RESUMEN-M (1)'!E69</f>
        <v>HÁBIL</v>
      </c>
      <c r="D66" s="302">
        <v>553.39</v>
      </c>
      <c r="E66" s="302">
        <v>1948.29</v>
      </c>
      <c r="F66" s="302"/>
      <c r="G66" s="302"/>
      <c r="H66" s="302"/>
      <c r="I66" s="302"/>
      <c r="J66" s="395">
        <f>IF(C66="HÁBIL",AVERAGE(D66:I66),C66)</f>
        <v>1250.8399999999999</v>
      </c>
    </row>
    <row r="67" spans="1:10" ht="24.75" customHeight="1" x14ac:dyDescent="0.25">
      <c r="A67" s="301">
        <v>59</v>
      </c>
      <c r="B67" s="282" t="str">
        <f>VLOOKUP(A67,'RESUMEN-M (1)'!B$12:D$93,3,FALSE)</f>
        <v>CONSORCIO VÍAS PROTEV</v>
      </c>
      <c r="C67" s="282" t="str">
        <f>'RESUMEN-M (1)'!E70</f>
        <v>HÁBIL</v>
      </c>
      <c r="D67" s="302">
        <v>847.77</v>
      </c>
      <c r="E67" s="302">
        <v>88.63</v>
      </c>
      <c r="F67" s="302"/>
      <c r="G67" s="302"/>
      <c r="H67" s="302"/>
      <c r="I67" s="302"/>
      <c r="J67" s="395">
        <f t="shared" si="1"/>
        <v>468.2</v>
      </c>
    </row>
    <row r="68" spans="1:10" ht="24.75" customHeight="1" x14ac:dyDescent="0.25">
      <c r="A68" s="301">
        <v>60</v>
      </c>
      <c r="B68" s="282" t="str">
        <f>VLOOKUP(A68,'RESUMEN-M (1)'!B$12:D$93,3,FALSE)</f>
        <v>GER&amp;PRO S.A.S</v>
      </c>
      <c r="C68" s="282" t="str">
        <f>'RESUMEN-M (1)'!E71</f>
        <v>HÁBIL</v>
      </c>
      <c r="D68" s="302">
        <v>400.94</v>
      </c>
      <c r="E68" s="302"/>
      <c r="F68" s="302"/>
      <c r="G68" s="302"/>
      <c r="H68" s="302"/>
      <c r="I68" s="302"/>
      <c r="J68" s="395">
        <f t="shared" si="1"/>
        <v>400.94</v>
      </c>
    </row>
    <row r="69" spans="1:10" ht="24.75" customHeight="1" x14ac:dyDescent="0.25">
      <c r="A69" s="301">
        <v>61</v>
      </c>
      <c r="B69" s="282" t="str">
        <f>VLOOKUP(A69,'RESUMEN-M (1)'!B$12:D$93,3,FALSE)</f>
        <v>INTEGRAL MAGDALENA 78</v>
      </c>
      <c r="C69" s="282" t="str">
        <f>'RESUMEN-M (1)'!E72</f>
        <v>HÁBIL</v>
      </c>
      <c r="D69" s="302">
        <v>231.09</v>
      </c>
      <c r="E69" s="302"/>
      <c r="F69" s="302"/>
      <c r="G69" s="302"/>
      <c r="H69" s="302"/>
      <c r="I69" s="302"/>
      <c r="J69" s="395">
        <f t="shared" si="1"/>
        <v>231.09</v>
      </c>
    </row>
    <row r="70" spans="1:10" ht="24.75" hidden="1" customHeight="1" x14ac:dyDescent="0.25">
      <c r="A70" s="301">
        <v>84</v>
      </c>
      <c r="B70" s="282">
        <f>VLOOKUP(A70,'RESUMEN-M (1)'!B$12:D$93,3,FALSE)</f>
        <v>0</v>
      </c>
      <c r="C70" s="282">
        <f>'RESUMEN-M (1)'!E73</f>
        <v>0</v>
      </c>
      <c r="D70" s="302"/>
      <c r="E70" s="302"/>
      <c r="F70" s="302"/>
      <c r="G70" s="302"/>
      <c r="H70" s="302"/>
      <c r="I70" s="302"/>
      <c r="J70" s="395">
        <f t="shared" si="1"/>
        <v>0</v>
      </c>
    </row>
    <row r="71" spans="1:10" ht="24.75" hidden="1" customHeight="1" x14ac:dyDescent="0.25">
      <c r="A71" s="301">
        <v>85</v>
      </c>
      <c r="B71" s="282">
        <f>VLOOKUP(A71,'RESUMEN-M (1)'!B$12:D$93,3,FALSE)</f>
        <v>0</v>
      </c>
      <c r="C71" s="282">
        <f>'RESUMEN-M (1)'!E74</f>
        <v>0</v>
      </c>
      <c r="D71" s="282"/>
      <c r="E71" s="282"/>
      <c r="F71" s="282"/>
      <c r="G71" s="282"/>
      <c r="H71" s="282"/>
      <c r="I71" s="282"/>
      <c r="J71" s="395">
        <f t="shared" si="1"/>
        <v>0</v>
      </c>
    </row>
    <row r="72" spans="1:10" ht="24.75" hidden="1" customHeight="1" x14ac:dyDescent="0.25">
      <c r="A72" s="301">
        <v>86</v>
      </c>
      <c r="B72" s="282">
        <f>VLOOKUP(A72,'RESUMEN-M (1)'!B$12:D$93,3,FALSE)</f>
        <v>0</v>
      </c>
      <c r="C72" s="282">
        <f>'RESUMEN-M (1)'!E75</f>
        <v>0</v>
      </c>
      <c r="D72" s="302"/>
      <c r="E72" s="302"/>
      <c r="F72" s="302"/>
      <c r="G72" s="302"/>
      <c r="H72" s="302"/>
      <c r="I72" s="302"/>
      <c r="J72" s="395">
        <f t="shared" si="1"/>
        <v>0</v>
      </c>
    </row>
    <row r="73" spans="1:10" ht="24.75" hidden="1" customHeight="1" x14ac:dyDescent="0.25">
      <c r="A73" s="301">
        <v>87</v>
      </c>
      <c r="B73" s="282">
        <f>VLOOKUP(A73,'RESUMEN-M (1)'!B$12:D$93,3,FALSE)</f>
        <v>0</v>
      </c>
      <c r="C73" s="282">
        <f>'RESUMEN-M (1)'!E76</f>
        <v>0</v>
      </c>
      <c r="D73" s="282"/>
      <c r="E73" s="282"/>
      <c r="F73" s="282"/>
      <c r="G73" s="282"/>
      <c r="H73" s="282"/>
      <c r="I73" s="282"/>
      <c r="J73" s="395">
        <f t="shared" si="1"/>
        <v>0</v>
      </c>
    </row>
    <row r="74" spans="1:10" ht="24.75" hidden="1" customHeight="1" x14ac:dyDescent="0.25">
      <c r="A74" s="301">
        <v>88</v>
      </c>
      <c r="B74" s="282">
        <f>VLOOKUP(A74,'RESUMEN-M (1)'!B$12:D$93,3,FALSE)</f>
        <v>0</v>
      </c>
      <c r="C74" s="282">
        <f>'RESUMEN-M (1)'!E77</f>
        <v>0</v>
      </c>
      <c r="D74" s="302"/>
      <c r="E74" s="302"/>
      <c r="F74" s="302"/>
      <c r="G74" s="302"/>
      <c r="H74" s="302"/>
      <c r="I74" s="302"/>
      <c r="J74" s="395">
        <f t="shared" si="1"/>
        <v>0</v>
      </c>
    </row>
    <row r="75" spans="1:10" ht="24.75" hidden="1" customHeight="1" x14ac:dyDescent="0.25">
      <c r="A75" s="301">
        <v>89</v>
      </c>
      <c r="B75" s="282">
        <f>VLOOKUP(A75,'RESUMEN-M (1)'!B$12:D$93,3,FALSE)</f>
        <v>0</v>
      </c>
      <c r="C75" s="282">
        <f>'RESUMEN-M (1)'!E78</f>
        <v>0</v>
      </c>
      <c r="D75" s="282"/>
      <c r="E75" s="282"/>
      <c r="F75" s="282"/>
      <c r="G75" s="282"/>
      <c r="H75" s="282"/>
      <c r="I75" s="282"/>
      <c r="J75" s="395">
        <f t="shared" si="1"/>
        <v>0</v>
      </c>
    </row>
    <row r="76" spans="1:10" ht="24.75" hidden="1" customHeight="1" x14ac:dyDescent="0.25">
      <c r="A76" s="301">
        <v>90</v>
      </c>
      <c r="B76" s="282">
        <f>VLOOKUP(A76,'RESUMEN-M (1)'!B$12:D$93,3,FALSE)</f>
        <v>0</v>
      </c>
      <c r="C76" s="282">
        <f>'RESUMEN-M (1)'!E79</f>
        <v>0</v>
      </c>
      <c r="D76" s="302"/>
      <c r="E76" s="302"/>
      <c r="F76" s="302"/>
      <c r="G76" s="302"/>
      <c r="H76" s="302"/>
      <c r="I76" s="302"/>
      <c r="J76" s="395">
        <f t="shared" si="1"/>
        <v>0</v>
      </c>
    </row>
    <row r="77" spans="1:10" ht="24.75" hidden="1" customHeight="1" x14ac:dyDescent="0.25">
      <c r="A77" s="301">
        <v>91</v>
      </c>
      <c r="B77" s="282">
        <f>VLOOKUP(A77,'RESUMEN-M (1)'!B$12:D$93,3,FALSE)</f>
        <v>0</v>
      </c>
      <c r="C77" s="282">
        <f>'RESUMEN-M (1)'!E80</f>
        <v>0</v>
      </c>
      <c r="D77" s="282"/>
      <c r="E77" s="282"/>
      <c r="F77" s="282"/>
      <c r="G77" s="282"/>
      <c r="H77" s="282"/>
      <c r="I77" s="282"/>
      <c r="J77" s="395">
        <f t="shared" si="1"/>
        <v>0</v>
      </c>
    </row>
    <row r="78" spans="1:10" ht="24.75" hidden="1" customHeight="1" x14ac:dyDescent="0.25">
      <c r="A78" s="301">
        <v>92</v>
      </c>
      <c r="B78" s="282">
        <f>VLOOKUP(A78,'RESUMEN-M (1)'!B$12:D$93,3,FALSE)</f>
        <v>0</v>
      </c>
      <c r="C78" s="282">
        <f>'RESUMEN-M (1)'!E81</f>
        <v>0</v>
      </c>
      <c r="D78" s="302"/>
      <c r="E78" s="302"/>
      <c r="F78" s="302"/>
      <c r="G78" s="302"/>
      <c r="H78" s="302"/>
      <c r="I78" s="302"/>
      <c r="J78" s="395">
        <f t="shared" si="1"/>
        <v>0</v>
      </c>
    </row>
    <row r="79" spans="1:10" ht="24.75" hidden="1" customHeight="1" x14ac:dyDescent="0.25">
      <c r="A79" s="301">
        <v>93</v>
      </c>
      <c r="B79" s="282" t="e">
        <f>VLOOKUP(A79,'RESUMEN-M (1)'!B$12:D$93,3,FALSE)</f>
        <v>#N/A</v>
      </c>
      <c r="C79" s="282">
        <f>'RESUMEN-M (1)'!E82</f>
        <v>0</v>
      </c>
      <c r="D79" s="282"/>
      <c r="E79" s="282"/>
      <c r="F79" s="282"/>
      <c r="G79" s="282"/>
      <c r="H79" s="282"/>
      <c r="I79" s="282"/>
      <c r="J79" s="395">
        <f t="shared" si="1"/>
        <v>0</v>
      </c>
    </row>
    <row r="80" spans="1:10" ht="24.75" hidden="1" customHeight="1" x14ac:dyDescent="0.25">
      <c r="A80" s="301">
        <v>94</v>
      </c>
      <c r="B80" s="282" t="e">
        <f>VLOOKUP(A80,'RESUMEN-M (1)'!B$12:D$93,3,FALSE)</f>
        <v>#N/A</v>
      </c>
      <c r="C80" s="282">
        <f>'RESUMEN-M (1)'!E83</f>
        <v>0</v>
      </c>
      <c r="D80" s="302"/>
      <c r="E80" s="302"/>
      <c r="F80" s="302"/>
      <c r="G80" s="302"/>
      <c r="H80" s="302"/>
      <c r="I80" s="302"/>
      <c r="J80" s="395">
        <f t="shared" si="1"/>
        <v>0</v>
      </c>
    </row>
    <row r="81" spans="1:10" ht="24.75" hidden="1" customHeight="1" x14ac:dyDescent="0.25">
      <c r="A81" s="301">
        <v>95</v>
      </c>
      <c r="B81" s="282" t="e">
        <f>VLOOKUP(A81,'RESUMEN-M (1)'!B$12:D$93,3,FALSE)</f>
        <v>#N/A</v>
      </c>
      <c r="C81" s="282">
        <f>'RESUMEN-M (1)'!E84</f>
        <v>0</v>
      </c>
      <c r="D81" s="282"/>
      <c r="E81" s="282"/>
      <c r="F81" s="282"/>
      <c r="G81" s="282"/>
      <c r="H81" s="282"/>
      <c r="I81" s="282"/>
      <c r="J81" s="395">
        <f t="shared" ref="J81:J90" si="2">IF(C81="HÁBIL",AVERAGE(D81:I81),C81)</f>
        <v>0</v>
      </c>
    </row>
    <row r="82" spans="1:10" ht="24.75" hidden="1" customHeight="1" x14ac:dyDescent="0.25">
      <c r="A82" s="301">
        <v>96</v>
      </c>
      <c r="B82" s="282" t="e">
        <f>VLOOKUP(A82,'RESUMEN-M (1)'!B$12:D$93,3,FALSE)</f>
        <v>#N/A</v>
      </c>
      <c r="C82" s="282">
        <f>'RESUMEN-M (1)'!E85</f>
        <v>0</v>
      </c>
      <c r="D82" s="302"/>
      <c r="E82" s="302"/>
      <c r="F82" s="302"/>
      <c r="G82" s="302"/>
      <c r="H82" s="302"/>
      <c r="I82" s="302"/>
      <c r="J82" s="395">
        <f t="shared" si="2"/>
        <v>0</v>
      </c>
    </row>
    <row r="83" spans="1:10" ht="24.75" hidden="1" customHeight="1" x14ac:dyDescent="0.25">
      <c r="A83" s="301">
        <v>97</v>
      </c>
      <c r="B83" s="282" t="e">
        <f>VLOOKUP(A83,'RESUMEN-M (1)'!B$12:D$93,3,FALSE)</f>
        <v>#N/A</v>
      </c>
      <c r="C83" s="282">
        <f>'RESUMEN-M (1)'!E86</f>
        <v>0</v>
      </c>
      <c r="D83" s="282"/>
      <c r="E83" s="282"/>
      <c r="F83" s="282"/>
      <c r="G83" s="282"/>
      <c r="H83" s="282"/>
      <c r="I83" s="282"/>
      <c r="J83" s="395">
        <f t="shared" si="2"/>
        <v>0</v>
      </c>
    </row>
    <row r="84" spans="1:10" ht="24.75" hidden="1" customHeight="1" x14ac:dyDescent="0.25">
      <c r="A84" s="301">
        <v>98</v>
      </c>
      <c r="B84" s="282" t="e">
        <f>VLOOKUP(A84,'RESUMEN-M (1)'!B$12:D$93,3,FALSE)</f>
        <v>#N/A</v>
      </c>
      <c r="C84" s="282">
        <f>'RESUMEN-M (1)'!E87</f>
        <v>0</v>
      </c>
      <c r="D84" s="302"/>
      <c r="E84" s="302"/>
      <c r="F84" s="302"/>
      <c r="G84" s="302"/>
      <c r="H84" s="302"/>
      <c r="I84" s="302"/>
      <c r="J84" s="395">
        <f t="shared" si="2"/>
        <v>0</v>
      </c>
    </row>
    <row r="85" spans="1:10" ht="24.75" hidden="1" customHeight="1" x14ac:dyDescent="0.25">
      <c r="A85" s="301">
        <v>99</v>
      </c>
      <c r="B85" s="282" t="e">
        <f>VLOOKUP(A85,'RESUMEN-M (1)'!B$12:D$93,3,FALSE)</f>
        <v>#N/A</v>
      </c>
      <c r="C85" s="282">
        <f>'RESUMEN-M (1)'!E88</f>
        <v>0</v>
      </c>
      <c r="D85" s="305"/>
      <c r="E85" s="305"/>
      <c r="F85" s="305"/>
      <c r="G85" s="305"/>
      <c r="H85" s="305"/>
      <c r="I85" s="305"/>
      <c r="J85" s="395">
        <f t="shared" si="2"/>
        <v>0</v>
      </c>
    </row>
    <row r="86" spans="1:10" ht="24.75" hidden="1" customHeight="1" x14ac:dyDescent="0.25">
      <c r="A86" s="301">
        <v>100</v>
      </c>
      <c r="B86" s="282" t="e">
        <f>VLOOKUP(A86,'RESUMEN-M (1)'!B$12:D$93,3,FALSE)</f>
        <v>#N/A</v>
      </c>
      <c r="C86" s="282">
        <f>'RESUMEN-M (1)'!E89</f>
        <v>0</v>
      </c>
      <c r="D86" s="302"/>
      <c r="E86" s="302"/>
      <c r="F86" s="302"/>
      <c r="G86" s="302"/>
      <c r="H86" s="302"/>
      <c r="I86" s="302"/>
      <c r="J86" s="395">
        <f t="shared" si="2"/>
        <v>0</v>
      </c>
    </row>
    <row r="87" spans="1:10" ht="24.75" hidden="1" customHeight="1" x14ac:dyDescent="0.25">
      <c r="A87" s="301">
        <v>101</v>
      </c>
      <c r="B87" s="282" t="e">
        <f>VLOOKUP(A87,'RESUMEN-M (1)'!B$12:D$93,3,FALSE)</f>
        <v>#N/A</v>
      </c>
      <c r="C87" s="282">
        <f>'RESUMEN-M (1)'!E90</f>
        <v>0</v>
      </c>
      <c r="D87" s="305"/>
      <c r="E87" s="305"/>
      <c r="F87" s="305"/>
      <c r="G87" s="305"/>
      <c r="H87" s="305"/>
      <c r="I87" s="305"/>
      <c r="J87" s="395">
        <f t="shared" si="2"/>
        <v>0</v>
      </c>
    </row>
    <row r="88" spans="1:10" ht="24.75" hidden="1" customHeight="1" x14ac:dyDescent="0.25">
      <c r="A88" s="301">
        <v>102</v>
      </c>
      <c r="B88" s="282" t="e">
        <f>VLOOKUP(A88,'RESUMEN-M (1)'!B$12:D$93,3,FALSE)</f>
        <v>#N/A</v>
      </c>
      <c r="C88" s="282">
        <f>'RESUMEN-M (1)'!E91</f>
        <v>0</v>
      </c>
      <c r="D88" s="302"/>
      <c r="E88" s="302"/>
      <c r="F88" s="302"/>
      <c r="G88" s="302"/>
      <c r="H88" s="302"/>
      <c r="I88" s="302"/>
      <c r="J88" s="395">
        <f t="shared" si="2"/>
        <v>0</v>
      </c>
    </row>
    <row r="89" spans="1:10" ht="24.75" hidden="1" customHeight="1" x14ac:dyDescent="0.25">
      <c r="A89" s="301">
        <v>103</v>
      </c>
      <c r="B89" s="282" t="e">
        <f>VLOOKUP(A89,'RESUMEN-M (1)'!B$12:D$93,3,FALSE)</f>
        <v>#N/A</v>
      </c>
      <c r="C89" s="282">
        <f>'RESUMEN-M (1)'!E92</f>
        <v>0</v>
      </c>
      <c r="D89" s="282"/>
      <c r="E89" s="282"/>
      <c r="F89" s="282"/>
      <c r="G89" s="282"/>
      <c r="H89" s="282"/>
      <c r="I89" s="282"/>
      <c r="J89" s="395">
        <f t="shared" si="2"/>
        <v>0</v>
      </c>
    </row>
    <row r="90" spans="1:10" ht="24.75" hidden="1" customHeight="1" x14ac:dyDescent="0.25">
      <c r="A90" s="301">
        <v>104</v>
      </c>
      <c r="B90" s="282" t="e">
        <f>VLOOKUP(A90,'RESUMEN-M (1)'!B$12:D$93,3,FALSE)</f>
        <v>#N/A</v>
      </c>
      <c r="C90" s="282">
        <f>'RESUMEN-M (1)'!E93</f>
        <v>0</v>
      </c>
      <c r="D90" s="302"/>
      <c r="E90" s="302"/>
      <c r="F90" s="302"/>
      <c r="G90" s="302"/>
      <c r="H90" s="302"/>
      <c r="I90" s="302"/>
      <c r="J90" s="395">
        <f t="shared" si="2"/>
        <v>0</v>
      </c>
    </row>
  </sheetData>
  <sheetProtection formatCells="0" formatColumns="0" formatRows="0" insertColumns="0" insertRows="0" insertHyperlinks="0" deleteColumns="0" deleteRows="0" sort="0" autoFilter="0" pivotTables="0"/>
  <mergeCells count="10">
    <mergeCell ref="A1:J1"/>
    <mergeCell ref="A2:J2"/>
    <mergeCell ref="A3:J3"/>
    <mergeCell ref="A4:J4"/>
    <mergeCell ref="B6:B8"/>
    <mergeCell ref="A6:A8"/>
    <mergeCell ref="D6:I6"/>
    <mergeCell ref="D7:I7"/>
    <mergeCell ref="A5:J5"/>
    <mergeCell ref="J7:J8"/>
  </mergeCells>
  <conditionalFormatting sqref="A9:J90">
    <cfRule type="cellIs" dxfId="19" priority="1" stopIfTrue="1" operator="equal">
      <formula>"DESCARTADO"</formula>
    </cfRule>
    <cfRule type="cellIs" dxfId="18" priority="2" stopIfTrue="1" operator="equal">
      <formula>"NO ADMISIBLE"</formula>
    </cfRule>
    <cfRule type="expression" dxfId="17" priority="3" stopIfTrue="1">
      <formula>MOD(ROW(),2)</formula>
    </cfRule>
  </conditionalFormatting>
  <conditionalFormatting sqref="J9:J90">
    <cfRule type="containsText" dxfId="16" priority="28" operator="containsText" text="DESCARTADO">
      <formula>NOT(ISERROR(SEARCH("DESCARTADO",J9)))</formula>
    </cfRule>
  </conditionalFormatting>
  <pageMargins left="0.7" right="0.7" top="0.75" bottom="0.75" header="0.3" footer="0.3"/>
  <pageSetup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G171"/>
  <sheetViews>
    <sheetView view="pageBreakPreview" topLeftCell="A81" zoomScale="82" zoomScaleNormal="44" zoomScaleSheetLayoutView="82" workbookViewId="0">
      <selection activeCell="O49" sqref="O49"/>
    </sheetView>
  </sheetViews>
  <sheetFormatPr baseColWidth="10" defaultColWidth="11.44140625" defaultRowHeight="13.2" x14ac:dyDescent="0.25"/>
  <cols>
    <col min="1" max="1" width="2.6640625" style="30" customWidth="1"/>
    <col min="2" max="2" width="16.6640625" style="30" customWidth="1"/>
    <col min="3" max="3" width="8.6640625" style="30" customWidth="1"/>
    <col min="4" max="4" width="29.109375" style="30" customWidth="1"/>
    <col min="5" max="5" width="35.109375" style="30" customWidth="1"/>
    <col min="6" max="6" width="22.6640625" style="330" customWidth="1"/>
    <col min="7" max="7" width="32.6640625" style="33" customWidth="1"/>
    <col min="8" max="8" width="25" style="30" customWidth="1"/>
    <col min="9" max="9" width="16.5546875" style="30" customWidth="1"/>
    <col min="10" max="10" width="20.33203125" style="30" customWidth="1"/>
    <col min="11" max="11" width="7.33203125" style="30" hidden="1" customWidth="1"/>
    <col min="12" max="12" width="9.44140625" style="30" customWidth="1"/>
    <col min="13" max="13" width="27.88671875" style="30" customWidth="1"/>
    <col min="14" max="14" width="11.44140625" style="30"/>
    <col min="15" max="15" width="18.88671875" style="30" customWidth="1"/>
    <col min="16" max="16384" width="11.44140625" style="30"/>
  </cols>
  <sheetData>
    <row r="1" spans="1:33" ht="17.399999999999999" x14ac:dyDescent="0.25">
      <c r="B1" s="52" t="str">
        <f>'RESUMEN-M (1)'!B1</f>
        <v>INSTITUTO NACIONAL DE VÍAS</v>
      </c>
      <c r="C1" s="52"/>
      <c r="D1" s="27"/>
      <c r="E1" s="27"/>
      <c r="F1" s="27"/>
      <c r="G1" s="307"/>
    </row>
    <row r="2" spans="1:33" ht="15.6" x14ac:dyDescent="0.25">
      <c r="B2" s="54" t="str">
        <f>'RESUMEN-M (1)'!B2</f>
        <v>DIRECCIÓN GENERAL</v>
      </c>
      <c r="C2" s="54"/>
      <c r="D2" s="31"/>
      <c r="E2" s="31"/>
      <c r="F2" s="31"/>
      <c r="G2" s="31"/>
    </row>
    <row r="3" spans="1:33" x14ac:dyDescent="0.25">
      <c r="B3" s="54" t="str">
        <f>'RESUMEN-M (1)'!B3</f>
        <v>DIRECCIÓN TERRITORIAL MAGDALENA</v>
      </c>
      <c r="C3" s="54"/>
      <c r="D3" s="32"/>
      <c r="E3" s="32"/>
      <c r="F3" s="32"/>
      <c r="G3" s="32"/>
    </row>
    <row r="4" spans="1:33" ht="15.6" hidden="1" x14ac:dyDescent="0.25">
      <c r="B4" s="54" t="e">
        <f>'RESUMEN-M (1)'!#REF!</f>
        <v>#REF!</v>
      </c>
      <c r="C4" s="54"/>
      <c r="D4" s="31"/>
      <c r="E4" s="31"/>
      <c r="F4" s="31"/>
      <c r="G4" s="31"/>
    </row>
    <row r="5" spans="1:33" ht="15.6" x14ac:dyDescent="0.25">
      <c r="B5" s="54" t="str">
        <f>'RESUMEN-M (1)'!B4</f>
        <v>CONCURSO DE MÉRITOS ABIERTO No  CMA-DT-MAG-001-2024</v>
      </c>
      <c r="C5" s="54"/>
      <c r="D5" s="31"/>
      <c r="E5" s="31"/>
      <c r="F5" s="31"/>
      <c r="G5" s="31"/>
    </row>
    <row r="6" spans="1:33" ht="41.25" customHeight="1" x14ac:dyDescent="0.25">
      <c r="B6" s="54" t="str">
        <f>'RESUMEN-M (1)'!B5</f>
        <v>OBJETO: “INTERVENTORIA TÉCNICA, ADMINISTRATIVA, FINANCIERA Y AMBIENTAL, PARA EL MEJORAMIENTO Y MANTENIMIENTO DE LAS VÍAS: RICAURTE – HATOVIEJO CÓDIGO 78218 EN EL MUNICIPIO DE GUAMAL; Y SAN SEBASTIÁN - LOS GALVIS CÓDIGO 78141, EN EL MUNICIPIO DE SAN SEBASTIÁN DE BUENAVISTA, DEPARTAMENTO DEL MAGDALENA”.</v>
      </c>
      <c r="C6" s="54"/>
      <c r="D6" s="31"/>
      <c r="E6" s="31"/>
      <c r="F6" s="342"/>
      <c r="G6" s="31"/>
    </row>
    <row r="7" spans="1:33" ht="15.6" x14ac:dyDescent="0.25">
      <c r="B7" s="54">
        <f>'RESUMEN-M (1)'!B6</f>
        <v>0</v>
      </c>
      <c r="C7" s="54"/>
      <c r="D7" s="31"/>
      <c r="E7" s="31"/>
      <c r="F7" s="31"/>
      <c r="G7" s="31"/>
    </row>
    <row r="8" spans="1:33" ht="15.6" x14ac:dyDescent="0.25">
      <c r="B8" s="55" t="s">
        <v>84</v>
      </c>
      <c r="C8" s="55"/>
      <c r="D8" s="31"/>
      <c r="E8" s="31"/>
      <c r="F8" s="342"/>
      <c r="G8" s="31"/>
    </row>
    <row r="9" spans="1:33" ht="16.5" customHeight="1" thickBot="1" x14ac:dyDescent="0.3">
      <c r="B9" s="74" t="s">
        <v>85</v>
      </c>
      <c r="C9" s="74"/>
      <c r="D9" s="75"/>
      <c r="E9" s="75"/>
      <c r="F9" s="75"/>
      <c r="G9" s="75"/>
    </row>
    <row r="10" spans="1:33" s="331" customFormat="1" ht="24.9" customHeight="1" x14ac:dyDescent="0.25">
      <c r="A10" s="322"/>
      <c r="B10" s="509" t="s">
        <v>144</v>
      </c>
      <c r="C10" s="510"/>
      <c r="D10" s="323" t="s">
        <v>145</v>
      </c>
      <c r="E10" s="513" t="s">
        <v>146</v>
      </c>
      <c r="F10" s="514"/>
      <c r="G10" s="514"/>
      <c r="H10" s="324">
        <v>45489</v>
      </c>
      <c r="I10" s="325"/>
      <c r="J10" s="326"/>
      <c r="K10" s="326"/>
      <c r="L10" s="326"/>
      <c r="M10" s="326"/>
      <c r="N10" s="326"/>
      <c r="O10" s="326"/>
      <c r="P10" s="326"/>
      <c r="Q10" s="326"/>
      <c r="R10" s="326"/>
      <c r="S10" s="326"/>
      <c r="T10" s="326"/>
      <c r="U10" s="326"/>
      <c r="V10" s="326"/>
      <c r="W10" s="326"/>
      <c r="X10" s="326"/>
      <c r="Y10" s="327"/>
      <c r="Z10" s="328"/>
      <c r="AA10" s="329"/>
      <c r="AB10" s="329"/>
      <c r="AC10" s="329"/>
      <c r="AD10" s="330"/>
      <c r="AF10" s="330"/>
      <c r="AG10" s="329"/>
    </row>
    <row r="11" spans="1:33" s="331" customFormat="1" ht="24.9" customHeight="1" x14ac:dyDescent="0.4">
      <c r="A11" s="322"/>
      <c r="B11" s="511"/>
      <c r="C11" s="512"/>
      <c r="D11" s="332">
        <v>1</v>
      </c>
      <c r="E11" s="336" t="s">
        <v>147</v>
      </c>
      <c r="F11" s="336"/>
      <c r="G11" s="333" t="s">
        <v>148</v>
      </c>
      <c r="H11" s="371">
        <v>3948.41</v>
      </c>
      <c r="I11" s="334"/>
      <c r="J11" s="326"/>
      <c r="K11" s="326"/>
      <c r="L11" s="326"/>
      <c r="M11" s="326"/>
      <c r="N11" s="326"/>
      <c r="O11" s="326"/>
      <c r="P11" s="326"/>
      <c r="Q11" s="326"/>
      <c r="R11" s="326"/>
      <c r="S11" s="326"/>
      <c r="T11" s="326"/>
      <c r="U11" s="326"/>
      <c r="V11" s="326"/>
      <c r="W11" s="326"/>
      <c r="X11" s="326"/>
      <c r="Y11" s="327"/>
      <c r="Z11" s="328"/>
      <c r="AA11" s="329"/>
      <c r="AB11" s="329"/>
      <c r="AC11" s="329"/>
      <c r="AD11" s="330"/>
      <c r="AF11" s="330"/>
      <c r="AG11" s="329"/>
    </row>
    <row r="12" spans="1:33" s="331" customFormat="1" ht="24.9" customHeight="1" x14ac:dyDescent="0.25">
      <c r="A12" s="322"/>
      <c r="B12" s="515">
        <v>1</v>
      </c>
      <c r="C12" s="516"/>
      <c r="D12" s="335" t="s">
        <v>149</v>
      </c>
      <c r="E12" s="336"/>
      <c r="F12" s="336"/>
      <c r="G12" s="336" t="s">
        <v>150</v>
      </c>
      <c r="H12" s="337">
        <f>100*(H11-INT(H11))</f>
        <v>40.999999999985448</v>
      </c>
      <c r="I12" s="338"/>
      <c r="J12" s="326"/>
      <c r="K12" s="326"/>
      <c r="L12" s="326"/>
      <c r="M12" s="326"/>
      <c r="N12" s="326"/>
      <c r="O12" s="326"/>
      <c r="P12" s="326"/>
      <c r="Q12" s="326"/>
      <c r="R12" s="326"/>
      <c r="S12" s="326"/>
      <c r="T12" s="326"/>
      <c r="U12" s="326"/>
      <c r="V12" s="326"/>
      <c r="W12" s="326"/>
      <c r="X12" s="326"/>
      <c r="Y12" s="327"/>
      <c r="Z12" s="328"/>
      <c r="AA12" s="329"/>
      <c r="AB12" s="329"/>
      <c r="AC12" s="329"/>
      <c r="AD12" s="330"/>
      <c r="AF12" s="330"/>
      <c r="AG12" s="329"/>
    </row>
    <row r="13" spans="1:33" s="331" customFormat="1" ht="24.9" customHeight="1" thickBot="1" x14ac:dyDescent="0.3">
      <c r="A13" s="322"/>
      <c r="B13" s="517"/>
      <c r="C13" s="518"/>
      <c r="D13" s="339" t="s">
        <v>151</v>
      </c>
      <c r="E13" s="394" t="s">
        <v>152</v>
      </c>
      <c r="F13" s="394"/>
      <c r="G13" s="394" t="str">
        <f>IF(OR(B12=1,D13=""),IF(AND(H12&gt;=0,H12&lt;=33),"MEDIANA CON VALOR ABSOLUTO",IF(AND(H12&gt;=34,H12&lt;=66),"MEDIA GEOMÉTRICA",IF(AND(H12&gt;=67,H12&lt;=99),"MEDIA ARITMÉTICA ALTA","MENOR VALOR"))),IF(D13="MEDIANA CON VALOR ABSOLUTO","MEDIA GEOMÉTRICA",IF(D13="MEDIA GEOMÉTRICA","MEDIA ARITMÉTICA BAJA",IF(D13="MEDIA ARITMÉTICA BAJA","MENOR VALOR","MEDIANA CON VALOR ABSOLUTO"))))</f>
        <v>MEDIA GEOMÉTRICA</v>
      </c>
      <c r="H13" s="374"/>
      <c r="I13" s="340"/>
      <c r="J13" s="326"/>
      <c r="K13" s="326"/>
      <c r="L13" s="326"/>
      <c r="M13" s="326"/>
      <c r="N13" s="326"/>
      <c r="O13" s="326"/>
      <c r="P13" s="326"/>
      <c r="Q13" s="326"/>
      <c r="R13" s="326"/>
      <c r="S13" s="326"/>
      <c r="T13" s="326"/>
      <c r="U13" s="326"/>
      <c r="V13" s="326"/>
      <c r="W13" s="326"/>
      <c r="X13" s="326"/>
      <c r="Y13" s="327"/>
      <c r="Z13" s="328"/>
      <c r="AA13" s="329"/>
      <c r="AB13" s="329"/>
      <c r="AC13" s="329"/>
      <c r="AD13" s="330"/>
      <c r="AF13" s="330"/>
      <c r="AG13" s="329"/>
    </row>
    <row r="14" spans="1:33" s="331" customFormat="1" ht="9.9" customHeight="1" thickBot="1" x14ac:dyDescent="0.3">
      <c r="A14" s="322"/>
      <c r="B14" s="341"/>
      <c r="C14" s="341"/>
      <c r="D14" s="342"/>
      <c r="E14" s="342"/>
      <c r="F14" s="336"/>
      <c r="G14" s="342"/>
      <c r="H14" s="342"/>
      <c r="I14" s="343"/>
      <c r="J14" s="326"/>
      <c r="K14" s="326"/>
      <c r="L14" s="326"/>
      <c r="M14" s="326"/>
      <c r="N14" s="326"/>
      <c r="O14" s="326"/>
      <c r="P14" s="326"/>
      <c r="Q14" s="326"/>
      <c r="R14" s="326"/>
      <c r="S14" s="326"/>
      <c r="T14" s="326"/>
      <c r="U14" s="326"/>
      <c r="V14" s="326"/>
      <c r="W14" s="326"/>
      <c r="X14" s="326"/>
      <c r="Y14" s="327"/>
      <c r="Z14" s="328"/>
      <c r="AA14" s="329"/>
      <c r="AB14" s="329"/>
      <c r="AC14" s="329"/>
      <c r="AD14" s="330"/>
      <c r="AF14" s="330"/>
      <c r="AG14" s="329"/>
    </row>
    <row r="15" spans="1:33" s="331" customFormat="1" ht="24.9" customHeight="1" x14ac:dyDescent="0.25">
      <c r="A15" s="322"/>
      <c r="B15" s="529" t="s">
        <v>153</v>
      </c>
      <c r="C15" s="530"/>
      <c r="D15" s="530"/>
      <c r="E15" s="530"/>
      <c r="F15" s="530"/>
      <c r="G15" s="530"/>
      <c r="H15" s="531"/>
      <c r="I15" s="325"/>
      <c r="J15" s="326"/>
      <c r="K15" s="326"/>
      <c r="L15" s="326"/>
      <c r="M15" s="326"/>
      <c r="N15" s="326"/>
      <c r="O15" s="326"/>
      <c r="P15" s="326"/>
      <c r="Q15" s="326"/>
      <c r="R15" s="326"/>
      <c r="S15" s="326"/>
      <c r="T15" s="326"/>
      <c r="U15" s="326"/>
      <c r="V15" s="326"/>
      <c r="W15" s="326"/>
      <c r="X15" s="326"/>
      <c r="Y15" s="327"/>
      <c r="Z15" s="328"/>
      <c r="AA15" s="329"/>
      <c r="AB15" s="329"/>
      <c r="AC15" s="329"/>
      <c r="AD15" s="330"/>
      <c r="AF15" s="330"/>
      <c r="AG15" s="329"/>
    </row>
    <row r="16" spans="1:33" s="331" customFormat="1" ht="18" customHeight="1" x14ac:dyDescent="0.25">
      <c r="A16" s="322"/>
      <c r="B16" s="376"/>
      <c r="C16" s="377"/>
      <c r="D16" s="378"/>
      <c r="E16" s="378"/>
      <c r="F16" s="379"/>
      <c r="G16" s="377" t="s">
        <v>154</v>
      </c>
      <c r="H16" s="381">
        <f>E37</f>
        <v>58</v>
      </c>
      <c r="I16" s="344"/>
      <c r="J16" s="326"/>
      <c r="K16" s="326"/>
      <c r="L16" s="326"/>
      <c r="M16" s="326"/>
      <c r="N16" s="326"/>
      <c r="O16" s="326"/>
      <c r="P16" s="326"/>
      <c r="Q16" s="326"/>
      <c r="R16" s="326"/>
      <c r="S16" s="326"/>
      <c r="T16" s="326"/>
      <c r="U16" s="326"/>
      <c r="V16" s="326"/>
      <c r="W16" s="326"/>
      <c r="X16" s="326"/>
      <c r="Y16" s="327"/>
      <c r="Z16" s="328"/>
      <c r="AA16" s="329"/>
      <c r="AB16" s="329"/>
      <c r="AC16" s="329"/>
      <c r="AD16" s="330"/>
      <c r="AF16" s="330"/>
      <c r="AG16" s="329"/>
    </row>
    <row r="17" spans="1:33" s="331" customFormat="1" ht="18" customHeight="1" x14ac:dyDescent="0.25">
      <c r="A17" s="322"/>
      <c r="B17" s="382"/>
      <c r="C17" s="377"/>
      <c r="D17" s="378"/>
      <c r="E17" s="378"/>
      <c r="F17" s="378"/>
      <c r="G17" s="377" t="s">
        <v>155</v>
      </c>
      <c r="H17" s="383">
        <f>+MIN(E41:E101)</f>
        <v>80.973500000000001</v>
      </c>
      <c r="I17" s="345"/>
      <c r="J17" s="326"/>
      <c r="K17" s="326"/>
      <c r="L17" s="326"/>
      <c r="M17" s="326"/>
      <c r="N17" s="326"/>
      <c r="O17" s="326"/>
      <c r="P17" s="326"/>
      <c r="Q17" s="326"/>
      <c r="R17" s="326"/>
      <c r="S17" s="326"/>
      <c r="T17" s="326"/>
      <c r="U17" s="326"/>
      <c r="V17" s="326"/>
      <c r="W17" s="326"/>
      <c r="X17" s="326"/>
      <c r="Y17" s="327"/>
      <c r="Z17" s="328"/>
      <c r="AA17" s="329"/>
      <c r="AB17" s="329"/>
      <c r="AC17" s="329"/>
      <c r="AD17" s="330"/>
      <c r="AF17" s="330"/>
      <c r="AG17" s="329"/>
    </row>
    <row r="18" spans="1:33" s="331" customFormat="1" ht="18" customHeight="1" x14ac:dyDescent="0.25">
      <c r="A18" s="322"/>
      <c r="B18" s="382"/>
      <c r="C18" s="377"/>
      <c r="D18" s="378"/>
      <c r="E18" s="378"/>
      <c r="F18" s="380"/>
      <c r="G18" s="377" t="s">
        <v>156</v>
      </c>
      <c r="H18" s="383">
        <f>+MAX(E41:E101)</f>
        <v>3285.9500000000003</v>
      </c>
      <c r="I18" s="345"/>
      <c r="J18" s="326"/>
      <c r="K18" s="326"/>
      <c r="L18" s="326"/>
      <c r="M18" s="326"/>
      <c r="N18" s="326"/>
      <c r="O18" s="326"/>
      <c r="P18" s="326"/>
      <c r="Q18" s="326"/>
      <c r="R18" s="326"/>
      <c r="S18" s="326"/>
      <c r="T18" s="326"/>
      <c r="U18" s="326"/>
      <c r="V18" s="326"/>
      <c r="W18" s="326"/>
      <c r="X18" s="326"/>
      <c r="Y18" s="327"/>
      <c r="Z18" s="328"/>
      <c r="AA18" s="329"/>
      <c r="AB18" s="329"/>
      <c r="AC18" s="329"/>
      <c r="AD18" s="330"/>
      <c r="AF18" s="330"/>
      <c r="AG18" s="329"/>
    </row>
    <row r="19" spans="1:33" s="331" customFormat="1" ht="18" customHeight="1" x14ac:dyDescent="0.25">
      <c r="A19" s="322"/>
      <c r="B19" s="376"/>
      <c r="C19" s="384"/>
      <c r="D19" s="378"/>
      <c r="E19" s="378"/>
      <c r="F19" s="380"/>
      <c r="G19" s="377" t="s">
        <v>157</v>
      </c>
      <c r="H19" s="383">
        <f>+AVERAGE(E41:E101)</f>
        <v>665.4646959770115</v>
      </c>
      <c r="I19" s="345"/>
      <c r="J19" s="326"/>
      <c r="K19" s="326"/>
      <c r="L19" s="326"/>
      <c r="M19" s="326"/>
      <c r="N19" s="326"/>
      <c r="O19" s="326"/>
      <c r="P19" s="326"/>
      <c r="Q19" s="326"/>
      <c r="R19" s="326"/>
      <c r="S19" s="326"/>
      <c r="T19" s="326"/>
      <c r="U19" s="326"/>
      <c r="V19" s="326"/>
      <c r="W19" s="326"/>
      <c r="X19" s="326"/>
      <c r="Y19" s="327"/>
      <c r="Z19" s="328"/>
      <c r="AA19" s="329"/>
      <c r="AB19" s="329"/>
      <c r="AC19" s="329"/>
      <c r="AD19" s="330"/>
      <c r="AF19" s="330"/>
      <c r="AG19" s="329"/>
    </row>
    <row r="20" spans="1:33" s="331" customFormat="1" ht="18" customHeight="1" x14ac:dyDescent="0.25">
      <c r="A20" s="322"/>
      <c r="B20" s="376"/>
      <c r="C20" s="384"/>
      <c r="D20" s="378"/>
      <c r="E20" s="378"/>
      <c r="F20" s="380"/>
      <c r="G20" s="377" t="s">
        <v>158</v>
      </c>
      <c r="H20" s="383">
        <f>+MEDIAN(E41:E101)</f>
        <v>490.36</v>
      </c>
      <c r="I20" s="345"/>
      <c r="J20" s="326"/>
      <c r="K20" s="326"/>
      <c r="L20" s="326"/>
      <c r="M20" s="326"/>
      <c r="N20" s="326"/>
      <c r="O20" s="326"/>
      <c r="P20" s="326"/>
      <c r="Q20" s="326"/>
      <c r="R20" s="326"/>
      <c r="S20" s="326"/>
      <c r="T20" s="326"/>
      <c r="U20" s="326"/>
      <c r="V20" s="326"/>
      <c r="W20" s="326"/>
      <c r="X20" s="326"/>
      <c r="Y20" s="327"/>
      <c r="Z20" s="328"/>
      <c r="AA20" s="329"/>
      <c r="AB20" s="329"/>
      <c r="AC20" s="329"/>
      <c r="AD20" s="330"/>
      <c r="AF20" s="330"/>
      <c r="AG20" s="329"/>
    </row>
    <row r="21" spans="1:33" s="331" customFormat="1" ht="18" customHeight="1" x14ac:dyDescent="0.25">
      <c r="A21" s="322"/>
      <c r="B21" s="385"/>
      <c r="C21" s="386"/>
      <c r="D21" s="378"/>
      <c r="E21" s="378"/>
      <c r="F21" s="380"/>
      <c r="G21" s="377" t="s">
        <v>159</v>
      </c>
      <c r="H21" s="383">
        <f>210000000/1300000</f>
        <v>161.53846153846155</v>
      </c>
      <c r="I21" s="345"/>
      <c r="J21" s="326"/>
      <c r="K21" s="326"/>
      <c r="L21" s="326"/>
      <c r="M21" s="326"/>
      <c r="N21" s="326"/>
      <c r="O21" s="326"/>
      <c r="P21" s="326"/>
      <c r="Q21" s="326"/>
      <c r="R21" s="326"/>
      <c r="S21" s="326"/>
      <c r="T21" s="326"/>
      <c r="U21" s="326"/>
      <c r="V21" s="326"/>
      <c r="W21" s="326"/>
      <c r="X21" s="326"/>
      <c r="Y21" s="327"/>
      <c r="Z21" s="328"/>
      <c r="AA21" s="329"/>
      <c r="AB21" s="329"/>
      <c r="AC21" s="329"/>
      <c r="AD21" s="346"/>
      <c r="AE21" s="347"/>
      <c r="AF21" s="346"/>
      <c r="AG21" s="348"/>
    </row>
    <row r="22" spans="1:33" s="331" customFormat="1" ht="18" customHeight="1" thickBot="1" x14ac:dyDescent="0.3">
      <c r="A22" s="322"/>
      <c r="B22" s="387"/>
      <c r="C22" s="388"/>
      <c r="D22" s="389"/>
      <c r="E22" s="389"/>
      <c r="F22" s="380"/>
      <c r="G22" s="390" t="s">
        <v>160</v>
      </c>
      <c r="H22" s="391">
        <v>67.5</v>
      </c>
      <c r="I22" s="349"/>
      <c r="J22" s="326"/>
      <c r="K22" s="326"/>
      <c r="L22" s="326"/>
      <c r="M22" s="326"/>
      <c r="N22" s="326"/>
      <c r="O22" s="326"/>
      <c r="P22" s="326"/>
      <c r="Q22" s="326"/>
      <c r="R22" s="326"/>
      <c r="S22" s="326"/>
      <c r="T22" s="326"/>
      <c r="U22" s="326"/>
      <c r="V22" s="326"/>
      <c r="W22" s="326"/>
      <c r="X22" s="326"/>
      <c r="Y22" s="327"/>
      <c r="Z22" s="328"/>
      <c r="AA22" s="329"/>
      <c r="AB22" s="329"/>
      <c r="AC22" s="329"/>
      <c r="AD22" s="330"/>
      <c r="AF22" s="330"/>
      <c r="AG22" s="329"/>
    </row>
    <row r="23" spans="1:33" s="347" customFormat="1" ht="9.9" customHeight="1" thickBot="1" x14ac:dyDescent="0.3">
      <c r="A23" s="350"/>
      <c r="B23" s="392"/>
      <c r="C23" s="392"/>
      <c r="D23" s="392"/>
      <c r="E23" s="392"/>
      <c r="F23" s="380"/>
      <c r="G23" s="392"/>
      <c r="H23" s="392"/>
      <c r="I23" s="346"/>
      <c r="J23" s="346"/>
      <c r="K23" s="346"/>
      <c r="L23" s="346"/>
      <c r="M23" s="346"/>
      <c r="N23" s="346"/>
      <c r="O23" s="346"/>
      <c r="P23" s="346"/>
      <c r="Q23" s="346"/>
      <c r="R23" s="346"/>
      <c r="S23" s="346"/>
      <c r="T23" s="346"/>
      <c r="U23" s="346"/>
      <c r="V23" s="346"/>
      <c r="W23" s="346"/>
      <c r="X23" s="346"/>
      <c r="Y23" s="346"/>
      <c r="Z23" s="351"/>
      <c r="AA23" s="352"/>
      <c r="AB23" s="352"/>
      <c r="AC23" s="352"/>
      <c r="AD23" s="330"/>
      <c r="AE23" s="331"/>
      <c r="AF23" s="330"/>
      <c r="AG23" s="352"/>
    </row>
    <row r="24" spans="1:33" s="331" customFormat="1" ht="18" customHeight="1" x14ac:dyDescent="0.25">
      <c r="A24" s="322"/>
      <c r="B24" s="532" t="s">
        <v>161</v>
      </c>
      <c r="C24" s="533"/>
      <c r="D24" s="533"/>
      <c r="E24" s="533"/>
      <c r="F24" s="533"/>
      <c r="G24" s="533"/>
      <c r="H24" s="534"/>
      <c r="I24" s="353"/>
      <c r="J24" s="326"/>
      <c r="K24" s="326"/>
      <c r="L24" s="326"/>
      <c r="M24" s="326"/>
      <c r="N24" s="326"/>
      <c r="O24" s="326"/>
      <c r="P24" s="326"/>
      <c r="Q24" s="326"/>
      <c r="R24" s="326"/>
      <c r="S24" s="326"/>
      <c r="T24" s="326"/>
      <c r="U24" s="326"/>
      <c r="V24" s="326"/>
      <c r="W24" s="326"/>
      <c r="X24" s="326"/>
      <c r="Y24" s="327"/>
      <c r="Z24" s="328"/>
      <c r="AA24" s="329"/>
      <c r="AB24" s="329"/>
      <c r="AC24" s="329"/>
      <c r="AD24" s="330"/>
      <c r="AF24" s="330"/>
      <c r="AG24" s="329"/>
    </row>
    <row r="25" spans="1:33" s="331" customFormat="1" ht="18" customHeight="1" x14ac:dyDescent="0.25">
      <c r="A25" s="322"/>
      <c r="B25" s="535" t="s">
        <v>162</v>
      </c>
      <c r="C25" s="536"/>
      <c r="D25" s="536"/>
      <c r="E25" s="536"/>
      <c r="F25" s="536"/>
      <c r="G25" s="536"/>
      <c r="H25" s="393" t="s">
        <v>163</v>
      </c>
      <c r="I25" s="354"/>
      <c r="J25" s="326"/>
      <c r="K25" s="326"/>
      <c r="L25" s="326"/>
      <c r="M25" s="326"/>
      <c r="N25" s="326"/>
      <c r="O25" s="326"/>
      <c r="P25" s="326"/>
      <c r="Q25" s="326"/>
      <c r="R25" s="326"/>
      <c r="S25" s="326"/>
      <c r="T25" s="326"/>
      <c r="U25" s="326"/>
      <c r="V25" s="326"/>
      <c r="W25" s="326"/>
      <c r="X25" s="326"/>
      <c r="Y25" s="327"/>
      <c r="Z25" s="328"/>
      <c r="AA25" s="329"/>
      <c r="AB25" s="329"/>
      <c r="AC25" s="329"/>
      <c r="AD25" s="330"/>
      <c r="AF25" s="330"/>
      <c r="AG25" s="329"/>
    </row>
    <row r="26" spans="1:33" s="331" customFormat="1" ht="18" customHeight="1" x14ac:dyDescent="0.25">
      <c r="A26" s="322"/>
      <c r="B26" s="535" t="s">
        <v>164</v>
      </c>
      <c r="C26" s="536"/>
      <c r="D26" s="536"/>
      <c r="E26" s="536"/>
      <c r="F26" s="536"/>
      <c r="G26" s="536"/>
      <c r="H26" s="393">
        <f>+H20</f>
        <v>490.36</v>
      </c>
      <c r="I26" s="354"/>
      <c r="J26" s="326"/>
      <c r="K26" s="326"/>
      <c r="L26" s="326"/>
      <c r="M26" s="326"/>
      <c r="N26" s="326"/>
      <c r="O26" s="326"/>
      <c r="P26" s="326"/>
      <c r="Q26" s="326"/>
      <c r="R26" s="326"/>
      <c r="S26" s="326"/>
      <c r="T26" s="326"/>
      <c r="U26" s="326"/>
      <c r="V26" s="326"/>
      <c r="W26" s="326"/>
      <c r="X26" s="326"/>
      <c r="Y26" s="327"/>
      <c r="Z26" s="328"/>
      <c r="AA26" s="329"/>
      <c r="AB26" s="329"/>
      <c r="AC26" s="329"/>
      <c r="AD26" s="330"/>
      <c r="AF26" s="330"/>
      <c r="AG26" s="329"/>
    </row>
    <row r="27" spans="1:33" s="331" customFormat="1" ht="18" customHeight="1" x14ac:dyDescent="0.25">
      <c r="A27" s="322"/>
      <c r="B27" s="537" t="s">
        <v>165</v>
      </c>
      <c r="C27" s="538"/>
      <c r="D27" s="538"/>
      <c r="E27" s="538"/>
      <c r="F27" s="538"/>
      <c r="G27" s="538"/>
      <c r="H27" s="539"/>
      <c r="I27" s="353"/>
      <c r="J27" s="326"/>
      <c r="K27" s="326"/>
      <c r="L27" s="326"/>
      <c r="M27" s="326"/>
      <c r="N27" s="326"/>
      <c r="O27" s="326"/>
      <c r="P27" s="326"/>
      <c r="Q27" s="326"/>
      <c r="R27" s="326"/>
      <c r="S27" s="326"/>
      <c r="T27" s="326"/>
      <c r="U27" s="326"/>
      <c r="V27" s="326"/>
      <c r="W27" s="326"/>
      <c r="X27" s="326"/>
      <c r="Y27" s="327"/>
      <c r="Z27" s="328"/>
      <c r="AA27" s="329"/>
      <c r="AB27" s="329"/>
      <c r="AC27" s="329"/>
      <c r="AD27" s="330"/>
      <c r="AF27" s="330"/>
      <c r="AG27" s="329"/>
    </row>
    <row r="28" spans="1:33" s="331" customFormat="1" ht="18" customHeight="1" x14ac:dyDescent="0.25">
      <c r="A28" s="322"/>
      <c r="B28" s="535" t="s">
        <v>166</v>
      </c>
      <c r="C28" s="536"/>
      <c r="D28" s="536"/>
      <c r="E28" s="536"/>
      <c r="F28" s="536"/>
      <c r="G28" s="536"/>
      <c r="H28" s="355">
        <f>IF(H16=0,0,VLOOKUP("MINIMO",P41:Q101,2,FALSE))</f>
        <v>541.29999999999995</v>
      </c>
      <c r="I28" s="356"/>
      <c r="J28" s="357"/>
      <c r="K28" s="357"/>
      <c r="L28" s="357"/>
      <c r="M28" s="357"/>
      <c r="N28" s="357"/>
      <c r="O28" s="357"/>
      <c r="P28" s="357"/>
      <c r="Q28" s="357"/>
      <c r="R28" s="357"/>
      <c r="S28" s="357"/>
      <c r="T28" s="357"/>
      <c r="U28" s="357"/>
      <c r="V28" s="357"/>
      <c r="W28" s="357"/>
      <c r="X28" s="357"/>
      <c r="Y28" s="327"/>
      <c r="Z28" s="328"/>
      <c r="AA28" s="329"/>
      <c r="AB28" s="329"/>
      <c r="AC28" s="329"/>
      <c r="AD28" s="330"/>
      <c r="AF28" s="330"/>
      <c r="AG28" s="329"/>
    </row>
    <row r="29" spans="1:33" s="331" customFormat="1" ht="18" customHeight="1" x14ac:dyDescent="0.25">
      <c r="A29" s="322"/>
      <c r="B29" s="535" t="s">
        <v>167</v>
      </c>
      <c r="C29" s="536"/>
      <c r="D29" s="536"/>
      <c r="E29" s="536"/>
      <c r="F29" s="536"/>
      <c r="G29" s="536"/>
      <c r="H29" s="355">
        <f>IF(H16=0,0,GEOMEAN(E41:E101))</f>
        <v>540.69734608133717</v>
      </c>
      <c r="I29" s="345"/>
      <c r="J29" s="358"/>
      <c r="K29" s="358"/>
      <c r="L29" s="358"/>
      <c r="M29" s="358"/>
      <c r="N29" s="358"/>
      <c r="O29" s="358"/>
      <c r="P29" s="358"/>
      <c r="Q29" s="358"/>
      <c r="R29" s="358"/>
      <c r="S29" s="358"/>
      <c r="T29" s="358"/>
      <c r="U29" s="358"/>
      <c r="V29" s="358"/>
      <c r="W29" s="358"/>
      <c r="X29" s="358"/>
      <c r="Y29" s="327"/>
      <c r="Z29" s="328"/>
      <c r="AA29" s="329"/>
      <c r="AB29" s="329"/>
      <c r="AC29" s="329"/>
      <c r="AD29" s="330"/>
      <c r="AF29" s="330"/>
      <c r="AG29" s="329"/>
    </row>
    <row r="30" spans="1:33" s="331" customFormat="1" ht="18" customHeight="1" x14ac:dyDescent="0.25">
      <c r="A30" s="322"/>
      <c r="B30" s="537" t="s">
        <v>168</v>
      </c>
      <c r="C30" s="538"/>
      <c r="D30" s="538"/>
      <c r="E30" s="538"/>
      <c r="F30" s="538"/>
      <c r="G30" s="538"/>
      <c r="H30" s="539"/>
      <c r="I30" s="353"/>
      <c r="J30" s="358"/>
      <c r="K30" s="358"/>
      <c r="L30" s="358"/>
      <c r="M30" s="358"/>
      <c r="N30" s="358"/>
      <c r="O30" s="358"/>
      <c r="P30" s="358"/>
      <c r="Q30" s="358"/>
      <c r="R30" s="358"/>
      <c r="S30" s="358"/>
      <c r="T30" s="358"/>
      <c r="U30" s="358"/>
      <c r="V30" s="358"/>
      <c r="W30" s="358"/>
      <c r="X30" s="358"/>
      <c r="Y30" s="327"/>
      <c r="Z30" s="328"/>
      <c r="AA30" s="329"/>
      <c r="AB30" s="329"/>
      <c r="AC30" s="329"/>
      <c r="AD30" s="330"/>
      <c r="AF30" s="330"/>
      <c r="AG30" s="329"/>
    </row>
    <row r="31" spans="1:33" s="331" customFormat="1" ht="18" customHeight="1" x14ac:dyDescent="0.25">
      <c r="A31" s="322"/>
      <c r="B31" s="535" t="s">
        <v>169</v>
      </c>
      <c r="C31" s="536"/>
      <c r="D31" s="536"/>
      <c r="E31" s="536"/>
      <c r="F31" s="536"/>
      <c r="G31" s="536"/>
      <c r="H31" s="393">
        <f>+(H18+H20)/2</f>
        <v>1888.1550000000002</v>
      </c>
      <c r="I31" s="354"/>
      <c r="J31" s="358"/>
      <c r="K31" s="358"/>
      <c r="L31" s="358"/>
      <c r="M31" s="358"/>
      <c r="N31" s="358"/>
      <c r="O31" s="358"/>
      <c r="P31" s="358"/>
      <c r="Q31" s="358"/>
      <c r="R31" s="358"/>
      <c r="S31" s="358"/>
      <c r="T31" s="358"/>
      <c r="U31" s="358"/>
      <c r="V31" s="358"/>
      <c r="W31" s="358"/>
      <c r="X31" s="358"/>
      <c r="Y31" s="327"/>
      <c r="Z31" s="328"/>
      <c r="AA31" s="329"/>
      <c r="AB31" s="329"/>
      <c r="AC31" s="329"/>
      <c r="AD31" s="330"/>
      <c r="AF31" s="330"/>
      <c r="AG31" s="329"/>
    </row>
    <row r="32" spans="1:33" s="331" customFormat="1" ht="18" customHeight="1" thickBot="1" x14ac:dyDescent="0.3">
      <c r="A32" s="322"/>
      <c r="B32" s="359"/>
      <c r="C32" s="359"/>
      <c r="D32" s="359"/>
      <c r="E32" s="359"/>
      <c r="F32" s="359"/>
      <c r="G32" s="360"/>
      <c r="H32" s="342"/>
      <c r="I32" s="343"/>
      <c r="J32" s="346"/>
      <c r="K32" s="346"/>
      <c r="L32" s="346"/>
      <c r="M32" s="346"/>
      <c r="N32" s="346"/>
      <c r="O32" s="346"/>
      <c r="P32" s="346"/>
      <c r="Q32" s="346"/>
      <c r="R32" s="346"/>
      <c r="S32" s="346"/>
      <c r="T32" s="346"/>
      <c r="U32" s="346"/>
      <c r="V32" s="346"/>
      <c r="W32" s="346"/>
      <c r="X32" s="346"/>
      <c r="Y32" s="327"/>
      <c r="Z32" s="328"/>
      <c r="AA32" s="329"/>
      <c r="AB32" s="329"/>
      <c r="AC32" s="329"/>
      <c r="AD32" s="330"/>
      <c r="AF32" s="330"/>
      <c r="AG32" s="329"/>
    </row>
    <row r="33" spans="1:33" s="367" customFormat="1" ht="24.9" customHeight="1" thickBot="1" x14ac:dyDescent="0.3">
      <c r="A33" s="361"/>
      <c r="B33" s="540" t="s">
        <v>170</v>
      </c>
      <c r="C33" s="541"/>
      <c r="D33" s="541"/>
      <c r="E33" s="362"/>
      <c r="F33" s="362"/>
      <c r="G33" s="373" t="str">
        <f>+G13</f>
        <v>MEDIA GEOMÉTRICA</v>
      </c>
      <c r="H33" s="375">
        <f>H29</f>
        <v>540.69734608133717</v>
      </c>
      <c r="I33" s="363"/>
      <c r="J33" s="364"/>
      <c r="K33" s="364"/>
      <c r="L33" s="364"/>
      <c r="M33" s="364"/>
      <c r="N33" s="364"/>
      <c r="O33" s="364"/>
      <c r="P33" s="364"/>
      <c r="Q33" s="364"/>
      <c r="R33" s="364"/>
      <c r="S33" s="364"/>
      <c r="T33" s="364"/>
      <c r="U33" s="364"/>
      <c r="V33" s="364"/>
      <c r="W33" s="364"/>
      <c r="X33" s="364"/>
      <c r="Y33" s="327"/>
      <c r="Z33" s="365"/>
      <c r="AA33" s="366"/>
      <c r="AB33" s="366"/>
      <c r="AC33" s="366"/>
      <c r="AD33" s="330"/>
      <c r="AE33" s="331"/>
      <c r="AF33" s="330"/>
      <c r="AG33" s="366"/>
    </row>
    <row r="34" spans="1:33" ht="21.6" thickBot="1" x14ac:dyDescent="0.3">
      <c r="B34" s="526"/>
      <c r="C34" s="527"/>
      <c r="D34" s="527"/>
      <c r="E34" s="527"/>
      <c r="F34" s="527"/>
      <c r="G34" s="528"/>
    </row>
    <row r="35" spans="1:33" ht="40.5" customHeight="1" x14ac:dyDescent="0.25">
      <c r="B35" s="471" t="s">
        <v>7</v>
      </c>
      <c r="C35" s="471" t="s">
        <v>87</v>
      </c>
      <c r="D35" s="472" t="s">
        <v>9</v>
      </c>
      <c r="E35" s="292" t="s">
        <v>141</v>
      </c>
      <c r="F35" s="443" t="s">
        <v>171</v>
      </c>
      <c r="G35" s="471" t="s">
        <v>172</v>
      </c>
      <c r="Z35" s="30" t="str">
        <f>UPPER(M35)</f>
        <v/>
      </c>
      <c r="AA35" s="30" t="str">
        <f>UPPER(N35)</f>
        <v/>
      </c>
      <c r="AB35" s="30" t="str">
        <f>UPPER(O35)</f>
        <v/>
      </c>
      <c r="AC35" s="30" t="str">
        <f>UPPER(P35)</f>
        <v/>
      </c>
    </row>
    <row r="36" spans="1:33" ht="22.5" customHeight="1" thickBot="1" x14ac:dyDescent="0.3">
      <c r="B36" s="444"/>
      <c r="C36" s="444"/>
      <c r="D36" s="446"/>
      <c r="E36" s="284" t="s">
        <v>173</v>
      </c>
      <c r="F36" s="444"/>
      <c r="G36" s="444"/>
    </row>
    <row r="37" spans="1:33" ht="33" customHeight="1" thickBot="1" x14ac:dyDescent="0.3">
      <c r="B37" s="76"/>
      <c r="C37" s="129"/>
      <c r="D37" s="77" t="s">
        <v>92</v>
      </c>
      <c r="E37" s="308">
        <f>COUNT(E41:E101)</f>
        <v>58</v>
      </c>
      <c r="F37" s="308"/>
      <c r="G37" s="308"/>
    </row>
    <row r="38" spans="1:33" ht="16.5" customHeight="1" thickBot="1" x14ac:dyDescent="0.3">
      <c r="B38" s="80"/>
      <c r="C38" s="130"/>
      <c r="D38" s="86"/>
      <c r="E38" s="310" t="str">
        <f>IF(ISODD(E37),"IMPAR","PAR")</f>
        <v>PAR</v>
      </c>
      <c r="F38" s="308"/>
      <c r="G38" s="308" t="s">
        <v>93</v>
      </c>
    </row>
    <row r="39" spans="1:33" ht="12" customHeight="1" thickBot="1" x14ac:dyDescent="0.3">
      <c r="B39" s="83"/>
      <c r="C39" s="131"/>
      <c r="D39" s="84" t="s">
        <v>94</v>
      </c>
      <c r="E39" s="309"/>
      <c r="F39" s="308"/>
      <c r="G39" s="308"/>
    </row>
    <row r="40" spans="1:33" ht="13.5" customHeight="1" thickBot="1" x14ac:dyDescent="0.3">
      <c r="B40" s="83"/>
      <c r="C40" s="131"/>
      <c r="D40" s="86"/>
      <c r="E40" s="87"/>
      <c r="F40" s="308"/>
      <c r="G40" s="308"/>
      <c r="K40" s="315" t="s">
        <v>174</v>
      </c>
      <c r="M40" s="30" t="s">
        <v>175</v>
      </c>
      <c r="O40" s="30" t="s">
        <v>176</v>
      </c>
    </row>
    <row r="41" spans="1:33" ht="26.25" customHeight="1" thickBot="1" x14ac:dyDescent="0.3">
      <c r="B41" s="244">
        <v>1</v>
      </c>
      <c r="C41" s="244">
        <f>VLOOKUP(B41,'RESUMEN-M (1)'!B12:K93,2,FALSE)</f>
        <v>1</v>
      </c>
      <c r="D41" s="245" t="str">
        <f>VLOOKUP(C41,'RESUMEN-M (1)'!C$12:K$93,2,FALSE)</f>
        <v>CONSORCIO CAP-SAS</v>
      </c>
      <c r="E41" s="282">
        <f>IF('PROM-CTOS EXP'!C9="HÁBIL",'PROM-CTOS EXP'!J9,'PROM-CTOS EXP'!J9)</f>
        <v>359.10999999999996</v>
      </c>
      <c r="F41" s="368">
        <f>+COUNT('PROM-CTOS EXP'!D9:I9)</f>
        <v>2</v>
      </c>
      <c r="G41" s="296">
        <f>IF(IF(E41="NO HÁBIL","",IF(E41="RECHAZADO","",IF($G$13="MEDIANA CON VALOR ABSOLUTO",$H$22*(1-ABS(($H$20-E41)/$H$20)),IF(AND($G$13="MEDIA GEOMÉTRICA",E41=$H$28),$H$22,IF($G$13="MEDIA GEOMÉTRICA",$H$22*(1-(ABS($H$28-E41)/$H$28)),IF($G$13="MEDIA ARITMETICA ALTA",$H$22*($H$19/E41),IF(E41&lt;=$H$20,$H$22*(1-(($H$20-E41)/$H$20)),$H$22*(1-(ABS($H$20-E41)/$H$20)))))))))&lt;0,0,IF(E41="NO HÁBIL","",IF(E41="RECHAZADO","",IF($G$13="MEDIANA CON VALOR ABSOLUTO",$H$22*(1-ABS(($H$20-E41)/$H$20)),IF(AND($G$13="MEDIA GEOMÉTRICA",E41=$H$28),$H$22,IF($G$13="MEDIA GEOMÉTRICA",$H$22*(1-(ABS($H$28-E41)/$H$28)),IF($G$13="MEDIA ARITMETICA ALTA",$H$22*($H$19/E41),IF(E41&lt;=$H$20,$H$22*(1-(($H$20-E41)/$H$20)),$H$22*(1-(ABS($H$20-E41)/$H$20))))))))))</f>
        <v>44.780944023646768</v>
      </c>
      <c r="I41" s="30">
        <f>69*(1-(E107-E41)/E107)</f>
        <v>12.689265201828119</v>
      </c>
      <c r="K41" s="311">
        <f>IF(E41=0,1,E41)</f>
        <v>359.10999999999996</v>
      </c>
      <c r="M41" s="33">
        <f>IF(E41=MAX(E$41:E$101),"DESCARTADO",E41)</f>
        <v>359.10999999999996</v>
      </c>
      <c r="N41" s="30">
        <f>IF(E41="NO HÁBIL","",IF(E41="RECHAZADO","",ABS(E41-$H$29)))</f>
        <v>181.58734608133722</v>
      </c>
      <c r="O41" s="314">
        <f>IF(E41="NO HÁBIL","",IF(E41=MIN(E$41:E$101),"DESCARTADO",E41))</f>
        <v>359.10999999999996</v>
      </c>
      <c r="P41" s="30" t="str">
        <f>IF(N41=MIN($N$41:$N$101),"MINIMO","")</f>
        <v/>
      </c>
      <c r="Q41" s="30" t="str">
        <f>IF(P41="MINIMO",E41,"")</f>
        <v/>
      </c>
    </row>
    <row r="42" spans="1:33" ht="26.25" customHeight="1" thickBot="1" x14ac:dyDescent="0.3">
      <c r="B42" s="143">
        <v>2</v>
      </c>
      <c r="C42" s="244">
        <f>VLOOKUP(B42,'RESUMEN-M (1)'!B13:K94,2,FALSE)</f>
        <v>2</v>
      </c>
      <c r="D42" s="245" t="str">
        <f>VLOOKUP(C42,'RESUMEN-M (1)'!C$12:K$93,2,FALSE)</f>
        <v>BRAIN INGENIERIA VIAL SAS</v>
      </c>
      <c r="E42" s="282">
        <f>IF('PROM-CTOS EXP'!C10="HÁBIL",'PROM-CTOS EXP'!J10,'PROM-CTOS EXP'!J10)</f>
        <v>517.57000000000005</v>
      </c>
      <c r="F42" s="368">
        <f>+COUNT('PROM-CTOS EXP'!D10:I10)</f>
        <v>1</v>
      </c>
      <c r="G42" s="296">
        <f>IF(IF(E42="NO HÁBIL","",IF(E42="RECHAZADO","",IF($G$13="MEDIANA CON VALOR ABSOLUTO",$H$22*(1-ABS(($H$20-E42)/$H$20)),IF(AND($G$13="MEDIA GEOMÉTRICA",E42=$H$28),$H$22,IF($G$13="MEDIA GEOMÉTRICA",$H$22*(1-(ABS($H$28-E42)/$H$28)),IF($G$13="MEDIA ARITMETICA ALTA",$H$22*($H$19/E42),IF(E42&lt;=$H$20,$H$22*(1-(($H$20-E42)/$H$20)),$H$22*(1-(ABS($H$20-E42)/$H$20)))))))))&lt;0,0,IF(E42="NO HÁBIL","",IF(E42="RECHAZADO","",IF($G$13="MEDIANA CON VALOR ABSOLUTO",$H$22*(1-ABS(($H$20-E42)/$H$20)),IF(AND($G$13="MEDIA GEOMÉTRICA",E42=$H$28),$H$22,IF($G$13="MEDIA GEOMÉTRICA",$H$22*(1-(ABS($H$28-E42)/$H$28)),IF($G$13="MEDIA ARITMETICA ALTA",$H$22*($H$19/E42),IF(E42&lt;=$H$20,$H$22*(1-(($H$20-E42)/$H$20)),$H$22*(1-(ABS($H$20-E42)/$H$20))))))))))</f>
        <v>64.540873822279707</v>
      </c>
      <c r="K42" s="311">
        <f t="shared" ref="K42:K101" si="0">IF(E42=0,1,E42)</f>
        <v>517.57000000000005</v>
      </c>
      <c r="M42" s="33">
        <f t="shared" ref="M42:M72" si="1">IF(E42=MAX(E$41:E$101),"DESCARTADO",E42)</f>
        <v>517.57000000000005</v>
      </c>
      <c r="N42" s="30">
        <f t="shared" ref="N42:N101" si="2">IF(E42="NO HÁBIL","",IF(E42="RECHAZADO","",ABS(E42-$H$29)))</f>
        <v>23.127346081337123</v>
      </c>
      <c r="O42" s="314">
        <f t="shared" ref="O42:O101" si="3">IF(E42="NO HÁBIL","",IF(E42=MIN(E$41:E$101),"DESCARTADO",E42))</f>
        <v>517.57000000000005</v>
      </c>
      <c r="P42" s="30" t="str">
        <f t="shared" ref="P42:P101" si="4">IF(N42=MIN($N$41:$N$101),"MINIMO","")</f>
        <v/>
      </c>
      <c r="Q42" s="30" t="str">
        <f t="shared" ref="Q42:Q101" si="5">IF(P42="MINIMO",E42,"")</f>
        <v/>
      </c>
    </row>
    <row r="43" spans="1:33" ht="26.25" customHeight="1" thickBot="1" x14ac:dyDescent="0.3">
      <c r="B43" s="244">
        <v>3</v>
      </c>
      <c r="C43" s="244">
        <f>VLOOKUP(B43,'RESUMEN-M (1)'!B14:K95,2,FALSE)</f>
        <v>3</v>
      </c>
      <c r="D43" s="245" t="str">
        <f>VLOOKUP(C43,'RESUMEN-M (1)'!C$12:K$93,2,FALSE)</f>
        <v>CONSORCIO INTER CONSTR
UCCION VIAL</v>
      </c>
      <c r="E43" s="282" t="str">
        <f>IF('PROM-CTOS EXP'!C11="HÁBIL",'PROM-CTOS EXP'!J11,'PROM-CTOS EXP'!J11)</f>
        <v>RECHAZADO</v>
      </c>
      <c r="F43" s="368">
        <f>+COUNT('PROM-CTOS EXP'!D11:I11)</f>
        <v>1</v>
      </c>
      <c r="G43" s="296" t="str">
        <f>IF(IF(E43="NO HÁBIL","",IF(E43="RECHAZADO","",IF($G$13="MEDIANA CON VALOR ABSOLUTO",$H$22*(1-ABS(($H$20-E43)/$H$20)),IF(AND($G$13="MEDIA GEOMÉTRICA",E43=$H$28),$H$22,IF($G$13="MEDIA GEOMÉTRICA",$H$22*(1-(ABS($H$28-E43)/$H$28)),IF($G$13="MEDIA ARITMETICA ALTA",$H$22*($H$19/E43),IF(E43&lt;=$H$20,$H$22*(1-(($H$20-E43)/$H$20)),$H$22*(1-(ABS($H$20-E43)/$H$20)))))))))&lt;0,0,IF(E43="NO HÁBIL","",IF(E43="RECHAZADO","",IF($G$13="MEDIANA CON VALOR ABSOLUTO",$H$22*(1-ABS(($H$20-E43)/$H$20)),IF(AND($G$13="MEDIA GEOMÉTRICA",E43=$H$28),$H$22,IF($G$13="MEDIA GEOMÉTRICA",$H$22*(1-(ABS($H$28-E43)/$H$28)),IF($G$13="MEDIA ARITMETICA ALTA",$H$22*($H$19/E43),IF(E43&lt;=$H$20,$H$22*(1-(($H$20-E43)/$H$20)),$H$22*(1-(ABS($H$20-E43)/$H$20))))))))))</f>
        <v/>
      </c>
      <c r="I43" s="313"/>
      <c r="K43" s="311" t="str">
        <f t="shared" si="0"/>
        <v>RECHAZADO</v>
      </c>
      <c r="M43" s="33" t="str">
        <f t="shared" si="1"/>
        <v>RECHAZADO</v>
      </c>
      <c r="N43" s="30" t="str">
        <f t="shared" si="2"/>
        <v/>
      </c>
      <c r="O43" s="314" t="str">
        <f t="shared" si="3"/>
        <v>RECHAZADO</v>
      </c>
      <c r="P43" s="30" t="str">
        <f t="shared" si="4"/>
        <v/>
      </c>
      <c r="Q43" s="30" t="str">
        <f t="shared" si="5"/>
        <v/>
      </c>
    </row>
    <row r="44" spans="1:33" ht="26.25" customHeight="1" thickBot="1" x14ac:dyDescent="0.3">
      <c r="B44" s="143">
        <v>4</v>
      </c>
      <c r="C44" s="244">
        <f>VLOOKUP(B44,'RESUMEN-M (1)'!B15:K96,2,FALSE)</f>
        <v>4</v>
      </c>
      <c r="D44" s="245" t="str">
        <f>VLOOKUP(C44,'RESUMEN-M (1)'!C$12:K$93,2,FALSE)</f>
        <v>CONSORCIO INFRAVIAL</v>
      </c>
      <c r="E44" s="282">
        <f>IF('PROM-CTOS EXP'!C12="HÁBIL",'PROM-CTOS EXP'!J12,'PROM-CTOS EXP'!J12)</f>
        <v>360.67</v>
      </c>
      <c r="F44" s="368">
        <f>+COUNT('PROM-CTOS EXP'!D12:I12)</f>
        <v>1</v>
      </c>
      <c r="G44" s="296">
        <f>IF(IF(E44="NO HÁBIL","",IF(E44="RECHAZADO","",IF($G$13="MEDIANA CON VALOR ABSOLUTO",$H$22*(1-ABS(($H$20-E44)/$H$20)),IF(AND($G$13="MEDIA GEOMÉTRICA",E44=$H$28),$H$22,IF($G$13="MEDIA GEOMÉTRICA",$H$22*(1-(ABS($H$28-E44)/$H$28)),IF($G$13="MEDIA ARITMETICA ALTA",$H$22*($H$19/E44),IF(E44&lt;=$H$20,$H$22*(1-(($H$20-E44)/$H$20)),$H$22*(1-(ABS($H$20-E44)/$H$20)))))))))&lt;0,0,IF(E44="NO HÁBIL","",IF(E44="RECHAZADO","",IF($G$13="MEDIANA CON VALOR ABSOLUTO",$H$22*(1-ABS(($H$20-E44)/$H$20)),IF(AND($G$13="MEDIA GEOMÉTRICA",E44=$H$28),$H$22,IF($G$13="MEDIA GEOMÉTRICA",$H$22*(1-(ABS($H$28-E44)/$H$28)),IF($G$13="MEDIA ARITMETICA ALTA",$H$22*($H$19/E44),IF(E44&lt;=$H$20,$H$22*(1-(($H$20-E44)/$H$20)),$H$22*(1-(ABS($H$20-E44)/$H$20))))))))))</f>
        <v>44.975475706632189</v>
      </c>
      <c r="K44" s="311">
        <f t="shared" si="0"/>
        <v>360.67</v>
      </c>
      <c r="M44" s="33">
        <f t="shared" si="1"/>
        <v>360.67</v>
      </c>
      <c r="N44" s="30">
        <f t="shared" si="2"/>
        <v>180.02734608133716</v>
      </c>
      <c r="O44" s="314">
        <f t="shared" si="3"/>
        <v>360.67</v>
      </c>
      <c r="P44" s="30" t="str">
        <f t="shared" si="4"/>
        <v/>
      </c>
      <c r="Q44" s="30" t="str">
        <f t="shared" si="5"/>
        <v/>
      </c>
    </row>
    <row r="45" spans="1:33" ht="26.25" customHeight="1" thickBot="1" x14ac:dyDescent="0.3">
      <c r="B45" s="244">
        <v>5</v>
      </c>
      <c r="C45" s="244">
        <f>VLOOKUP(B45,'RESUMEN-M (1)'!B16:K97,2,FALSE)</f>
        <v>5</v>
      </c>
      <c r="D45" s="245" t="str">
        <f>VLOOKUP(C45,'RESUMEN-M (1)'!C$12:K$93,2,FALSE)</f>
        <v>C&amp;A PROFESIONALES DE IN
GENIERÍA S.A.S</v>
      </c>
      <c r="E45" s="282">
        <f>IF('PROM-CTOS EXP'!C13="HÁBIL",'PROM-CTOS EXP'!J13,'PROM-CTOS EXP'!J13)</f>
        <v>477.74</v>
      </c>
      <c r="F45" s="368">
        <f>+COUNT('PROM-CTOS EXP'!D13:I13)</f>
        <v>1</v>
      </c>
      <c r="G45" s="296">
        <f>IF(IF(E45="NO HÁBIL","",IF(E45="RECHAZADO","",IF($G$13="MEDIANA CON VALOR ABSOLUTO",$H$22*(1-ABS(($H$20-E45)/$H$20)),IF(AND($G$13="MEDIA GEOMÉTRICA",E45=$H$28),$H$22,IF($G$13="MEDIA GEOMÉTRICA",$H$22*(1-(ABS($H$28-E45)/$H$28)),IF($G$13="MEDIA ARITMETICA ALTA",$H$22*($H$19/E45),IF(E45&lt;=$H$20,$H$22*(1-(($H$20-E45)/$H$20)),$H$22*(1-(ABS($H$20-E45)/$H$20)))))))))&lt;0,0,IF(E45="NO HÁBIL","",IF(E45="RECHAZADO","",IF($G$13="MEDIANA CON VALOR ABSOLUTO",$H$22*(1-ABS(($H$20-E45)/$H$20)),IF(AND($G$13="MEDIA GEOMÉTRICA",E45=$H$28),$H$22,IF($G$13="MEDIA GEOMÉTRICA",$H$22*(1-(ABS($H$28-E45)/$H$28)),IF($G$13="MEDIA ARITMETICA ALTA",$H$22*($H$19/E45),IF(E45&lt;=$H$20,$H$22*(1-(($H$20-E45)/$H$20)),$H$22*(1-(ABS($H$20-E45)/$H$20))))))))))</f>
        <v>59.574080916312589</v>
      </c>
      <c r="K45" s="311">
        <f t="shared" si="0"/>
        <v>477.74</v>
      </c>
      <c r="M45" s="33">
        <f t="shared" si="1"/>
        <v>477.74</v>
      </c>
      <c r="N45" s="30">
        <f t="shared" si="2"/>
        <v>62.957346081337164</v>
      </c>
      <c r="O45" s="314">
        <f t="shared" si="3"/>
        <v>477.74</v>
      </c>
      <c r="P45" s="30" t="str">
        <f t="shared" si="4"/>
        <v/>
      </c>
      <c r="Q45" s="30" t="str">
        <f t="shared" si="5"/>
        <v/>
      </c>
    </row>
    <row r="46" spans="1:33" ht="26.25" customHeight="1" thickBot="1" x14ac:dyDescent="0.3">
      <c r="B46" s="143">
        <v>6</v>
      </c>
      <c r="C46" s="244">
        <f>VLOOKUP(B46,'RESUMEN-M (1)'!B17:K98,2,FALSE)</f>
        <v>6</v>
      </c>
      <c r="D46" s="245" t="str">
        <f>VLOOKUP(C46,'RESUMEN-M (1)'!C$12:K$93,2,FALSE)</f>
        <v>CONSORCIO VIAS NRT</v>
      </c>
      <c r="E46" s="282">
        <f>IF('PROM-CTOS EXP'!C14="HÁBIL",'PROM-CTOS EXP'!J14,'PROM-CTOS EXP'!J14)</f>
        <v>502.98</v>
      </c>
      <c r="F46" s="368">
        <f>+COUNT('PROM-CTOS EXP'!D14:I14)</f>
        <v>1</v>
      </c>
      <c r="G46" s="296">
        <f t="shared" ref="G46:G101" si="6">IF(IF(E46="NO HÁBIL","",IF(E46="RECHAZADO","",IF($G$13="MEDIANA CON VALOR ABSOLUTO",$H$22*(1-ABS(($H$20-E46)/$H$20)),IF(AND($G$13="MEDIA GEOMÉTRICA",E46=$H$28),$H$22,IF($G$13="MEDIA GEOMÉTRICA",$H$22*(1-(ABS($H$28-E46)/$H$28)),IF($G$13="MEDIA ARITMETICA ALTA",$H$22*($H$19/E46),IF(E46&lt;=$H$20,$H$22*(1-(($H$20-E46)/$H$20)),$H$22*(1-(ABS($H$20-E46)/$H$20)))))))))&lt;0,0,IF(E46="NO HÁBIL","",IF(E46="RECHAZADO","",IF($G$13="MEDIANA CON VALOR ABSOLUTO",$H$22*(1-ABS(($H$20-E46)/$H$20)),IF(AND($G$13="MEDIA GEOMÉTRICA",E46=$H$28),$H$22,IF($G$13="MEDIA GEOMÉTRICA",$H$22*(1-(ABS($H$28-E46)/$H$28)),IF($G$13="MEDIA ARITMETICA ALTA",$H$22*($H$19/E46),IF(E46&lt;=$H$20,$H$22*(1-(($H$20-E46)/$H$20)),$H$22*(1-(ABS($H$20-E46)/$H$20))))))))))</f>
        <v>62.721503787179017</v>
      </c>
      <c r="K46" s="311">
        <f t="shared" si="0"/>
        <v>502.98</v>
      </c>
      <c r="M46" s="33">
        <f t="shared" si="1"/>
        <v>502.98</v>
      </c>
      <c r="N46" s="30">
        <f t="shared" si="2"/>
        <v>37.717346081337155</v>
      </c>
      <c r="O46" s="314">
        <f t="shared" si="3"/>
        <v>502.98</v>
      </c>
      <c r="P46" s="30" t="str">
        <f t="shared" si="4"/>
        <v/>
      </c>
      <c r="Q46" s="30" t="str">
        <f t="shared" si="5"/>
        <v/>
      </c>
    </row>
    <row r="47" spans="1:33" ht="26.25" customHeight="1" thickBot="1" x14ac:dyDescent="0.3">
      <c r="B47" s="244">
        <v>7</v>
      </c>
      <c r="C47" s="244">
        <f>VLOOKUP(B47,'RESUMEN-M (1)'!B18:K99,2,FALSE)</f>
        <v>7</v>
      </c>
      <c r="D47" s="245" t="str">
        <f>VLOOKUP(C47,'RESUMEN-M (1)'!C$12:K$93,2,FALSE)</f>
        <v>INTERSA S.A.</v>
      </c>
      <c r="E47" s="282">
        <f>IF('PROM-CTOS EXP'!C15="HÁBIL",'PROM-CTOS EXP'!J15,'PROM-CTOS EXP'!J15)</f>
        <v>407.01333333333332</v>
      </c>
      <c r="F47" s="368">
        <f>+COUNT('PROM-CTOS EXP'!D15:I15)</f>
        <v>3</v>
      </c>
      <c r="G47" s="296">
        <f t="shared" si="6"/>
        <v>50.754479955662298</v>
      </c>
      <c r="K47" s="311">
        <f t="shared" si="0"/>
        <v>407.01333333333332</v>
      </c>
      <c r="M47" s="33">
        <f t="shared" si="1"/>
        <v>407.01333333333332</v>
      </c>
      <c r="N47" s="30">
        <f t="shared" si="2"/>
        <v>133.68401274800385</v>
      </c>
      <c r="O47" s="314">
        <f t="shared" si="3"/>
        <v>407.01333333333332</v>
      </c>
      <c r="P47" s="30" t="str">
        <f t="shared" si="4"/>
        <v/>
      </c>
      <c r="Q47" s="30" t="str">
        <f t="shared" si="5"/>
        <v/>
      </c>
    </row>
    <row r="48" spans="1:33" ht="26.25" customHeight="1" thickBot="1" x14ac:dyDescent="0.3">
      <c r="B48" s="143">
        <v>8</v>
      </c>
      <c r="C48" s="244">
        <f>VLOOKUP(B48,'RESUMEN-M (1)'!B19:K100,2,FALSE)</f>
        <v>8</v>
      </c>
      <c r="D48" s="245" t="str">
        <f>VLOOKUP(C48,'RESUMEN-M (1)'!C$12:K$93,2,FALSE)</f>
        <v>PROESING</v>
      </c>
      <c r="E48" s="282">
        <f>IF('PROM-CTOS EXP'!C16="HÁBIL",'PROM-CTOS EXP'!J16,'PROM-CTOS EXP'!J16)</f>
        <v>203.37</v>
      </c>
      <c r="F48" s="368">
        <f>+COUNT('PROM-CTOS EXP'!D16:I16)</f>
        <v>1</v>
      </c>
      <c r="G48" s="296">
        <f t="shared" si="6"/>
        <v>25.360197672270466</v>
      </c>
      <c r="K48" s="311">
        <f t="shared" si="0"/>
        <v>203.37</v>
      </c>
      <c r="M48" s="33">
        <f t="shared" si="1"/>
        <v>203.37</v>
      </c>
      <c r="N48" s="30">
        <f t="shared" si="2"/>
        <v>337.32734608133717</v>
      </c>
      <c r="O48" s="314">
        <f t="shared" si="3"/>
        <v>203.37</v>
      </c>
      <c r="P48" s="30" t="str">
        <f t="shared" si="4"/>
        <v/>
      </c>
      <c r="Q48" s="30" t="str">
        <f t="shared" si="5"/>
        <v/>
      </c>
    </row>
    <row r="49" spans="2:17" ht="26.25" customHeight="1" thickBot="1" x14ac:dyDescent="0.3">
      <c r="B49" s="244">
        <v>9</v>
      </c>
      <c r="C49" s="244">
        <f>VLOOKUP(B49,'RESUMEN-M (1)'!B20:K101,2,FALSE)</f>
        <v>9</v>
      </c>
      <c r="D49" s="245" t="str">
        <f>VLOOKUP(C49,'RESUMEN-M (1)'!C$12:K$93,2,FALSE)</f>
        <v>INTERVAL2</v>
      </c>
      <c r="E49" s="282">
        <f>IF('PROM-CTOS EXP'!C17="HÁBIL",'PROM-CTOS EXP'!J17,'PROM-CTOS EXP'!J17)</f>
        <v>523.7166666666667</v>
      </c>
      <c r="F49" s="368">
        <f>+COUNT('PROM-CTOS EXP'!D17:I17)</f>
        <v>3</v>
      </c>
      <c r="G49" s="296">
        <f t="shared" si="6"/>
        <v>65.307361906521351</v>
      </c>
      <c r="K49" s="311">
        <f t="shared" si="0"/>
        <v>523.7166666666667</v>
      </c>
      <c r="M49" s="33">
        <f t="shared" si="1"/>
        <v>523.7166666666667</v>
      </c>
      <c r="N49" s="30">
        <f t="shared" si="2"/>
        <v>16.980679414670476</v>
      </c>
      <c r="O49" s="314">
        <f t="shared" si="3"/>
        <v>523.7166666666667</v>
      </c>
      <c r="P49" s="30" t="str">
        <f t="shared" si="4"/>
        <v/>
      </c>
      <c r="Q49" s="30" t="str">
        <f t="shared" si="5"/>
        <v/>
      </c>
    </row>
    <row r="50" spans="2:17" ht="26.25" customHeight="1" thickBot="1" x14ac:dyDescent="0.3">
      <c r="B50" s="143">
        <v>10</v>
      </c>
      <c r="C50" s="244">
        <f>VLOOKUP(B50,'RESUMEN-M (1)'!B21:K102,2,FALSE)</f>
        <v>10</v>
      </c>
      <c r="D50" s="245" t="str">
        <f>VLOOKUP(C50,'RESUMEN-M (1)'!C$12:K$93,2,FALSE)</f>
        <v>CONINTER JMJ SAS</v>
      </c>
      <c r="E50" s="282">
        <f>IF('PROM-CTOS EXP'!C18="HÁBIL",'PROM-CTOS EXP'!J18,'PROM-CTOS EXP'!J18)</f>
        <v>645.1</v>
      </c>
      <c r="F50" s="368">
        <f>+COUNT('PROM-CTOS EXP'!D18:I18)</f>
        <v>1</v>
      </c>
      <c r="G50" s="296">
        <f t="shared" si="6"/>
        <v>54.556161093663391</v>
      </c>
      <c r="K50" s="311">
        <f t="shared" si="0"/>
        <v>645.1</v>
      </c>
      <c r="M50" s="33">
        <f t="shared" si="1"/>
        <v>645.1</v>
      </c>
      <c r="N50" s="30">
        <f t="shared" si="2"/>
        <v>104.40265391866285</v>
      </c>
      <c r="O50" s="314">
        <f t="shared" si="3"/>
        <v>645.1</v>
      </c>
      <c r="P50" s="30" t="str">
        <f t="shared" si="4"/>
        <v/>
      </c>
      <c r="Q50" s="30" t="str">
        <f t="shared" si="5"/>
        <v/>
      </c>
    </row>
    <row r="51" spans="2:17" ht="26.25" customHeight="1" x14ac:dyDescent="0.25">
      <c r="B51" s="244">
        <v>11</v>
      </c>
      <c r="C51" s="244">
        <f>VLOOKUP(B51,'RESUMEN-M (1)'!B22:K103,2,FALSE)</f>
        <v>11</v>
      </c>
      <c r="D51" s="245" t="str">
        <f>VLOOKUP(C51,'RESUMEN-M (1)'!C$12:K$93,2,FALSE)</f>
        <v>CONSORCIO METRO CINCO</v>
      </c>
      <c r="E51" s="282">
        <f>IF('PROM-CTOS EXP'!C19="HÁBIL",'PROM-CTOS EXP'!J19,'PROM-CTOS EXP'!J19)</f>
        <v>3285.9500000000003</v>
      </c>
      <c r="F51" s="368">
        <f>+COUNT('PROM-CTOS EXP'!D19:I19)</f>
        <v>3</v>
      </c>
      <c r="G51" s="296">
        <f t="shared" si="6"/>
        <v>0</v>
      </c>
      <c r="K51" s="311">
        <f t="shared" si="0"/>
        <v>3285.9500000000003</v>
      </c>
      <c r="M51" s="33" t="str">
        <f t="shared" si="1"/>
        <v>DESCARTADO</v>
      </c>
      <c r="N51" s="30">
        <f t="shared" si="2"/>
        <v>2745.2526539186629</v>
      </c>
      <c r="O51" s="314">
        <f t="shared" si="3"/>
        <v>3285.9500000000003</v>
      </c>
      <c r="P51" s="30" t="str">
        <f t="shared" si="4"/>
        <v/>
      </c>
      <c r="Q51" s="30" t="str">
        <f t="shared" si="5"/>
        <v/>
      </c>
    </row>
    <row r="52" spans="2:17" ht="26.25" customHeight="1" thickBot="1" x14ac:dyDescent="0.3">
      <c r="B52" s="143">
        <v>12</v>
      </c>
      <c r="C52" s="244">
        <f>VLOOKUP(B52,'RESUMEN-M (1)'!B23:K103,2,FALSE)</f>
        <v>12</v>
      </c>
      <c r="D52" s="245" t="str">
        <f>VLOOKUP(C52,'RESUMEN-M (1)'!C$12:K$93,2,FALSE)</f>
        <v>Consorcio INTERING</v>
      </c>
      <c r="E52" s="282">
        <f>IF('PROM-CTOS EXP'!C20="HÁBIL",'PROM-CTOS EXP'!J20,'PROM-CTOS EXP'!J20)</f>
        <v>2198.7399999999998</v>
      </c>
      <c r="F52" s="368">
        <f>+COUNT('PROM-CTOS EXP'!D20:I20)</f>
        <v>1</v>
      </c>
      <c r="G52" s="296">
        <f t="shared" si="6"/>
        <v>0</v>
      </c>
      <c r="K52" s="311">
        <f t="shared" si="0"/>
        <v>2198.7399999999998</v>
      </c>
      <c r="M52" s="33">
        <f t="shared" si="1"/>
        <v>2198.7399999999998</v>
      </c>
      <c r="N52" s="30">
        <f t="shared" si="2"/>
        <v>1658.0426539186626</v>
      </c>
      <c r="O52" s="314">
        <f t="shared" si="3"/>
        <v>2198.7399999999998</v>
      </c>
      <c r="P52" s="30" t="str">
        <f t="shared" si="4"/>
        <v/>
      </c>
      <c r="Q52" s="30" t="str">
        <f t="shared" si="5"/>
        <v/>
      </c>
    </row>
    <row r="53" spans="2:17" ht="26.25" customHeight="1" thickBot="1" x14ac:dyDescent="0.3">
      <c r="B53" s="244">
        <v>13</v>
      </c>
      <c r="C53" s="244">
        <f>VLOOKUP(B53,'RESUMEN-M (1)'!B24:K103,2,FALSE)</f>
        <v>13</v>
      </c>
      <c r="D53" s="245" t="str">
        <f>VLOOKUP(C53,'RESUMEN-M (1)'!C$12:K$93,2,FALSE)</f>
        <v>CONSORCIO INFRAESTRUCT
URA CAUCA</v>
      </c>
      <c r="E53" s="282" t="str">
        <f>IF('PROM-CTOS EXP'!C21="HÁBIL",'PROM-CTOS EXP'!J21,'PROM-CTOS EXP'!J21)</f>
        <v>RECHAZADO</v>
      </c>
      <c r="F53" s="368">
        <f>+COUNT('PROM-CTOS EXP'!D21:I21)</f>
        <v>1</v>
      </c>
      <c r="G53" s="296" t="str">
        <f t="shared" si="6"/>
        <v/>
      </c>
      <c r="K53" s="311" t="str">
        <f t="shared" si="0"/>
        <v>RECHAZADO</v>
      </c>
      <c r="M53" s="33" t="str">
        <f t="shared" si="1"/>
        <v>RECHAZADO</v>
      </c>
      <c r="N53" s="30" t="str">
        <f t="shared" si="2"/>
        <v/>
      </c>
      <c r="O53" s="314" t="str">
        <f t="shared" si="3"/>
        <v>RECHAZADO</v>
      </c>
      <c r="P53" s="30" t="str">
        <f t="shared" si="4"/>
        <v/>
      </c>
      <c r="Q53" s="30" t="str">
        <f t="shared" si="5"/>
        <v/>
      </c>
    </row>
    <row r="54" spans="2:17" ht="26.25" customHeight="1" thickBot="1" x14ac:dyDescent="0.3">
      <c r="B54" s="143">
        <v>14</v>
      </c>
      <c r="C54" s="244">
        <f>VLOOKUP(B54,'RESUMEN-M (1)'!B25:K103,2,FALSE)</f>
        <v>14</v>
      </c>
      <c r="D54" s="245" t="str">
        <f>VLOOKUP(C54,'RESUMEN-M (1)'!C$12:K$93,2,FALSE)</f>
        <v>CONSORCIO HUPK VIAS MAG
DALENA</v>
      </c>
      <c r="E54" s="282">
        <f>IF('PROM-CTOS EXP'!C22="HÁBIL",'PROM-CTOS EXP'!J22,'PROM-CTOS EXP'!J22)</f>
        <v>287.52499999999998</v>
      </c>
      <c r="F54" s="368">
        <f>+COUNT('PROM-CTOS EXP'!D22:I22)</f>
        <v>2</v>
      </c>
      <c r="G54" s="296">
        <f t="shared" si="6"/>
        <v>35.85430907075559</v>
      </c>
      <c r="K54" s="311">
        <f t="shared" si="0"/>
        <v>287.52499999999998</v>
      </c>
      <c r="M54" s="33">
        <f t="shared" si="1"/>
        <v>287.52499999999998</v>
      </c>
      <c r="N54" s="30">
        <f t="shared" si="2"/>
        <v>253.1723460813372</v>
      </c>
      <c r="O54" s="314">
        <f t="shared" si="3"/>
        <v>287.52499999999998</v>
      </c>
      <c r="P54" s="30" t="str">
        <f t="shared" si="4"/>
        <v/>
      </c>
      <c r="Q54" s="30" t="str">
        <f t="shared" si="5"/>
        <v/>
      </c>
    </row>
    <row r="55" spans="2:17" ht="26.25" customHeight="1" thickBot="1" x14ac:dyDescent="0.3">
      <c r="B55" s="244">
        <v>15</v>
      </c>
      <c r="C55" s="244">
        <f>VLOOKUP(B55,'RESUMEN-M (1)'!B26:K103,2,FALSE)</f>
        <v>15</v>
      </c>
      <c r="D55" s="245" t="str">
        <f>VLOOKUP(C55,'RESUMEN-M (1)'!C$12:K$93,2,FALSE)</f>
        <v>CONSORCIO INTER VIAL G&amp;
G</v>
      </c>
      <c r="E55" s="282">
        <f>IF('PROM-CTOS EXP'!C23="HÁBIL",'PROM-CTOS EXP'!J23,'PROM-CTOS EXP'!J23)</f>
        <v>432.80166666666668</v>
      </c>
      <c r="F55" s="368">
        <f>+COUNT('PROM-CTOS EXP'!D23:F23)</f>
        <v>3</v>
      </c>
      <c r="G55" s="296">
        <f t="shared" si="6"/>
        <v>53.970279881766125</v>
      </c>
      <c r="K55" s="311">
        <f t="shared" si="0"/>
        <v>432.80166666666668</v>
      </c>
      <c r="M55" s="33">
        <f t="shared" si="1"/>
        <v>432.80166666666668</v>
      </c>
      <c r="N55" s="30">
        <f t="shared" si="2"/>
        <v>107.8956794146705</v>
      </c>
      <c r="O55" s="314">
        <f t="shared" si="3"/>
        <v>432.80166666666668</v>
      </c>
      <c r="P55" s="30" t="str">
        <f t="shared" si="4"/>
        <v/>
      </c>
      <c r="Q55" s="30" t="str">
        <f t="shared" si="5"/>
        <v/>
      </c>
    </row>
    <row r="56" spans="2:17" ht="26.25" customHeight="1" thickBot="1" x14ac:dyDescent="0.3">
      <c r="B56" s="143">
        <v>16</v>
      </c>
      <c r="C56" s="244">
        <f>VLOOKUP(B56,'RESUMEN-M (1)'!B27:K103,2,FALSE)</f>
        <v>16</v>
      </c>
      <c r="D56" s="245" t="str">
        <f>VLOOKUP(C56,'RESUMEN-M (1)'!C$12:K$93,2,FALSE)</f>
        <v>IC INGENIO CIVIL</v>
      </c>
      <c r="E56" s="282">
        <f>IF('PROM-CTOS EXP'!C24="HÁBIL",'PROM-CTOS EXP'!J24,'PROM-CTOS EXP'!J24)</f>
        <v>279.4975</v>
      </c>
      <c r="F56" s="368">
        <f>+COUNT('PROM-CTOS EXP'!D24:E24)</f>
        <v>2</v>
      </c>
      <c r="G56" s="296">
        <f t="shared" si="6"/>
        <v>34.853281452059861</v>
      </c>
      <c r="K56" s="311">
        <f t="shared" si="0"/>
        <v>279.4975</v>
      </c>
      <c r="M56" s="33">
        <f t="shared" si="1"/>
        <v>279.4975</v>
      </c>
      <c r="N56" s="30">
        <f t="shared" si="2"/>
        <v>261.19984608133717</v>
      </c>
      <c r="O56" s="314">
        <f t="shared" si="3"/>
        <v>279.4975</v>
      </c>
      <c r="P56" s="30" t="str">
        <f t="shared" si="4"/>
        <v/>
      </c>
      <c r="Q56" s="30" t="str">
        <f t="shared" si="5"/>
        <v/>
      </c>
    </row>
    <row r="57" spans="2:17" ht="26.25" customHeight="1" thickBot="1" x14ac:dyDescent="0.3">
      <c r="B57" s="244">
        <v>17</v>
      </c>
      <c r="C57" s="244">
        <f>VLOOKUP(B57,'RESUMEN-M (1)'!B28:K103,2,FALSE)</f>
        <v>17</v>
      </c>
      <c r="D57" s="245" t="str">
        <f>VLOOKUP(C57,'RESUMEN-M (1)'!C$12:K$93,2,FALSE)</f>
        <v>MORAM CONSULTORIA SAS</v>
      </c>
      <c r="E57" s="282">
        <f>IF('PROM-CTOS EXP'!C25="HÁBIL",'PROM-CTOS EXP'!J25,'PROM-CTOS EXP'!J25)</f>
        <v>352.95499999999998</v>
      </c>
      <c r="F57" s="368">
        <f>+COUNT('PROM-CTOS EXP'!D25:D25)</f>
        <v>1</v>
      </c>
      <c r="G57" s="296">
        <f t="shared" si="6"/>
        <v>44.013416774431917</v>
      </c>
      <c r="K57" s="311">
        <f t="shared" si="0"/>
        <v>352.95499999999998</v>
      </c>
      <c r="M57" s="33">
        <f t="shared" si="1"/>
        <v>352.95499999999998</v>
      </c>
      <c r="N57" s="30">
        <f t="shared" si="2"/>
        <v>187.74234608133719</v>
      </c>
      <c r="O57" s="314">
        <f t="shared" si="3"/>
        <v>352.95499999999998</v>
      </c>
      <c r="P57" s="30" t="str">
        <f t="shared" si="4"/>
        <v/>
      </c>
      <c r="Q57" s="30" t="str">
        <f t="shared" si="5"/>
        <v/>
      </c>
    </row>
    <row r="58" spans="2:17" ht="26.25" customHeight="1" x14ac:dyDescent="0.25">
      <c r="B58" s="143">
        <v>18</v>
      </c>
      <c r="C58" s="244">
        <f>VLOOKUP(B58,'RESUMEN-M (1)'!B29:K103,2,FALSE)</f>
        <v>18</v>
      </c>
      <c r="D58" s="245" t="str">
        <f>VLOOKUP(C58,'RESUMEN-M (1)'!C$12:K$93,2,FALSE)</f>
        <v>VELNEC S.A.</v>
      </c>
      <c r="E58" s="282">
        <f>IF('PROM-CTOS EXP'!C26="HÁBIL",'PROM-CTOS EXP'!J26,'PROM-CTOS EXP'!J26)</f>
        <v>1119.75</v>
      </c>
      <c r="F58" s="368">
        <f>+COUNT('PROM-CTOS EXP'!D26:D26)</f>
        <v>1</v>
      </c>
      <c r="G58" s="296">
        <f>IF(IF(E58="NO HÁBIL","",IF(E58="RECHAZADO","",IF($G$13="MEDIANA CON VALOR ABSOLUTO",$H$22*(1-ABS(($H$20-E58)/$H$20)),IF(AND($G$13="MEDIA GEOMÉTRICA",E58=$H$28),$H$22,IF($G$13="MEDIA GEOMÉTRICA",$H$22*(1-(ABS($H$28-E58)/$H$28)),IF($G$13="MEDIA ARITMETICA ALTA",$H$22*($H$19/E58),IF(E58&lt;=$H$20,$H$22*(1-(($H$20-E58)/$H$20)),$H$22*(1-(ABS($H$20-E58)/$H$20)))))))))&lt;0,0,IF(E58="NO HÁBIL","",IF(E58="RECHAZADO","",IF($G$13="MEDIANA CON VALOR ABSOLUTO",$H$22*(1-ABS(($H$20-E58)/$H$20)),IF(AND($G$13="MEDIA GEOMÉTRICA",E58=$H$28),$H$22,IF($G$13="MEDIA GEOMÉTRICA",$H$22*(1-(ABS($H$28-E58)/$H$28)),IF($G$13="MEDIA ARITMETICA ALTA",$H$22*($H$19/E58),IF(E58&lt;=$H$20,$H$22*(1-(($H$20-E58)/$H$20)),$H$22*(1-(ABS($H$20-E58)/$H$20))))))))))</f>
        <v>0</v>
      </c>
      <c r="K58" s="311">
        <f t="shared" si="0"/>
        <v>1119.75</v>
      </c>
      <c r="M58" s="33">
        <f t="shared" si="1"/>
        <v>1119.75</v>
      </c>
      <c r="N58" s="30">
        <f t="shared" si="2"/>
        <v>579.05265391866283</v>
      </c>
      <c r="O58" s="314">
        <f t="shared" si="3"/>
        <v>1119.75</v>
      </c>
      <c r="P58" s="30" t="str">
        <f t="shared" si="4"/>
        <v/>
      </c>
      <c r="Q58" s="30" t="str">
        <f t="shared" si="5"/>
        <v/>
      </c>
    </row>
    <row r="59" spans="2:17" ht="26.25" customHeight="1" thickBot="1" x14ac:dyDescent="0.3">
      <c r="B59" s="244">
        <v>19</v>
      </c>
      <c r="C59" s="244">
        <f>VLOOKUP(B59,'RESUMEN-M (1)'!B30:K103,2,FALSE)</f>
        <v>19</v>
      </c>
      <c r="D59" s="245" t="str">
        <f>VLOOKUP(C59,'RESUMEN-M (1)'!C$12:K$93,2,FALSE)</f>
        <v>CONSULTORES SOLANO NA
VAS LTDA</v>
      </c>
      <c r="E59" s="282">
        <f>IF('PROM-CTOS EXP'!C27="HÁBIL",'PROM-CTOS EXP'!J27,'PROM-CTOS EXP'!J27)</f>
        <v>533.28266666666673</v>
      </c>
      <c r="F59" s="368">
        <f>+COUNT('PROM-CTOS EXP'!D27:F27)</f>
        <v>3</v>
      </c>
      <c r="G59" s="296">
        <f t="shared" si="6"/>
        <v>66.5002401625716</v>
      </c>
      <c r="K59" s="311">
        <f t="shared" si="0"/>
        <v>533.28266666666673</v>
      </c>
      <c r="M59" s="33">
        <f t="shared" si="1"/>
        <v>533.28266666666673</v>
      </c>
      <c r="N59" s="30">
        <f t="shared" si="2"/>
        <v>7.4146794146704451</v>
      </c>
      <c r="O59" s="314">
        <f t="shared" si="3"/>
        <v>533.28266666666673</v>
      </c>
      <c r="P59" s="30" t="str">
        <f t="shared" si="4"/>
        <v/>
      </c>
      <c r="Q59" s="30" t="str">
        <f t="shared" si="5"/>
        <v/>
      </c>
    </row>
    <row r="60" spans="2:17" ht="26.25" customHeight="1" thickBot="1" x14ac:dyDescent="0.3">
      <c r="B60" s="143">
        <v>20</v>
      </c>
      <c r="C60" s="244">
        <f>VLOOKUP(B60,'RESUMEN-M (1)'!B31:K103,2,FALSE)</f>
        <v>20</v>
      </c>
      <c r="D60" s="245" t="str">
        <f>VLOOKUP(C60,'RESUMEN-M (1)'!C$12:K$93,2,FALSE)</f>
        <v>MAVECA INGENIERIA S.A.S</v>
      </c>
      <c r="E60" s="282">
        <f>IF('PROM-CTOS EXP'!C28="HÁBIL",'PROM-CTOS EXP'!J28,'PROM-CTOS EXP'!J28)</f>
        <v>590.93200000000002</v>
      </c>
      <c r="F60" s="368">
        <f>+COUNT('PROM-CTOS EXP'!D28:H28)</f>
        <v>5</v>
      </c>
      <c r="G60" s="296">
        <f t="shared" si="6"/>
        <v>61.310899685941244</v>
      </c>
      <c r="K60" s="311">
        <f t="shared" si="0"/>
        <v>590.93200000000002</v>
      </c>
      <c r="M60" s="33">
        <f t="shared" si="1"/>
        <v>590.93200000000002</v>
      </c>
      <c r="N60" s="30">
        <f t="shared" si="2"/>
        <v>50.234653918662843</v>
      </c>
      <c r="O60" s="314">
        <f t="shared" si="3"/>
        <v>590.93200000000002</v>
      </c>
      <c r="P60" s="30" t="str">
        <f t="shared" si="4"/>
        <v/>
      </c>
      <c r="Q60" s="30" t="str">
        <f t="shared" si="5"/>
        <v/>
      </c>
    </row>
    <row r="61" spans="2:17" ht="26.25" customHeight="1" thickBot="1" x14ac:dyDescent="0.3">
      <c r="B61" s="244">
        <v>21</v>
      </c>
      <c r="C61" s="244">
        <f>VLOOKUP(B61,'RESUMEN-M (1)'!B32:K103,2,FALSE)</f>
        <v>21</v>
      </c>
      <c r="D61" s="245" t="str">
        <f>VLOOKUP(C61,'RESUMEN-M (1)'!C$12:K$93,2,FALSE)</f>
        <v>CONSORCIO SF 2023</v>
      </c>
      <c r="E61" s="282">
        <f>IF('PROM-CTOS EXP'!C29="HÁBIL",'PROM-CTOS EXP'!J29,'PROM-CTOS EXP'!J29)</f>
        <v>446.07</v>
      </c>
      <c r="F61" s="368">
        <f>+COUNT('PROM-CTOS EXP'!D29:H29)</f>
        <v>1</v>
      </c>
      <c r="G61" s="296">
        <f t="shared" si="6"/>
        <v>55.624838352115283</v>
      </c>
      <c r="K61" s="311">
        <f t="shared" si="0"/>
        <v>446.07</v>
      </c>
      <c r="M61" s="33">
        <f t="shared" si="1"/>
        <v>446.07</v>
      </c>
      <c r="N61" s="30">
        <f t="shared" si="2"/>
        <v>94.62734608133718</v>
      </c>
      <c r="O61" s="314">
        <f t="shared" si="3"/>
        <v>446.07</v>
      </c>
      <c r="P61" s="30" t="str">
        <f t="shared" si="4"/>
        <v/>
      </c>
      <c r="Q61" s="30" t="str">
        <f t="shared" si="5"/>
        <v/>
      </c>
    </row>
    <row r="62" spans="2:17" ht="26.25" customHeight="1" thickBot="1" x14ac:dyDescent="0.3">
      <c r="B62" s="143">
        <v>22</v>
      </c>
      <c r="C62" s="244">
        <f>VLOOKUP(B62,'RESUMEN-M (1)'!B33:K103,2,FALSE)</f>
        <v>22</v>
      </c>
      <c r="D62" s="245" t="str">
        <f>VLOOKUP(C62,'RESUMEN-M (1)'!C$12:K$93,2,FALSE)</f>
        <v xml:space="preserve">ALMA INTERVENTORÍA &amp; CONSULTORÍA S.A.S.
</v>
      </c>
      <c r="E62" s="282">
        <f>IF('PROM-CTOS EXP'!C30="HÁBIL",'PROM-CTOS EXP'!J30,'PROM-CTOS EXP'!J30)</f>
        <v>1277.76</v>
      </c>
      <c r="F62" s="368">
        <f>+COUNT('PROM-CTOS EXP'!D30:I30)</f>
        <v>1</v>
      </c>
      <c r="G62" s="296">
        <f t="shared" si="6"/>
        <v>0</v>
      </c>
      <c r="K62" s="311">
        <f t="shared" si="0"/>
        <v>1277.76</v>
      </c>
      <c r="M62" s="33">
        <f t="shared" si="1"/>
        <v>1277.76</v>
      </c>
      <c r="N62" s="30">
        <f t="shared" si="2"/>
        <v>737.06265391866282</v>
      </c>
      <c r="O62" s="314">
        <f t="shared" si="3"/>
        <v>1277.76</v>
      </c>
      <c r="P62" s="30" t="str">
        <f t="shared" si="4"/>
        <v/>
      </c>
      <c r="Q62" s="30" t="str">
        <f t="shared" si="5"/>
        <v/>
      </c>
    </row>
    <row r="63" spans="2:17" ht="26.25" customHeight="1" thickBot="1" x14ac:dyDescent="0.3">
      <c r="B63" s="244">
        <v>23</v>
      </c>
      <c r="C63" s="244">
        <f>VLOOKUP(B63,'RESUMEN-M (1)'!B34:K103,2,FALSE)</f>
        <v>23</v>
      </c>
      <c r="D63" s="245" t="str">
        <f>VLOOKUP(C63,'RESUMEN-M (1)'!C$12:K$93,2,FALSE)</f>
        <v xml:space="preserve">JMELO INGENIERÍA DE PROYECTOS S.A.S.
</v>
      </c>
      <c r="E63" s="282">
        <f>IF('PROM-CTOS EXP'!C31="HÁBIL",'PROM-CTOS EXP'!J31,'PROM-CTOS EXP'!J31)</f>
        <v>325.78499999999997</v>
      </c>
      <c r="F63" s="368">
        <f>+COUNT('PROM-CTOS EXP'!D31:I31)</f>
        <v>2</v>
      </c>
      <c r="G63" s="296">
        <f t="shared" si="6"/>
        <v>40.625323295769441</v>
      </c>
      <c r="K63" s="311">
        <f t="shared" si="0"/>
        <v>325.78499999999997</v>
      </c>
      <c r="M63" s="33">
        <f t="shared" si="1"/>
        <v>325.78499999999997</v>
      </c>
      <c r="N63" s="30">
        <f t="shared" si="2"/>
        <v>214.9123460813372</v>
      </c>
      <c r="O63" s="314">
        <f t="shared" si="3"/>
        <v>325.78499999999997</v>
      </c>
      <c r="P63" s="30" t="str">
        <f t="shared" si="4"/>
        <v/>
      </c>
      <c r="Q63" s="30" t="str">
        <f t="shared" si="5"/>
        <v/>
      </c>
    </row>
    <row r="64" spans="2:17" ht="26.25" customHeight="1" thickBot="1" x14ac:dyDescent="0.3">
      <c r="B64" s="143">
        <v>24</v>
      </c>
      <c r="C64" s="244">
        <f>VLOOKUP(B64,'RESUMEN-M (1)'!B35:K103,2,FALSE)</f>
        <v>24</v>
      </c>
      <c r="D64" s="245" t="str">
        <f>VLOOKUP(C64,'RESUMEN-M (1)'!C$12:K$93,2,FALSE)</f>
        <v>SEIING SAS BIC</v>
      </c>
      <c r="E64" s="282">
        <f>IF('PROM-CTOS EXP'!C32="HÁBIL",'PROM-CTOS EXP'!J32,'PROM-CTOS EXP'!J32)</f>
        <v>368.75</v>
      </c>
      <c r="F64" s="368">
        <f>+COUNT('PROM-CTOS EXP'!D32:I32)</f>
        <v>1</v>
      </c>
      <c r="G64" s="296">
        <f t="shared" si="6"/>
        <v>45.98305006465916</v>
      </c>
      <c r="K64" s="311">
        <f t="shared" si="0"/>
        <v>368.75</v>
      </c>
      <c r="M64" s="33">
        <f t="shared" si="1"/>
        <v>368.75</v>
      </c>
      <c r="N64" s="30">
        <f t="shared" si="2"/>
        <v>171.94734608133717</v>
      </c>
      <c r="O64" s="314">
        <f t="shared" si="3"/>
        <v>368.75</v>
      </c>
      <c r="P64" s="30" t="str">
        <f t="shared" si="4"/>
        <v/>
      </c>
      <c r="Q64" s="30" t="str">
        <f t="shared" si="5"/>
        <v/>
      </c>
    </row>
    <row r="65" spans="2:17" ht="26.25" customHeight="1" x14ac:dyDescent="0.25">
      <c r="B65" s="244">
        <v>25</v>
      </c>
      <c r="C65" s="244">
        <f>VLOOKUP(B65,'RESUMEN-M (1)'!B36:K103,2,FALSE)</f>
        <v>25</v>
      </c>
      <c r="D65" s="245" t="str">
        <f>VLOOKUP(C65,'RESUMEN-M (1)'!C$12:K$93,2,FALSE)</f>
        <v>JET INGENIERIA SAS</v>
      </c>
      <c r="E65" s="282">
        <f>IF('PROM-CTOS EXP'!C33="HÁBIL",'PROM-CTOS EXP'!J33,'PROM-CTOS EXP'!J33)</f>
        <v>344.55</v>
      </c>
      <c r="F65" s="368">
        <f>+COUNT('PROM-CTOS EXP'!D33:I33)</f>
        <v>3</v>
      </c>
      <c r="G65" s="296">
        <f>IF(IF(E65="NO HÁBIL","",IF(E65="RECHAZADO","",IF($G$13="MEDIANA CON VALOR ABSOLUTO",$H$22*(1-ABS(($H$20-E65)/$H$20)),IF(AND($G$13="MEDIA GEOMÉTRICA",E65=$H$28),$H$22,IF($G$13="MEDIA GEOMÉTRICA",$H$22*(1-(ABS($H$28-E65)/$H$28)),IF($G$13="MEDIA ARITMETICA ALTA",$H$22*($H$19/E65),IF(E65&lt;=$H$20,$H$22*(1-(($H$20-E65)/$H$20)),$H$22*(1-(ABS($H$20-E65)/$H$20)))))))))&lt;0,0,IF(E65="NO HÁBIL","",IF(E65="RECHAZADO","",IF($G$13="MEDIANA CON VALOR ABSOLUTO",$H$22*(1-ABS(($H$20-E65)/$H$20)),IF(AND($G$13="MEDIA GEOMÉTRICA",E65=$H$28),$H$22,IF($G$13="MEDIA GEOMÉTRICA",$H$22*(1-(ABS($H$28-E65)/$H$28)),IF($G$13="MEDIA ARITMETICA ALTA",$H$22*($H$19/E65),IF(E65&lt;=$H$20,$H$22*(1-(($H$20-E65)/$H$20)),$H$22*(1-(ABS($H$20-E65)/$H$20))))))))))</f>
        <v>42.965314982449662</v>
      </c>
      <c r="K65" s="311">
        <f t="shared" si="0"/>
        <v>344.55</v>
      </c>
      <c r="M65" s="33">
        <f t="shared" si="1"/>
        <v>344.55</v>
      </c>
      <c r="N65" s="30">
        <f t="shared" si="2"/>
        <v>196.14734608133716</v>
      </c>
      <c r="O65" s="314">
        <f t="shared" si="3"/>
        <v>344.55</v>
      </c>
      <c r="P65" s="30" t="str">
        <f t="shared" si="4"/>
        <v/>
      </c>
      <c r="Q65" s="30" t="str">
        <f t="shared" si="5"/>
        <v/>
      </c>
    </row>
    <row r="66" spans="2:17" ht="26.25" customHeight="1" thickBot="1" x14ac:dyDescent="0.3">
      <c r="B66" s="143">
        <v>26</v>
      </c>
      <c r="C66" s="244">
        <f>VLOOKUP(B66,'RESUMEN-M (1)'!B37:K103,2,FALSE)</f>
        <v>26</v>
      </c>
      <c r="D66" s="245" t="str">
        <f>VLOOKUP(C66,'RESUMEN-M (1)'!C$12:K$93,2,FALSE)</f>
        <v>EQUILATERO SAS</v>
      </c>
      <c r="E66" s="282">
        <f>IF('PROM-CTOS EXP'!C34="HÁBIL",'PROM-CTOS EXP'!J34,'PROM-CTOS EXP'!J34)</f>
        <v>817.14</v>
      </c>
      <c r="F66" s="368">
        <f>+COUNT('PROM-CTOS EXP'!D34:I34)</f>
        <v>1</v>
      </c>
      <c r="G66" s="296">
        <f t="shared" si="6"/>
        <v>33.102808054683159</v>
      </c>
      <c r="K66" s="311">
        <f t="shared" si="0"/>
        <v>817.14</v>
      </c>
      <c r="M66" s="33">
        <f t="shared" si="1"/>
        <v>817.14</v>
      </c>
      <c r="N66" s="30">
        <f t="shared" si="2"/>
        <v>276.44265391866281</v>
      </c>
      <c r="O66" s="314">
        <f t="shared" si="3"/>
        <v>817.14</v>
      </c>
      <c r="P66" s="30" t="str">
        <f t="shared" si="4"/>
        <v/>
      </c>
      <c r="Q66" s="30" t="str">
        <f t="shared" si="5"/>
        <v/>
      </c>
    </row>
    <row r="67" spans="2:17" ht="26.25" customHeight="1" thickBot="1" x14ac:dyDescent="0.3">
      <c r="B67" s="244">
        <v>27</v>
      </c>
      <c r="C67" s="244">
        <f>VLOOKUP(B67,'RESUMEN-M (1)'!B38:K103,2,FALSE)</f>
        <v>27</v>
      </c>
      <c r="D67" s="245" t="str">
        <f>VLOOKUP(C67,'RESUMEN-M (1)'!C$12:K$93,2,FALSE)</f>
        <v>CONSORCIO CB-TALATAA</v>
      </c>
      <c r="E67" s="282">
        <f>IF('PROM-CTOS EXP'!C35="HÁBIL",'PROM-CTOS EXP'!J35,'PROM-CTOS EXP'!J35)</f>
        <v>476.36800000000005</v>
      </c>
      <c r="F67" s="368">
        <f>+COUNT('PROM-CTOS EXP'!D35:I35)</f>
        <v>5</v>
      </c>
      <c r="G67" s="296">
        <f t="shared" si="6"/>
        <v>59.402992795122863</v>
      </c>
      <c r="K67" s="311">
        <f t="shared" si="0"/>
        <v>476.36800000000005</v>
      </c>
      <c r="M67" s="33">
        <f t="shared" si="1"/>
        <v>476.36800000000005</v>
      </c>
      <c r="N67" s="30">
        <f t="shared" si="2"/>
        <v>64.329346081337121</v>
      </c>
      <c r="O67" s="314">
        <f t="shared" si="3"/>
        <v>476.36800000000005</v>
      </c>
      <c r="P67" s="30" t="str">
        <f t="shared" si="4"/>
        <v/>
      </c>
      <c r="Q67" s="30" t="str">
        <f t="shared" si="5"/>
        <v/>
      </c>
    </row>
    <row r="68" spans="2:17" ht="26.25" customHeight="1" thickBot="1" x14ac:dyDescent="0.3">
      <c r="B68" s="143">
        <v>28</v>
      </c>
      <c r="C68" s="244">
        <f>VLOOKUP(B68,'RESUMEN-M (1)'!B39:K103,2,FALSE)</f>
        <v>28</v>
      </c>
      <c r="D68" s="245" t="str">
        <f>VLOOKUP(C68,'RESUMEN-M (1)'!C$12:K$93,2,FALSE)</f>
        <v>D&amp;B INGENIEROS CIVILES S.
A.S.</v>
      </c>
      <c r="E68" s="282">
        <f>IF('PROM-CTOS EXP'!C36="HÁBIL",'PROM-CTOS EXP'!J36,'PROM-CTOS EXP'!J36)</f>
        <v>244.20999999999998</v>
      </c>
      <c r="F68" s="368">
        <f>+COUNT('PROM-CTOS EXP'!D36:I36)</f>
        <v>2</v>
      </c>
      <c r="G68" s="296">
        <f t="shared" si="6"/>
        <v>30.452937372990949</v>
      </c>
      <c r="K68" s="311">
        <f t="shared" si="0"/>
        <v>244.20999999999998</v>
      </c>
      <c r="M68" s="33">
        <f t="shared" si="1"/>
        <v>244.20999999999998</v>
      </c>
      <c r="N68" s="30">
        <f t="shared" si="2"/>
        <v>296.48734608133719</v>
      </c>
      <c r="O68" s="314">
        <f t="shared" si="3"/>
        <v>244.20999999999998</v>
      </c>
      <c r="P68" s="30" t="str">
        <f t="shared" si="4"/>
        <v/>
      </c>
      <c r="Q68" s="30" t="str">
        <f>IF(P68="MINIMO",E68,"")</f>
        <v/>
      </c>
    </row>
    <row r="69" spans="2:17" ht="26.25" customHeight="1" thickBot="1" x14ac:dyDescent="0.3">
      <c r="B69" s="244">
        <v>29</v>
      </c>
      <c r="C69" s="244">
        <f>VLOOKUP(B69,'RESUMEN-M (1)'!B40:K105,2,FALSE)</f>
        <v>29</v>
      </c>
      <c r="D69" s="245" t="str">
        <f>VLOOKUP(C69,'RESUMEN-M (1)'!C$12:K$93,2,FALSE)</f>
        <v>CONSORCIO OJB</v>
      </c>
      <c r="E69" s="282">
        <f>IF('PROM-CTOS EXP'!C37="HÁBIL",'PROM-CTOS EXP'!J37,'PROM-CTOS EXP'!J37)</f>
        <v>565.88416666666672</v>
      </c>
      <c r="F69" s="368">
        <f>+COUNT('PROM-CTOS EXP'!D37:I37)</f>
        <v>3</v>
      </c>
      <c r="G69" s="296">
        <f t="shared" si="6"/>
        <v>64.434359412525396</v>
      </c>
      <c r="K69" s="311">
        <f t="shared" si="0"/>
        <v>565.88416666666672</v>
      </c>
      <c r="M69" s="33">
        <f t="shared" si="1"/>
        <v>565.88416666666672</v>
      </c>
      <c r="N69" s="30">
        <f t="shared" si="2"/>
        <v>25.186820585329542</v>
      </c>
      <c r="O69" s="314">
        <f t="shared" si="3"/>
        <v>565.88416666666672</v>
      </c>
      <c r="P69" s="30" t="str">
        <f t="shared" si="4"/>
        <v/>
      </c>
      <c r="Q69" s="30" t="str">
        <f t="shared" si="5"/>
        <v/>
      </c>
    </row>
    <row r="70" spans="2:17" ht="26.25" customHeight="1" thickBot="1" x14ac:dyDescent="0.3">
      <c r="B70" s="143">
        <v>30</v>
      </c>
      <c r="C70" s="244">
        <f>VLOOKUP(B70,'RESUMEN-M (1)'!B41:K106,2,FALSE)</f>
        <v>30</v>
      </c>
      <c r="D70" s="245" t="str">
        <f>VLOOKUP(C70,'RESUMEN-M (1)'!C$12:K$93,2,FALSE)</f>
        <v>PROYECTISTAS DE COLOMB
IA &amp; CIA SAS</v>
      </c>
      <c r="E70" s="282">
        <f>IF('PROM-CTOS EXP'!C38="HÁBIL",'PROM-CTOS EXP'!J38,'PROM-CTOS EXP'!J38)</f>
        <v>459.09</v>
      </c>
      <c r="F70" s="368">
        <f>+COUNT('PROM-CTOS EXP'!D38:I38)</f>
        <v>1</v>
      </c>
      <c r="G70" s="296">
        <f t="shared" si="6"/>
        <v>57.248429706262705</v>
      </c>
      <c r="K70" s="311">
        <f t="shared" si="0"/>
        <v>459.09</v>
      </c>
      <c r="M70" s="33">
        <f t="shared" si="1"/>
        <v>459.09</v>
      </c>
      <c r="N70" s="30">
        <f t="shared" si="2"/>
        <v>81.607346081337198</v>
      </c>
      <c r="O70" s="314">
        <f t="shared" si="3"/>
        <v>459.09</v>
      </c>
      <c r="P70" s="30" t="str">
        <f t="shared" si="4"/>
        <v/>
      </c>
      <c r="Q70" s="30" t="str">
        <f t="shared" si="5"/>
        <v/>
      </c>
    </row>
    <row r="71" spans="2:17" ht="26.25" customHeight="1" thickBot="1" x14ac:dyDescent="0.3">
      <c r="B71" s="244">
        <v>31</v>
      </c>
      <c r="C71" s="244">
        <f>VLOOKUP(B71,'RESUMEN-M (1)'!B42:K107,2,FALSE)</f>
        <v>31</v>
      </c>
      <c r="D71" s="245" t="str">
        <f>VLOOKUP(C71,'RESUMEN-M (1)'!C$12:K$93,2,FALSE)</f>
        <v>CONSORCIO AESA-BALER</v>
      </c>
      <c r="E71" s="282">
        <f>IF('PROM-CTOS EXP'!C39="HÁBIL",'PROM-CTOS EXP'!J39,'PROM-CTOS EXP'!J39)</f>
        <v>849.99666666666678</v>
      </c>
      <c r="F71" s="368">
        <f>+COUNT('PROM-CTOS EXP'!D39:I39)</f>
        <v>3</v>
      </c>
      <c r="G71" s="296">
        <f t="shared" si="6"/>
        <v>29.005588398300361</v>
      </c>
      <c r="K71" s="311">
        <f t="shared" si="0"/>
        <v>849.99666666666678</v>
      </c>
      <c r="M71" s="33">
        <f t="shared" si="1"/>
        <v>849.99666666666678</v>
      </c>
      <c r="N71" s="30">
        <f t="shared" si="2"/>
        <v>309.29932058532961</v>
      </c>
      <c r="O71" s="314">
        <f t="shared" si="3"/>
        <v>849.99666666666678</v>
      </c>
      <c r="P71" s="30" t="str">
        <f t="shared" si="4"/>
        <v/>
      </c>
      <c r="Q71" s="30" t="str">
        <f t="shared" si="5"/>
        <v/>
      </c>
    </row>
    <row r="72" spans="2:17" ht="26.25" customHeight="1" thickBot="1" x14ac:dyDescent="0.3">
      <c r="B72" s="143">
        <v>32</v>
      </c>
      <c r="C72" s="244">
        <f>VLOOKUP(B72,'RESUMEN-M (1)'!B43:K108,2,FALSE)</f>
        <v>32</v>
      </c>
      <c r="D72" s="245" t="str">
        <f>VLOOKUP(C72,'RESUMEN-M (1)'!C$12:K$93,2,FALSE)</f>
        <v>CONSORCIO INTERVIAL GM</v>
      </c>
      <c r="E72" s="282">
        <f>IF('PROM-CTOS EXP'!C40="HÁBIL",'PROM-CTOS EXP'!J40,'PROM-CTOS EXP'!J40)</f>
        <v>1249.75</v>
      </c>
      <c r="F72" s="368">
        <f>+COUNT('PROM-CTOS EXP'!D40:I40)</f>
        <v>1</v>
      </c>
      <c r="G72" s="296">
        <f t="shared" si="6"/>
        <v>0</v>
      </c>
      <c r="K72" s="311">
        <f t="shared" si="0"/>
        <v>1249.75</v>
      </c>
      <c r="M72" s="33">
        <f t="shared" si="1"/>
        <v>1249.75</v>
      </c>
      <c r="N72" s="30">
        <f t="shared" si="2"/>
        <v>709.05265391866283</v>
      </c>
      <c r="O72" s="314">
        <f t="shared" si="3"/>
        <v>1249.75</v>
      </c>
      <c r="P72" s="30" t="str">
        <f t="shared" si="4"/>
        <v/>
      </c>
      <c r="Q72" s="30" t="str">
        <f t="shared" si="5"/>
        <v/>
      </c>
    </row>
    <row r="73" spans="2:17" ht="26.25" customHeight="1" thickBot="1" x14ac:dyDescent="0.3">
      <c r="B73" s="244">
        <v>33</v>
      </c>
      <c r="C73" s="244">
        <f>VLOOKUP(B73,'RESUMEN-M (1)'!B44:K109,2,FALSE)</f>
        <v>33</v>
      </c>
      <c r="D73" s="245" t="str">
        <f>VLOOKUP(C73,'RESUMEN-M (1)'!C$12:K$93,2,FALSE)</f>
        <v>G&amp;C</v>
      </c>
      <c r="E73" s="282">
        <f>IF('PROM-CTOS EXP'!C41="HÁBIL",'PROM-CTOS EXP'!J41,'PROM-CTOS EXP'!J41)</f>
        <v>720.59</v>
      </c>
      <c r="F73" s="368">
        <f>+COUNT('PROM-CTOS EXP'!D41:I41)</f>
        <v>1</v>
      </c>
      <c r="G73" s="296">
        <f t="shared" si="6"/>
        <v>45.14257343432476</v>
      </c>
      <c r="K73" s="311">
        <f t="shared" si="0"/>
        <v>720.59</v>
      </c>
      <c r="M73" s="33">
        <f t="shared" ref="M73:M101" si="7">IF(E73=MAX(E$41:E$101),"DESCARTADO",E73)</f>
        <v>720.59</v>
      </c>
      <c r="N73" s="30">
        <f t="shared" si="2"/>
        <v>179.89265391866286</v>
      </c>
      <c r="O73" s="314">
        <f t="shared" si="3"/>
        <v>720.59</v>
      </c>
      <c r="P73" s="30" t="str">
        <f t="shared" si="4"/>
        <v/>
      </c>
      <c r="Q73" s="30" t="str">
        <f t="shared" si="5"/>
        <v/>
      </c>
    </row>
    <row r="74" spans="2:17" ht="26.25" customHeight="1" thickBot="1" x14ac:dyDescent="0.3">
      <c r="B74" s="143">
        <v>34</v>
      </c>
      <c r="C74" s="244">
        <f>VLOOKUP(B74,'RESUMEN-M (1)'!B45:K110,2,FALSE)</f>
        <v>34</v>
      </c>
      <c r="D74" s="245" t="str">
        <f>VLOOKUP(C74,'RESUMEN-M (1)'!C$12:K$93,2,FALSE)</f>
        <v>CONSORCIO GC</v>
      </c>
      <c r="E74" s="282">
        <f>IF('PROM-CTOS EXP'!C42="HÁBIL",'PROM-CTOS EXP'!J42,'PROM-CTOS EXP'!J42)</f>
        <v>238.08</v>
      </c>
      <c r="F74" s="368">
        <f>+COUNT('PROM-CTOS EXP'!D42:I42)</f>
        <v>1</v>
      </c>
      <c r="G74" s="296">
        <f t="shared" si="6"/>
        <v>29.688527618695741</v>
      </c>
      <c r="K74" s="311">
        <f t="shared" si="0"/>
        <v>238.08</v>
      </c>
      <c r="M74" s="33">
        <f t="shared" si="7"/>
        <v>238.08</v>
      </c>
      <c r="N74" s="30">
        <f t="shared" si="2"/>
        <v>302.61734608133713</v>
      </c>
      <c r="O74" s="314">
        <f t="shared" si="3"/>
        <v>238.08</v>
      </c>
      <c r="P74" s="30" t="str">
        <f t="shared" si="4"/>
        <v/>
      </c>
      <c r="Q74" s="30" t="str">
        <f t="shared" si="5"/>
        <v/>
      </c>
    </row>
    <row r="75" spans="2:17" ht="26.25" customHeight="1" thickBot="1" x14ac:dyDescent="0.3">
      <c r="B75" s="244">
        <v>35</v>
      </c>
      <c r="C75" s="244">
        <f>VLOOKUP(B75,'RESUMEN-M (1)'!B46:K111,2,FALSE)</f>
        <v>35</v>
      </c>
      <c r="D75" s="245" t="str">
        <f>VLOOKUP(C75,'RESUMEN-M (1)'!C$12:K$93,2,FALSE)</f>
        <v>CONSORCIO CABAC-AZIMUT</v>
      </c>
      <c r="E75" s="282">
        <f>IF('PROM-CTOS EXP'!C43="HÁBIL",'PROM-CTOS EXP'!J43,'PROM-CTOS EXP'!J43)</f>
        <v>529.21</v>
      </c>
      <c r="F75" s="368">
        <f>+COUNT('PROM-CTOS EXP'!D43:I43)</f>
        <v>1</v>
      </c>
      <c r="G75" s="296">
        <f t="shared" si="6"/>
        <v>65.992379456863119</v>
      </c>
      <c r="K75" s="311">
        <f t="shared" si="0"/>
        <v>529.21</v>
      </c>
      <c r="M75" s="33">
        <f t="shared" si="7"/>
        <v>529.21</v>
      </c>
      <c r="N75" s="30">
        <f t="shared" si="2"/>
        <v>11.487346081337137</v>
      </c>
      <c r="O75" s="314">
        <f t="shared" si="3"/>
        <v>529.21</v>
      </c>
      <c r="P75" s="30" t="str">
        <f t="shared" si="4"/>
        <v/>
      </c>
      <c r="Q75" s="30" t="str">
        <f t="shared" si="5"/>
        <v/>
      </c>
    </row>
    <row r="76" spans="2:17" ht="26.25" customHeight="1" thickBot="1" x14ac:dyDescent="0.3">
      <c r="B76" s="143">
        <v>36</v>
      </c>
      <c r="C76" s="244">
        <f>VLOOKUP(B76,'RESUMEN-M (1)'!B47:K112,2,FALSE)</f>
        <v>36</v>
      </c>
      <c r="D76" s="245" t="str">
        <f>VLOOKUP(C76,'RESUMEN-M (1)'!C$12:K$93,2,FALSE)</f>
        <v>ARQUICIVILES CONSTRUCTO
RA SAS</v>
      </c>
      <c r="E76" s="282">
        <f>IF('PROM-CTOS EXP'!C44="HÁBIL",'PROM-CTOS EXP'!J44,'PROM-CTOS EXP'!J44)</f>
        <v>380.38</v>
      </c>
      <c r="F76" s="368">
        <f>+COUNT('PROM-CTOS EXP'!D44:I44)</f>
        <v>1</v>
      </c>
      <c r="G76" s="296">
        <f t="shared" si="6"/>
        <v>47.433308701274711</v>
      </c>
      <c r="K76" s="311">
        <f t="shared" si="0"/>
        <v>380.38</v>
      </c>
      <c r="M76" s="33">
        <f t="shared" si="7"/>
        <v>380.38</v>
      </c>
      <c r="N76" s="30">
        <f t="shared" si="2"/>
        <v>160.31734608133718</v>
      </c>
      <c r="O76" s="314">
        <f t="shared" si="3"/>
        <v>380.38</v>
      </c>
      <c r="P76" s="30" t="str">
        <f t="shared" si="4"/>
        <v/>
      </c>
      <c r="Q76" s="30" t="str">
        <f t="shared" si="5"/>
        <v/>
      </c>
    </row>
    <row r="77" spans="2:17" ht="26.25" customHeight="1" thickBot="1" x14ac:dyDescent="0.3">
      <c r="B77" s="244">
        <v>37</v>
      </c>
      <c r="C77" s="244">
        <f>VLOOKUP(B77,'RESUMEN-M (1)'!B48:K113,2,FALSE)</f>
        <v>37</v>
      </c>
      <c r="D77" s="245" t="str">
        <f>VLOOKUP(C77,'RESUMEN-M (1)'!C$12:K$93,2,FALSE)</f>
        <v>VERTICE INTERVENTORIA D
E PROYECTOS SAS</v>
      </c>
      <c r="E77" s="282">
        <f>IF('PROM-CTOS EXP'!C45="HÁBIL",'PROM-CTOS EXP'!J45,'PROM-CTOS EXP'!J45)</f>
        <v>403.36</v>
      </c>
      <c r="F77" s="368">
        <f>+COUNT('PROM-CTOS EXP'!D45:I45)</f>
        <v>1</v>
      </c>
      <c r="G77" s="296">
        <f t="shared" si="6"/>
        <v>50.298910031405882</v>
      </c>
      <c r="K77" s="311">
        <f t="shared" si="0"/>
        <v>403.36</v>
      </c>
      <c r="M77" s="33">
        <f t="shared" si="7"/>
        <v>403.36</v>
      </c>
      <c r="N77" s="30">
        <f t="shared" si="2"/>
        <v>137.33734608133716</v>
      </c>
      <c r="O77" s="314">
        <f t="shared" si="3"/>
        <v>403.36</v>
      </c>
      <c r="P77" s="30" t="str">
        <f t="shared" si="4"/>
        <v/>
      </c>
      <c r="Q77" s="30" t="str">
        <f t="shared" si="5"/>
        <v/>
      </c>
    </row>
    <row r="78" spans="2:17" ht="26.25" customHeight="1" thickBot="1" x14ac:dyDescent="0.3">
      <c r="B78" s="143">
        <v>38</v>
      </c>
      <c r="C78" s="244">
        <f>VLOOKUP(B78,'RESUMEN-M (1)'!B49:K114,2,FALSE)</f>
        <v>38</v>
      </c>
      <c r="D78" s="245" t="str">
        <f>VLOOKUP(C78,'RESUMEN-M (1)'!C$12:K$93,2,FALSE)</f>
        <v>CONSORCIO INTERVENTORE
S AC</v>
      </c>
      <c r="E78" s="282">
        <f>IF('PROM-CTOS EXP'!C46="HÁBIL",'PROM-CTOS EXP'!J46,'PROM-CTOS EXP'!J46)</f>
        <v>527.495</v>
      </c>
      <c r="F78" s="368">
        <f>+COUNT('PROM-CTOS EXP'!D46:I46)</f>
        <v>2</v>
      </c>
      <c r="G78" s="296">
        <f t="shared" si="6"/>
        <v>65.778519305375951</v>
      </c>
      <c r="K78" s="311">
        <f t="shared" si="0"/>
        <v>527.495</v>
      </c>
      <c r="M78" s="33">
        <f t="shared" si="7"/>
        <v>527.495</v>
      </c>
      <c r="N78" s="30">
        <f t="shared" si="2"/>
        <v>13.202346081337168</v>
      </c>
      <c r="O78" s="314">
        <f t="shared" si="3"/>
        <v>527.495</v>
      </c>
      <c r="P78" s="30" t="str">
        <f t="shared" si="4"/>
        <v/>
      </c>
      <c r="Q78" s="30" t="str">
        <f t="shared" si="5"/>
        <v/>
      </c>
    </row>
    <row r="79" spans="2:17" ht="26.25" customHeight="1" thickBot="1" x14ac:dyDescent="0.3">
      <c r="B79" s="244">
        <v>39</v>
      </c>
      <c r="C79" s="244">
        <f>VLOOKUP(B79,'RESUMEN-M (1)'!B50:K115,2,FALSE)</f>
        <v>39</v>
      </c>
      <c r="D79" s="245" t="str">
        <f>VLOOKUP(C79,'RESUMEN-M (1)'!C$12:K$93,2,FALSE)</f>
        <v>CONSORCIO RED VIAL HUILA</v>
      </c>
      <c r="E79" s="282">
        <f>IF('PROM-CTOS EXP'!C47="HÁBIL",'PROM-CTOS EXP'!J47,'PROM-CTOS EXP'!J47)</f>
        <v>567.25333333333344</v>
      </c>
      <c r="F79" s="368">
        <f>+COUNT('PROM-CTOS EXP'!D47:I47)</f>
        <v>3</v>
      </c>
      <c r="G79" s="296">
        <f t="shared" si="6"/>
        <v>64.26362460742655</v>
      </c>
      <c r="K79" s="311">
        <f t="shared" si="0"/>
        <v>567.25333333333344</v>
      </c>
      <c r="M79" s="33">
        <f t="shared" si="7"/>
        <v>567.25333333333344</v>
      </c>
      <c r="N79" s="30">
        <f t="shared" si="2"/>
        <v>26.555987251996271</v>
      </c>
      <c r="O79" s="314">
        <f t="shared" si="3"/>
        <v>567.25333333333344</v>
      </c>
      <c r="P79" s="30" t="str">
        <f t="shared" si="4"/>
        <v/>
      </c>
      <c r="Q79" s="30" t="str">
        <f t="shared" si="5"/>
        <v/>
      </c>
    </row>
    <row r="80" spans="2:17" ht="26.25" customHeight="1" thickBot="1" x14ac:dyDescent="0.3">
      <c r="B80" s="143">
        <v>40</v>
      </c>
      <c r="C80" s="244">
        <f>VLOOKUP(B80,'RESUMEN-M (1)'!B51:K116,2,FALSE)</f>
        <v>40</v>
      </c>
      <c r="D80" s="245" t="str">
        <f>VLOOKUP(C80,'RESUMEN-M (1)'!C$12:K$93,2,FALSE)</f>
        <v>CONSORCIO SAMUEL 2024</v>
      </c>
      <c r="E80" s="282">
        <f>IF('PROM-CTOS EXP'!C48="HÁBIL",'PROM-CTOS EXP'!J48,'PROM-CTOS EXP'!J48)</f>
        <v>1076.78</v>
      </c>
      <c r="F80" s="368">
        <f>+COUNT('PROM-CTOS EXP'!D48:I48)</f>
        <v>1</v>
      </c>
      <c r="G80" s="296">
        <f t="shared" si="6"/>
        <v>0.72575281729170071</v>
      </c>
      <c r="K80" s="311">
        <f t="shared" si="0"/>
        <v>1076.78</v>
      </c>
      <c r="M80" s="33">
        <f t="shared" si="7"/>
        <v>1076.78</v>
      </c>
      <c r="N80" s="30">
        <f t="shared" si="2"/>
        <v>536.0826539186628</v>
      </c>
      <c r="O80" s="314">
        <f t="shared" si="3"/>
        <v>1076.78</v>
      </c>
      <c r="P80" s="30" t="str">
        <f t="shared" si="4"/>
        <v/>
      </c>
      <c r="Q80" s="30" t="str">
        <f t="shared" si="5"/>
        <v/>
      </c>
    </row>
    <row r="81" spans="2:17" ht="26.25" customHeight="1" thickBot="1" x14ac:dyDescent="0.3">
      <c r="B81" s="244">
        <v>41</v>
      </c>
      <c r="C81" s="244">
        <f>VLOOKUP(B81,'RESUMEN-M (1)'!B52:K117,2,FALSE)</f>
        <v>41</v>
      </c>
      <c r="D81" s="245" t="str">
        <f>VLOOKUP(C81,'RESUMEN-M (1)'!C$12:K$93,2,FALSE)</f>
        <v>CONSORCIO NOGAC</v>
      </c>
      <c r="E81" s="282">
        <f>IF('PROM-CTOS EXP'!C49="HÁBIL",'PROM-CTOS EXP'!J49,'PROM-CTOS EXP'!J49)</f>
        <v>426.14</v>
      </c>
      <c r="F81" s="368">
        <f>+COUNT('PROM-CTOS EXP'!D49:I49)</f>
        <v>1</v>
      </c>
      <c r="G81" s="296">
        <f t="shared" si="6"/>
        <v>53.139571402179939</v>
      </c>
      <c r="K81" s="311">
        <f t="shared" si="0"/>
        <v>426.14</v>
      </c>
      <c r="M81" s="33">
        <f t="shared" si="7"/>
        <v>426.14</v>
      </c>
      <c r="N81" s="30">
        <f t="shared" si="2"/>
        <v>114.55734608133719</v>
      </c>
      <c r="O81" s="314">
        <f t="shared" si="3"/>
        <v>426.14</v>
      </c>
      <c r="P81" s="30" t="str">
        <f t="shared" si="4"/>
        <v/>
      </c>
      <c r="Q81" s="30" t="str">
        <f t="shared" si="5"/>
        <v/>
      </c>
    </row>
    <row r="82" spans="2:17" ht="26.25" customHeight="1" thickBot="1" x14ac:dyDescent="0.3">
      <c r="B82" s="143">
        <v>42</v>
      </c>
      <c r="C82" s="244">
        <f>VLOOKUP(B82,'RESUMEN-M (1)'!B53:K118,2,FALSE)</f>
        <v>42</v>
      </c>
      <c r="D82" s="245" t="str">
        <f>VLOOKUP(C82,'RESUMEN-M (1)'!C$12:K$93,2,FALSE)</f>
        <v>HR ING SAS</v>
      </c>
      <c r="E82" s="282">
        <f>IF('PROM-CTOS EXP'!C50="HÁBIL",'PROM-CTOS EXP'!J50,'PROM-CTOS EXP'!J50)</f>
        <v>412.72</v>
      </c>
      <c r="F82" s="368">
        <f>+COUNT('PROM-CTOS EXP'!D50:I50)</f>
        <v>1</v>
      </c>
      <c r="G82" s="296">
        <f t="shared" si="6"/>
        <v>51.466100129318313</v>
      </c>
      <c r="K82" s="311">
        <f t="shared" si="0"/>
        <v>412.72</v>
      </c>
      <c r="M82" s="33">
        <f t="shared" si="7"/>
        <v>412.72</v>
      </c>
      <c r="N82" s="30">
        <f t="shared" si="2"/>
        <v>127.97734608133715</v>
      </c>
      <c r="O82" s="314">
        <f t="shared" si="3"/>
        <v>412.72</v>
      </c>
      <c r="P82" s="30" t="str">
        <f t="shared" si="4"/>
        <v/>
      </c>
      <c r="Q82" s="30" t="str">
        <f t="shared" si="5"/>
        <v/>
      </c>
    </row>
    <row r="83" spans="2:17" ht="26.25" customHeight="1" thickBot="1" x14ac:dyDescent="0.3">
      <c r="B83" s="244">
        <v>43</v>
      </c>
      <c r="C83" s="244">
        <f>VLOOKUP(B83,'RESUMEN-M (1)'!B54:K119,2,FALSE)</f>
        <v>43</v>
      </c>
      <c r="D83" s="245" t="str">
        <f>VLOOKUP(C83,'RESUMEN-M (1)'!C$12:K$93,2,FALSE)</f>
        <v>UCPI MAGDALENA</v>
      </c>
      <c r="E83" s="282">
        <f>IF('PROM-CTOS EXP'!C51="HÁBIL",'PROM-CTOS EXP'!J51,'PROM-CTOS EXP'!J51)</f>
        <v>1490.5316666666668</v>
      </c>
      <c r="F83" s="368">
        <f>+COUNT('PROM-CTOS EXP'!D51:I51)</f>
        <v>3</v>
      </c>
      <c r="G83" s="296">
        <f t="shared" si="6"/>
        <v>0</v>
      </c>
      <c r="K83" s="311">
        <f t="shared" si="0"/>
        <v>1490.5316666666668</v>
      </c>
      <c r="M83" s="33">
        <f t="shared" si="7"/>
        <v>1490.5316666666668</v>
      </c>
      <c r="N83" s="30">
        <f t="shared" si="2"/>
        <v>949.83432058532958</v>
      </c>
      <c r="O83" s="314">
        <f t="shared" si="3"/>
        <v>1490.5316666666668</v>
      </c>
      <c r="P83" s="30" t="str">
        <f t="shared" si="4"/>
        <v/>
      </c>
      <c r="Q83" s="30" t="str">
        <f t="shared" si="5"/>
        <v/>
      </c>
    </row>
    <row r="84" spans="2:17" ht="26.25" customHeight="1" thickBot="1" x14ac:dyDescent="0.3">
      <c r="B84" s="143">
        <v>44</v>
      </c>
      <c r="C84" s="244">
        <f>VLOOKUP(B84,'RESUMEN-M (1)'!B55:K120,2,FALSE)</f>
        <v>44</v>
      </c>
      <c r="D84" s="245" t="str">
        <f>VLOOKUP(C84,'RESUMEN-M (1)'!C$12:K$93,2,FALSE)</f>
        <v>VIGAVI ZOMAC S.A.S</v>
      </c>
      <c r="E84" s="282">
        <f>IF('PROM-CTOS EXP'!C52="HÁBIL",'PROM-CTOS EXP'!J52,'PROM-CTOS EXP'!J52)</f>
        <v>418.56</v>
      </c>
      <c r="F84" s="368">
        <f>+COUNT('PROM-CTOS EXP'!D52:I52)</f>
        <v>1</v>
      </c>
      <c r="G84" s="296">
        <f t="shared" si="6"/>
        <v>52.194346942545728</v>
      </c>
      <c r="K84" s="311">
        <f t="shared" si="0"/>
        <v>418.56</v>
      </c>
      <c r="M84" s="33">
        <f t="shared" si="7"/>
        <v>418.56</v>
      </c>
      <c r="N84" s="30">
        <f t="shared" si="2"/>
        <v>122.13734608133717</v>
      </c>
      <c r="O84" s="314">
        <f t="shared" si="3"/>
        <v>418.56</v>
      </c>
      <c r="P84" s="30" t="str">
        <f t="shared" si="4"/>
        <v/>
      </c>
      <c r="Q84" s="30" t="str">
        <f t="shared" si="5"/>
        <v/>
      </c>
    </row>
    <row r="85" spans="2:17" ht="26.25" customHeight="1" thickBot="1" x14ac:dyDescent="0.3">
      <c r="B85" s="244">
        <v>45</v>
      </c>
      <c r="C85" s="244">
        <f>VLOOKUP(B85,'RESUMEN-M (1)'!B56:K121,2,FALSE)</f>
        <v>45</v>
      </c>
      <c r="D85" s="245" t="str">
        <f>VLOOKUP(C85,'RESUMEN-M (1)'!C$12:K$93,2,FALSE)</f>
        <v>CONSTRUCTORA VISAA S.A.
S.</v>
      </c>
      <c r="E85" s="282">
        <f>IF('PROM-CTOS EXP'!C53="HÁBIL",'PROM-CTOS EXP'!J53,'PROM-CTOS EXP'!J53)</f>
        <v>80.973500000000001</v>
      </c>
      <c r="F85" s="368">
        <f>+COUNT('PROM-CTOS EXP'!D53:I53)</f>
        <v>4</v>
      </c>
      <c r="G85" s="296">
        <f t="shared" si="6"/>
        <v>10.097378995012006</v>
      </c>
      <c r="I85" s="185"/>
      <c r="K85" s="311">
        <f t="shared" si="0"/>
        <v>80.973500000000001</v>
      </c>
      <c r="M85" s="33">
        <f t="shared" si="7"/>
        <v>80.973500000000001</v>
      </c>
      <c r="N85" s="30">
        <f t="shared" si="2"/>
        <v>459.72384608133717</v>
      </c>
      <c r="O85" s="314" t="str">
        <f t="shared" si="3"/>
        <v>DESCARTADO</v>
      </c>
      <c r="P85" s="30" t="str">
        <f t="shared" si="4"/>
        <v/>
      </c>
      <c r="Q85" s="30" t="str">
        <f t="shared" si="5"/>
        <v/>
      </c>
    </row>
    <row r="86" spans="2:17" ht="26.25" customHeight="1" thickBot="1" x14ac:dyDescent="0.3">
      <c r="B86" s="143">
        <v>46</v>
      </c>
      <c r="C86" s="244">
        <f>VLOOKUP(B86,'RESUMEN-M (1)'!B57:K121,2,FALSE)</f>
        <v>46</v>
      </c>
      <c r="D86" s="245" t="str">
        <f>VLOOKUP(C86,'RESUMEN-M (1)'!C$12:K$93,2,FALSE)</f>
        <v>CONSORCIO INTERVIAS A.S.
A.</v>
      </c>
      <c r="E86" s="282">
        <f>IF('PROM-CTOS EXP'!C54="HÁBIL",'PROM-CTOS EXP'!J54,'PROM-CTOS EXP'!J54)</f>
        <v>748.048</v>
      </c>
      <c r="F86" s="368">
        <f>+COUNT('PROM-CTOS EXP'!D54:I54)</f>
        <v>2</v>
      </c>
      <c r="G86" s="296">
        <f t="shared" si="6"/>
        <v>41.718566414188054</v>
      </c>
      <c r="K86" s="311">
        <f t="shared" si="0"/>
        <v>748.048</v>
      </c>
      <c r="M86" s="33">
        <f t="shared" si="7"/>
        <v>748.048</v>
      </c>
      <c r="N86" s="30">
        <f t="shared" si="2"/>
        <v>207.35065391866283</v>
      </c>
      <c r="O86" s="314">
        <f t="shared" si="3"/>
        <v>748.048</v>
      </c>
      <c r="P86" s="30" t="str">
        <f t="shared" si="4"/>
        <v/>
      </c>
      <c r="Q86" s="30" t="str">
        <f t="shared" si="5"/>
        <v/>
      </c>
    </row>
    <row r="87" spans="2:17" ht="26.25" customHeight="1" thickBot="1" x14ac:dyDescent="0.3">
      <c r="B87" s="244">
        <v>47</v>
      </c>
      <c r="C87" s="244">
        <f>VLOOKUP(B87,'RESUMEN-M (1)'!B58:K122,2,FALSE)</f>
        <v>47</v>
      </c>
      <c r="D87" s="245" t="str">
        <f>VLOOKUP(C87,'RESUMEN-M (1)'!C$12:K$93,2,FALSE)</f>
        <v>LEMOINE RIVERA INGENIEROS ASOCIADOS SAS</v>
      </c>
      <c r="E87" s="282">
        <f>IF('PROM-CTOS EXP'!C55="HÁBIL",'PROM-CTOS EXP'!J55,'PROM-CTOS EXP'!J55)</f>
        <v>438.17070000000001</v>
      </c>
      <c r="F87" s="368">
        <f>+COUNT('PROM-CTOS EXP'!D55:I55)</f>
        <v>1</v>
      </c>
      <c r="G87" s="296">
        <f t="shared" si="6"/>
        <v>54.639797247367454</v>
      </c>
      <c r="K87" s="311">
        <f t="shared" si="0"/>
        <v>438.17070000000001</v>
      </c>
      <c r="M87" s="33">
        <f t="shared" si="7"/>
        <v>438.17070000000001</v>
      </c>
      <c r="N87" s="30">
        <f t="shared" si="2"/>
        <v>102.52664608133716</v>
      </c>
      <c r="O87" s="314">
        <f t="shared" si="3"/>
        <v>438.17070000000001</v>
      </c>
      <c r="P87" s="30" t="str">
        <f t="shared" si="4"/>
        <v/>
      </c>
      <c r="Q87" s="30" t="str">
        <f t="shared" si="5"/>
        <v/>
      </c>
    </row>
    <row r="88" spans="2:17" ht="26.25" customHeight="1" thickBot="1" x14ac:dyDescent="0.3">
      <c r="B88" s="143">
        <v>48</v>
      </c>
      <c r="C88" s="244">
        <f>VLOOKUP(B88,'RESUMEN-M (1)'!B59:K123,2,FALSE)</f>
        <v>48</v>
      </c>
      <c r="D88" s="245" t="str">
        <f>VLOOKUP(C88,'RESUMEN-M (1)'!C$12:K$93,2,FALSE)</f>
        <v>AVGR INGENIERIA S.A.S.</v>
      </c>
      <c r="E88" s="282">
        <f>IF('PROM-CTOS EXP'!C56="HÁBIL",'PROM-CTOS EXP'!J56,'PROM-CTOS EXP'!J56)</f>
        <v>541.29999999999995</v>
      </c>
      <c r="F88" s="368">
        <f>+COUNT('PROM-CTOS EXP'!D56:I56)</f>
        <v>2</v>
      </c>
      <c r="G88" s="296">
        <f t="shared" si="6"/>
        <v>67.5</v>
      </c>
      <c r="K88" s="311">
        <f t="shared" si="0"/>
        <v>541.29999999999995</v>
      </c>
      <c r="M88" s="33">
        <f t="shared" si="7"/>
        <v>541.29999999999995</v>
      </c>
      <c r="N88" s="30">
        <f t="shared" si="2"/>
        <v>0.60265391866278151</v>
      </c>
      <c r="O88" s="314">
        <f t="shared" si="3"/>
        <v>541.29999999999995</v>
      </c>
      <c r="P88" s="30" t="str">
        <f t="shared" si="4"/>
        <v>MINIMO</v>
      </c>
      <c r="Q88" s="30">
        <f t="shared" si="5"/>
        <v>541.29999999999995</v>
      </c>
    </row>
    <row r="89" spans="2:17" ht="26.25" customHeight="1" thickBot="1" x14ac:dyDescent="0.3">
      <c r="B89" s="244">
        <v>49</v>
      </c>
      <c r="C89" s="244">
        <f>VLOOKUP(B89,'RESUMEN-M (1)'!B60:K124,2,FALSE)</f>
        <v>49</v>
      </c>
      <c r="D89" s="245" t="str">
        <f>VLOOKUP(C89,'RESUMEN-M (1)'!C$12:K$93,2,FALSE)</f>
        <v>ICE S.A.S.</v>
      </c>
      <c r="E89" s="282">
        <f>IF('PROM-CTOS EXP'!C57="HÁBIL",'PROM-CTOS EXP'!J57,'PROM-CTOS EXP'!J57)</f>
        <v>1026.5900000000001</v>
      </c>
      <c r="F89" s="368">
        <f>+COUNT('PROM-CTOS EXP'!D57:I57)</f>
        <v>4</v>
      </c>
      <c r="G89" s="296">
        <f t="shared" si="6"/>
        <v>6.9844356179567439</v>
      </c>
      <c r="K89" s="311">
        <f t="shared" si="0"/>
        <v>1026.5900000000001</v>
      </c>
      <c r="M89" s="33">
        <f t="shared" si="7"/>
        <v>1026.5900000000001</v>
      </c>
      <c r="N89" s="30">
        <f t="shared" si="2"/>
        <v>485.89265391866297</v>
      </c>
      <c r="O89" s="314">
        <f t="shared" si="3"/>
        <v>1026.5900000000001</v>
      </c>
      <c r="P89" s="30" t="str">
        <f t="shared" si="4"/>
        <v/>
      </c>
      <c r="Q89" s="30" t="str">
        <f t="shared" si="5"/>
        <v/>
      </c>
    </row>
    <row r="90" spans="2:17" ht="26.25" customHeight="1" thickBot="1" x14ac:dyDescent="0.3">
      <c r="B90" s="143">
        <v>50</v>
      </c>
      <c r="C90" s="244">
        <f>VLOOKUP(B90,'RESUMEN-M (1)'!B61:K125,2,FALSE)</f>
        <v>50</v>
      </c>
      <c r="D90" s="245" t="str">
        <f>VLOOKUP(C90,'RESUMEN-M (1)'!C$12:K$93,2,FALSE)</f>
        <v>CONSORCIO INTER JC MAG</v>
      </c>
      <c r="E90" s="282" t="str">
        <f>IF('PROM-CTOS EXP'!C58="HÁBIL",'PROM-CTOS EXP'!J58,'PROM-CTOS EXP'!J58)</f>
        <v>RECHAZADO</v>
      </c>
      <c r="F90" s="368">
        <f>+COUNT('PROM-CTOS EXP'!D58:I58)</f>
        <v>2</v>
      </c>
      <c r="G90" s="296" t="str">
        <f t="shared" si="6"/>
        <v/>
      </c>
      <c r="K90" s="311" t="str">
        <f t="shared" si="0"/>
        <v>RECHAZADO</v>
      </c>
      <c r="M90" s="33" t="str">
        <f t="shared" si="7"/>
        <v>RECHAZADO</v>
      </c>
      <c r="N90" s="30" t="str">
        <f t="shared" si="2"/>
        <v/>
      </c>
      <c r="O90" s="314" t="str">
        <f t="shared" si="3"/>
        <v>RECHAZADO</v>
      </c>
      <c r="P90" s="30" t="str">
        <f t="shared" si="4"/>
        <v/>
      </c>
      <c r="Q90" s="30" t="str">
        <f t="shared" si="5"/>
        <v/>
      </c>
    </row>
    <row r="91" spans="2:17" ht="26.25" customHeight="1" thickBot="1" x14ac:dyDescent="0.3">
      <c r="B91" s="244">
        <v>51</v>
      </c>
      <c r="C91" s="244">
        <f>VLOOKUP(B91,'RESUMEN-M (1)'!B62:K126,2,FALSE)</f>
        <v>51</v>
      </c>
      <c r="D91" s="245" t="str">
        <f>VLOOKUP(C91,'RESUMEN-M (1)'!C$12:K$93,2,FALSE)</f>
        <v>CONSORCIO VIAL 2023</v>
      </c>
      <c r="E91" s="282">
        <f>IF('PROM-CTOS EXP'!C59="HÁBIL",'PROM-CTOS EXP'!J59,'PROM-CTOS EXP'!J59)</f>
        <v>1702.17</v>
      </c>
      <c r="F91" s="368">
        <f>+COUNT('PROM-CTOS EXP'!D59:I59)</f>
        <v>1</v>
      </c>
      <c r="G91" s="296">
        <f t="shared" si="6"/>
        <v>0</v>
      </c>
      <c r="K91" s="311">
        <f t="shared" si="0"/>
        <v>1702.17</v>
      </c>
      <c r="M91" s="33">
        <f t="shared" si="7"/>
        <v>1702.17</v>
      </c>
      <c r="N91" s="30">
        <f t="shared" si="2"/>
        <v>1161.4726539186629</v>
      </c>
      <c r="O91" s="314">
        <f t="shared" si="3"/>
        <v>1702.17</v>
      </c>
      <c r="P91" s="30" t="str">
        <f t="shared" si="4"/>
        <v/>
      </c>
      <c r="Q91" s="30" t="str">
        <f t="shared" si="5"/>
        <v/>
      </c>
    </row>
    <row r="92" spans="2:17" ht="26.25" customHeight="1" thickBot="1" x14ac:dyDescent="0.3">
      <c r="B92" s="143">
        <v>52</v>
      </c>
      <c r="C92" s="244">
        <f>VLOOKUP(B92,'RESUMEN-M (1)'!B63:K127,2,FALSE)</f>
        <v>52</v>
      </c>
      <c r="D92" s="245" t="str">
        <f>VLOOKUP(C92,'RESUMEN-M (1)'!C$12:K$93,2,FALSE)</f>
        <v>SAICON SAS</v>
      </c>
      <c r="E92" s="282">
        <f>IF('PROM-CTOS EXP'!C60="HÁBIL",'PROM-CTOS EXP'!J60,'PROM-CTOS EXP'!J60)</f>
        <v>534.4</v>
      </c>
      <c r="F92" s="368">
        <f>+COUNT('PROM-CTOS EXP'!D60:I60)</f>
        <v>1</v>
      </c>
      <c r="G92" s="296">
        <f t="shared" si="6"/>
        <v>66.639571402179939</v>
      </c>
      <c r="K92" s="311">
        <f t="shared" si="0"/>
        <v>534.4</v>
      </c>
      <c r="M92" s="33">
        <f t="shared" si="7"/>
        <v>534.4</v>
      </c>
      <c r="N92" s="30">
        <f t="shared" si="2"/>
        <v>6.2973460813371958</v>
      </c>
      <c r="O92" s="314">
        <f t="shared" si="3"/>
        <v>534.4</v>
      </c>
      <c r="P92" s="30" t="str">
        <f t="shared" si="4"/>
        <v/>
      </c>
      <c r="Q92" s="30" t="str">
        <f t="shared" si="5"/>
        <v/>
      </c>
    </row>
    <row r="93" spans="2:17" ht="26.25" customHeight="1" thickBot="1" x14ac:dyDescent="0.3">
      <c r="B93" s="244">
        <v>53</v>
      </c>
      <c r="C93" s="244">
        <f>VLOOKUP(B93,'RESUMEN-M (1)'!B64:K128,2,FALSE)</f>
        <v>53</v>
      </c>
      <c r="D93" s="245" t="str">
        <f>VLOOKUP(C93,'RESUMEN-M (1)'!C$12:K$93,2,FALSE)</f>
        <v>SOTA LTDA</v>
      </c>
      <c r="E93" s="282">
        <f>IF('PROM-CTOS EXP'!C61="HÁBIL",'PROM-CTOS EXP'!J61,'PROM-CTOS EXP'!J61)</f>
        <v>856.21</v>
      </c>
      <c r="F93" s="368">
        <f>+COUNT('PROM-CTOS EXP'!D61:I61)</f>
        <v>1</v>
      </c>
      <c r="G93" s="296">
        <f t="shared" si="6"/>
        <v>28.230786994273032</v>
      </c>
      <c r="K93" s="311">
        <f t="shared" si="0"/>
        <v>856.21</v>
      </c>
      <c r="M93" s="33">
        <f t="shared" si="7"/>
        <v>856.21</v>
      </c>
      <c r="N93" s="30">
        <f t="shared" si="2"/>
        <v>315.51265391866286</v>
      </c>
      <c r="O93" s="314">
        <f t="shared" si="3"/>
        <v>856.21</v>
      </c>
      <c r="P93" s="30" t="str">
        <f t="shared" si="4"/>
        <v/>
      </c>
      <c r="Q93" s="30" t="str">
        <f t="shared" si="5"/>
        <v/>
      </c>
    </row>
    <row r="94" spans="2:17" ht="26.25" customHeight="1" thickBot="1" x14ac:dyDescent="0.3">
      <c r="B94" s="143">
        <v>54</v>
      </c>
      <c r="C94" s="244">
        <f>VLOOKUP(B94,'RESUMEN-M (1)'!B65:K129,2,FALSE)</f>
        <v>54</v>
      </c>
      <c r="D94" s="245" t="str">
        <f>VLOOKUP(C94,'RESUMEN-M (1)'!C$12:K$93,2,FALSE)</f>
        <v>JAMES ALBERTO KAMMERER JIMENEZ</v>
      </c>
      <c r="E94" s="282">
        <f>IF('PROM-CTOS EXP'!C62="HÁBIL",'PROM-CTOS EXP'!J62,'PROM-CTOS EXP'!J62)</f>
        <v>1229.9000000000001</v>
      </c>
      <c r="F94" s="368">
        <f>+COUNT('PROM-CTOS EXP'!D62:I62)</f>
        <v>1</v>
      </c>
      <c r="G94" s="296">
        <f t="shared" si="6"/>
        <v>0</v>
      </c>
      <c r="K94" s="311">
        <f t="shared" si="0"/>
        <v>1229.9000000000001</v>
      </c>
      <c r="M94" s="33">
        <f t="shared" si="7"/>
        <v>1229.9000000000001</v>
      </c>
      <c r="N94" s="30">
        <f t="shared" si="2"/>
        <v>689.20265391866292</v>
      </c>
      <c r="O94" s="314">
        <f t="shared" si="3"/>
        <v>1229.9000000000001</v>
      </c>
      <c r="P94" s="30" t="str">
        <f t="shared" si="4"/>
        <v/>
      </c>
      <c r="Q94" s="30" t="str">
        <f t="shared" si="5"/>
        <v/>
      </c>
    </row>
    <row r="95" spans="2:17" ht="26.25" customHeight="1" thickBot="1" x14ac:dyDescent="0.3">
      <c r="B95" s="244">
        <v>55</v>
      </c>
      <c r="C95" s="244">
        <f>VLOOKUP(B95,'RESUMEN-M (1)'!B66:K130,2,FALSE)</f>
        <v>55</v>
      </c>
      <c r="D95" s="245" t="str">
        <f>VLOOKUP(C95,'RESUMEN-M (1)'!C$12:K$93,2,FALSE)</f>
        <v>DBB INGENIERÍA SAS</v>
      </c>
      <c r="E95" s="282">
        <f>IF('PROM-CTOS EXP'!C63="HÁBIL",'PROM-CTOS EXP'!J63,'PROM-CTOS EXP'!J63)</f>
        <v>434.3</v>
      </c>
      <c r="F95" s="368">
        <f>+COUNT('PROM-CTOS EXP'!D63:I63)</f>
        <v>2</v>
      </c>
      <c r="G95" s="296">
        <f t="shared" si="6"/>
        <v>54.157121743949759</v>
      </c>
      <c r="K95" s="311">
        <f t="shared" si="0"/>
        <v>434.3</v>
      </c>
      <c r="M95" s="33">
        <f t="shared" si="7"/>
        <v>434.3</v>
      </c>
      <c r="N95" s="30">
        <f t="shared" si="2"/>
        <v>106.39734608133716</v>
      </c>
      <c r="O95" s="314">
        <f t="shared" si="3"/>
        <v>434.3</v>
      </c>
      <c r="P95" s="30" t="str">
        <f t="shared" si="4"/>
        <v/>
      </c>
      <c r="Q95" s="30" t="str">
        <f t="shared" si="5"/>
        <v/>
      </c>
    </row>
    <row r="96" spans="2:17" ht="26.25" customHeight="1" thickBot="1" x14ac:dyDescent="0.3">
      <c r="B96" s="143">
        <v>56</v>
      </c>
      <c r="C96" s="244">
        <f>VLOOKUP(B96,'RESUMEN-M (1)'!B67:K131,2,FALSE)</f>
        <v>56</v>
      </c>
      <c r="D96" s="245" t="str">
        <f>VLOOKUP(C96,'RESUMEN-M (1)'!C$12:K$93,2,FALSE)</f>
        <v>LITORAL CONSULTING SAS</v>
      </c>
      <c r="E96" s="282">
        <f>IF('PROM-CTOS EXP'!C64="HÁBIL",'PROM-CTOS EXP'!J64,'PROM-CTOS EXP'!J64)</f>
        <v>425.6825</v>
      </c>
      <c r="F96" s="368">
        <f>+COUNT('PROM-CTOS EXP'!D64:I64)</f>
        <v>4</v>
      </c>
      <c r="G96" s="296">
        <f t="shared" si="6"/>
        <v>53.082521245150566</v>
      </c>
      <c r="K96" s="311">
        <f t="shared" si="0"/>
        <v>425.6825</v>
      </c>
      <c r="M96" s="33">
        <f t="shared" si="7"/>
        <v>425.6825</v>
      </c>
      <c r="N96" s="30">
        <f t="shared" si="2"/>
        <v>115.01484608133717</v>
      </c>
      <c r="O96" s="314">
        <f t="shared" si="3"/>
        <v>425.6825</v>
      </c>
      <c r="P96" s="30" t="str">
        <f t="shared" si="4"/>
        <v/>
      </c>
      <c r="Q96" s="30" t="str">
        <f t="shared" si="5"/>
        <v/>
      </c>
    </row>
    <row r="97" spans="2:17" ht="26.25" customHeight="1" thickBot="1" x14ac:dyDescent="0.3">
      <c r="B97" s="244">
        <v>57</v>
      </c>
      <c r="C97" s="244">
        <f>VLOOKUP(B97,'RESUMEN-M (1)'!B68:K132,2,FALSE)</f>
        <v>57</v>
      </c>
      <c r="D97" s="245" t="str">
        <f>VLOOKUP(C97,'RESUMEN-M (1)'!C$12:K$93,2,FALSE)</f>
        <v>CONSORCIO HGR - INCON</v>
      </c>
      <c r="E97" s="282">
        <f>IF('PROM-CTOS EXP'!C65="HÁBIL",'PROM-CTOS EXP'!J65,'PROM-CTOS EXP'!J65)</f>
        <v>532.98</v>
      </c>
      <c r="F97" s="368">
        <f>+COUNT('PROM-CTOS EXP'!D65:I65)</f>
        <v>1</v>
      </c>
      <c r="G97" s="296">
        <f t="shared" si="6"/>
        <v>66.462497690744513</v>
      </c>
      <c r="K97" s="311">
        <f t="shared" si="0"/>
        <v>532.98</v>
      </c>
      <c r="M97" s="33">
        <f t="shared" si="7"/>
        <v>532.98</v>
      </c>
      <c r="N97" s="30">
        <f t="shared" si="2"/>
        <v>7.7173460813371548</v>
      </c>
      <c r="O97" s="314">
        <f t="shared" si="3"/>
        <v>532.98</v>
      </c>
      <c r="P97" s="30" t="str">
        <f t="shared" si="4"/>
        <v/>
      </c>
      <c r="Q97" s="30" t="str">
        <f t="shared" si="5"/>
        <v/>
      </c>
    </row>
    <row r="98" spans="2:17" ht="26.25" customHeight="1" thickBot="1" x14ac:dyDescent="0.3">
      <c r="B98" s="143">
        <v>58</v>
      </c>
      <c r="C98" s="244">
        <f>VLOOKUP(B98,'RESUMEN-M (1)'!B69:K133,2,FALSE)</f>
        <v>58</v>
      </c>
      <c r="D98" s="245" t="str">
        <f>VLOOKUP(C98,'RESUMEN-M (1)'!C$12:K$93,2,FALSE)</f>
        <v>INGEOCILCON S.A.S.</v>
      </c>
      <c r="E98" s="282">
        <f>IF('PROM-CTOS EXP'!C66="HÁBIL",'PROM-CTOS EXP'!J66,'PROM-CTOS EXP'!J66)</f>
        <v>1250.8399999999999</v>
      </c>
      <c r="F98" s="368">
        <f>+COUNT('PROM-CTOS EXP'!D66:I66)</f>
        <v>2</v>
      </c>
      <c r="G98" s="296">
        <f t="shared" si="6"/>
        <v>0</v>
      </c>
      <c r="K98" s="311">
        <f t="shared" si="0"/>
        <v>1250.8399999999999</v>
      </c>
      <c r="M98" s="33">
        <f t="shared" si="7"/>
        <v>1250.8399999999999</v>
      </c>
      <c r="N98" s="30">
        <f t="shared" si="2"/>
        <v>710.14265391866275</v>
      </c>
      <c r="O98" s="314">
        <f t="shared" si="3"/>
        <v>1250.8399999999999</v>
      </c>
      <c r="P98" s="30" t="str">
        <f t="shared" si="4"/>
        <v/>
      </c>
      <c r="Q98" s="30" t="str">
        <f t="shared" si="5"/>
        <v/>
      </c>
    </row>
    <row r="99" spans="2:17" ht="26.25" customHeight="1" thickBot="1" x14ac:dyDescent="0.3">
      <c r="B99" s="244">
        <v>59</v>
      </c>
      <c r="C99" s="244">
        <f>VLOOKUP(B99,'RESUMEN-M (1)'!B70:K134,2,FALSE)</f>
        <v>59</v>
      </c>
      <c r="D99" s="245" t="str">
        <f>VLOOKUP(C99,'RESUMEN-M (1)'!C$12:K$93,2,FALSE)</f>
        <v>CONSORCIO VÍAS PROTEV</v>
      </c>
      <c r="E99" s="282">
        <f>IF('PROM-CTOS EXP'!C67="HÁBIL",'PROM-CTOS EXP'!J67,'PROM-CTOS EXP'!J67)</f>
        <v>468.2</v>
      </c>
      <c r="F99" s="368">
        <f>+COUNT('PROM-CTOS EXP'!D67:I67)</f>
        <v>2</v>
      </c>
      <c r="G99" s="296">
        <f t="shared" si="6"/>
        <v>58.38444485497876</v>
      </c>
      <c r="K99" s="311">
        <f t="shared" si="0"/>
        <v>468.2</v>
      </c>
      <c r="M99" s="33">
        <f t="shared" si="7"/>
        <v>468.2</v>
      </c>
      <c r="N99" s="30">
        <f t="shared" si="2"/>
        <v>72.497346081337184</v>
      </c>
      <c r="O99" s="314">
        <f t="shared" si="3"/>
        <v>468.2</v>
      </c>
      <c r="P99" s="30" t="str">
        <f t="shared" si="4"/>
        <v/>
      </c>
      <c r="Q99" s="30" t="str">
        <f t="shared" si="5"/>
        <v/>
      </c>
    </row>
    <row r="100" spans="2:17" ht="26.25" customHeight="1" thickBot="1" x14ac:dyDescent="0.3">
      <c r="B100" s="143">
        <v>60</v>
      </c>
      <c r="C100" s="244">
        <f>VLOOKUP(B100,'RESUMEN-M (1)'!B71:K135,2,FALSE)</f>
        <v>60</v>
      </c>
      <c r="D100" s="245" t="str">
        <f>VLOOKUP(C100,'RESUMEN-M (1)'!C$12:K$93,2,FALSE)</f>
        <v>GER&amp;PRO S.A.S</v>
      </c>
      <c r="E100" s="282">
        <f>IF('PROM-CTOS EXP'!C68="HÁBIL",'PROM-CTOS EXP'!J68,'PROM-CTOS EXP'!J68)</f>
        <v>400.94</v>
      </c>
      <c r="F100" s="368">
        <f>+COUNT('PROM-CTOS EXP'!D68:I68)</f>
        <v>1</v>
      </c>
      <c r="G100" s="296">
        <f t="shared" si="6"/>
        <v>49.997136523184928</v>
      </c>
      <c r="K100" s="311">
        <f t="shared" si="0"/>
        <v>400.94</v>
      </c>
      <c r="M100" s="33">
        <f t="shared" si="7"/>
        <v>400.94</v>
      </c>
      <c r="N100" s="30">
        <f t="shared" si="2"/>
        <v>139.75734608133718</v>
      </c>
      <c r="O100" s="314">
        <f t="shared" si="3"/>
        <v>400.94</v>
      </c>
      <c r="P100" s="30" t="str">
        <f t="shared" si="4"/>
        <v/>
      </c>
      <c r="Q100" s="30" t="str">
        <f t="shared" si="5"/>
        <v/>
      </c>
    </row>
    <row r="101" spans="2:17" ht="26.25" customHeight="1" thickBot="1" x14ac:dyDescent="0.3">
      <c r="B101" s="244">
        <v>61</v>
      </c>
      <c r="C101" s="244">
        <f>VLOOKUP(B101,'RESUMEN-M (1)'!B72:K136,2,FALSE)</f>
        <v>61</v>
      </c>
      <c r="D101" s="245" t="str">
        <f>VLOOKUP(C101,'RESUMEN-M (1)'!C$12:K$93,2,FALSE)</f>
        <v>INTEGRAL MAGDALENA 78</v>
      </c>
      <c r="E101" s="282">
        <f>IF('PROM-CTOS EXP'!C69="HÁBIL",'PROM-CTOS EXP'!J69,'PROM-CTOS EXP'!J69)</f>
        <v>231.09</v>
      </c>
      <c r="F101" s="368">
        <f>+COUNT('PROM-CTOS EXP'!D69:I69)</f>
        <v>1</v>
      </c>
      <c r="G101" s="296">
        <f t="shared" si="6"/>
        <v>28.816876039164981</v>
      </c>
      <c r="K101" s="311">
        <f t="shared" si="0"/>
        <v>231.09</v>
      </c>
      <c r="M101" s="33">
        <f t="shared" si="7"/>
        <v>231.09</v>
      </c>
      <c r="N101" s="30">
        <f t="shared" si="2"/>
        <v>309.60734608133714</v>
      </c>
      <c r="O101" s="314">
        <f t="shared" si="3"/>
        <v>231.09</v>
      </c>
      <c r="P101" s="30" t="str">
        <f t="shared" si="4"/>
        <v/>
      </c>
      <c r="Q101" s="30" t="str">
        <f t="shared" si="5"/>
        <v/>
      </c>
    </row>
    <row r="102" spans="2:17" ht="13.8" thickBot="1" x14ac:dyDescent="0.3">
      <c r="B102" s="423"/>
      <c r="C102" s="424"/>
      <c r="D102" s="424"/>
      <c r="E102" s="425"/>
      <c r="F102" s="369"/>
      <c r="G102" s="304"/>
    </row>
    <row r="103" spans="2:17" hidden="1" x14ac:dyDescent="0.25">
      <c r="B103" s="437" t="s">
        <v>177</v>
      </c>
      <c r="C103" s="438"/>
      <c r="D103" s="491"/>
      <c r="E103" s="46">
        <f>MEDIAN(E41:E101)</f>
        <v>490.36</v>
      </c>
      <c r="F103" s="369"/>
      <c r="G103" s="525"/>
    </row>
    <row r="104" spans="2:17" hidden="1" x14ac:dyDescent="0.25">
      <c r="B104" s="475" t="s">
        <v>178</v>
      </c>
      <c r="C104" s="476"/>
      <c r="D104" s="477"/>
      <c r="E104" s="47">
        <v>67.5</v>
      </c>
      <c r="F104" s="369"/>
      <c r="G104" s="495"/>
    </row>
    <row r="105" spans="2:17" ht="18.75" hidden="1" customHeight="1" x14ac:dyDescent="0.25">
      <c r="B105" s="519" t="s">
        <v>179</v>
      </c>
      <c r="C105" s="520"/>
      <c r="D105" s="521"/>
      <c r="E105" s="48" cm="1">
        <f t="array" ref="E105">MAX(IF(E41:E101&lt;H19,E41:E101))</f>
        <v>645.1</v>
      </c>
      <c r="F105" s="369"/>
      <c r="G105" s="481"/>
    </row>
    <row r="106" spans="2:17" ht="13.8" hidden="1" thickBot="1" x14ac:dyDescent="0.3">
      <c r="B106" s="522" t="s">
        <v>180</v>
      </c>
      <c r="C106" s="523"/>
      <c r="D106" s="524"/>
      <c r="E106" s="49">
        <f>GEOMEAN(K41:K101)</f>
        <v>540.69734608133717</v>
      </c>
      <c r="F106" s="369"/>
      <c r="G106" s="481"/>
    </row>
    <row r="107" spans="2:17" ht="13.8" hidden="1" thickBot="1" x14ac:dyDescent="0.3">
      <c r="B107" s="506" t="s">
        <v>181</v>
      </c>
      <c r="C107" s="507"/>
      <c r="D107" s="508"/>
      <c r="E107" s="49">
        <f>(MAX(E41:E101)+(AVERAGEIF(M41:M101,"&lt;&gt;DESCARTADO")))/2</f>
        <v>1952.7206347953218</v>
      </c>
      <c r="F107" s="369"/>
      <c r="G107" s="312"/>
    </row>
    <row r="108" spans="2:17" x14ac:dyDescent="0.25">
      <c r="B108" s="474"/>
      <c r="C108" s="474"/>
      <c r="D108" s="474"/>
      <c r="E108" s="45"/>
      <c r="F108" s="369"/>
      <c r="G108" s="312"/>
    </row>
    <row r="109" spans="2:17" ht="13.5" customHeight="1" x14ac:dyDescent="0.25">
      <c r="B109" s="474"/>
      <c r="C109" s="474"/>
      <c r="D109" s="474"/>
      <c r="E109" s="168"/>
      <c r="F109" s="369"/>
      <c r="G109" s="481"/>
    </row>
    <row r="110" spans="2:17" x14ac:dyDescent="0.25">
      <c r="B110" s="474"/>
      <c r="C110" s="474"/>
      <c r="D110" s="474"/>
      <c r="E110" s="45"/>
      <c r="F110" s="369"/>
      <c r="G110" s="481"/>
    </row>
    <row r="111" spans="2:17" ht="13.5" customHeight="1" x14ac:dyDescent="0.25">
      <c r="B111" s="474"/>
      <c r="C111" s="474"/>
      <c r="D111" s="474"/>
      <c r="E111" s="45"/>
      <c r="F111" s="369"/>
      <c r="G111" s="481"/>
    </row>
    <row r="112" spans="2:17" ht="13.5" customHeight="1" x14ac:dyDescent="0.25">
      <c r="B112" s="474"/>
      <c r="C112" s="474"/>
      <c r="D112" s="474"/>
      <c r="E112" s="45"/>
      <c r="F112" s="369"/>
      <c r="G112" s="481"/>
    </row>
    <row r="113" spans="2:7" ht="13.5" customHeight="1" x14ac:dyDescent="0.25">
      <c r="B113" s="474"/>
      <c r="C113" s="474"/>
      <c r="D113" s="474"/>
      <c r="E113" s="168"/>
      <c r="F113" s="369"/>
      <c r="G113" s="481"/>
    </row>
    <row r="114" spans="2:7" ht="16.5" customHeight="1" x14ac:dyDescent="0.25">
      <c r="B114" s="474"/>
      <c r="C114" s="474"/>
      <c r="D114" s="474"/>
      <c r="E114" s="45"/>
      <c r="F114" s="369"/>
      <c r="G114" s="481"/>
    </row>
    <row r="115" spans="2:7" x14ac:dyDescent="0.25">
      <c r="F115" s="369"/>
    </row>
    <row r="116" spans="2:7" x14ac:dyDescent="0.25">
      <c r="F116" s="369"/>
    </row>
    <row r="117" spans="2:7" x14ac:dyDescent="0.25">
      <c r="F117" s="369"/>
    </row>
    <row r="118" spans="2:7" x14ac:dyDescent="0.25">
      <c r="F118" s="369"/>
    </row>
    <row r="119" spans="2:7" x14ac:dyDescent="0.25">
      <c r="F119" s="369"/>
    </row>
    <row r="120" spans="2:7" x14ac:dyDescent="0.25">
      <c r="F120" s="369"/>
    </row>
    <row r="121" spans="2:7" x14ac:dyDescent="0.25">
      <c r="F121" s="369"/>
    </row>
    <row r="122" spans="2:7" x14ac:dyDescent="0.25">
      <c r="F122" s="369"/>
    </row>
    <row r="123" spans="2:7" x14ac:dyDescent="0.25">
      <c r="F123" s="369"/>
    </row>
    <row r="124" spans="2:7" x14ac:dyDescent="0.25">
      <c r="F124" s="369"/>
    </row>
    <row r="125" spans="2:7" x14ac:dyDescent="0.25">
      <c r="F125" s="369"/>
    </row>
    <row r="126" spans="2:7" x14ac:dyDescent="0.25">
      <c r="F126" s="369"/>
    </row>
    <row r="127" spans="2:7" x14ac:dyDescent="0.25">
      <c r="F127" s="369"/>
    </row>
    <row r="128" spans="2:7" x14ac:dyDescent="0.25">
      <c r="F128" s="369"/>
    </row>
    <row r="129" spans="6:18" x14ac:dyDescent="0.25">
      <c r="F129" s="369"/>
    </row>
    <row r="130" spans="6:18" x14ac:dyDescent="0.25">
      <c r="F130" s="369"/>
    </row>
    <row r="131" spans="6:18" x14ac:dyDescent="0.25">
      <c r="F131" s="369"/>
    </row>
    <row r="132" spans="6:18" x14ac:dyDescent="0.25">
      <c r="F132" s="369"/>
    </row>
    <row r="133" spans="6:18" x14ac:dyDescent="0.25">
      <c r="F133" s="369"/>
      <c r="K133" s="147"/>
      <c r="L133" s="147"/>
      <c r="M133" s="147"/>
      <c r="N133" s="147"/>
      <c r="O133" s="147"/>
      <c r="P133" s="147"/>
      <c r="Q133" s="147"/>
      <c r="R133" s="147"/>
    </row>
    <row r="134" spans="6:18" x14ac:dyDescent="0.25">
      <c r="F134" s="369"/>
      <c r="K134" s="147"/>
      <c r="L134" s="147"/>
      <c r="M134" s="147"/>
      <c r="N134" s="147"/>
      <c r="O134" s="147"/>
      <c r="P134" s="147"/>
      <c r="Q134" s="147"/>
      <c r="R134" s="147"/>
    </row>
    <row r="135" spans="6:18" x14ac:dyDescent="0.25">
      <c r="F135" s="369"/>
      <c r="K135" s="147"/>
      <c r="L135" s="147"/>
      <c r="M135" s="147"/>
      <c r="N135" s="147"/>
      <c r="O135" s="147"/>
      <c r="P135" s="147"/>
      <c r="Q135" s="147"/>
      <c r="R135" s="147"/>
    </row>
    <row r="136" spans="6:18" x14ac:dyDescent="0.25">
      <c r="F136" s="369"/>
      <c r="K136" s="147"/>
      <c r="L136" s="147"/>
      <c r="M136" s="147"/>
      <c r="N136" s="147"/>
      <c r="O136" s="147"/>
      <c r="P136" s="147"/>
      <c r="Q136" s="147"/>
      <c r="R136" s="147"/>
    </row>
    <row r="137" spans="6:18" x14ac:dyDescent="0.25">
      <c r="F137" s="369"/>
      <c r="K137" s="147"/>
      <c r="L137" s="147"/>
      <c r="M137" s="147"/>
      <c r="N137" s="147"/>
      <c r="O137" s="147"/>
      <c r="P137" s="147"/>
      <c r="Q137" s="147"/>
      <c r="R137" s="147"/>
    </row>
    <row r="138" spans="6:18" x14ac:dyDescent="0.25">
      <c r="F138" s="369"/>
      <c r="K138" s="147"/>
      <c r="L138" s="147"/>
      <c r="M138" s="147"/>
      <c r="N138" s="147"/>
      <c r="O138" s="147"/>
      <c r="P138" s="147"/>
      <c r="Q138" s="147"/>
      <c r="R138" s="147"/>
    </row>
    <row r="139" spans="6:18" x14ac:dyDescent="0.25">
      <c r="F139" s="369"/>
      <c r="K139" s="147"/>
      <c r="L139" s="147"/>
      <c r="M139" s="147"/>
      <c r="N139" s="147"/>
      <c r="O139" s="147"/>
      <c r="P139" s="147"/>
      <c r="Q139" s="147"/>
      <c r="R139" s="147"/>
    </row>
    <row r="140" spans="6:18" x14ac:dyDescent="0.25">
      <c r="F140" s="369"/>
      <c r="K140" s="147"/>
      <c r="L140" s="147"/>
      <c r="M140" s="147"/>
      <c r="N140" s="147"/>
      <c r="O140" s="147"/>
      <c r="P140" s="147"/>
      <c r="Q140" s="147"/>
      <c r="R140" s="147"/>
    </row>
    <row r="141" spans="6:18" x14ac:dyDescent="0.25">
      <c r="F141" s="369"/>
      <c r="K141" s="147"/>
      <c r="L141" s="147"/>
      <c r="M141" s="147"/>
      <c r="N141" s="147"/>
      <c r="O141" s="147"/>
      <c r="P141" s="147"/>
      <c r="Q141" s="147"/>
      <c r="R141" s="147"/>
    </row>
    <row r="142" spans="6:18" x14ac:dyDescent="0.25">
      <c r="F142" s="369"/>
      <c r="K142" s="147"/>
      <c r="L142" s="147"/>
      <c r="M142" s="147"/>
      <c r="N142" s="147"/>
      <c r="O142" s="147"/>
      <c r="P142" s="147"/>
      <c r="Q142" s="147"/>
      <c r="R142" s="147"/>
    </row>
    <row r="143" spans="6:18" x14ac:dyDescent="0.25">
      <c r="F143" s="369"/>
      <c r="K143" s="147"/>
      <c r="L143" s="147"/>
      <c r="M143" s="147"/>
      <c r="N143" s="147"/>
      <c r="O143" s="147"/>
      <c r="P143" s="147"/>
      <c r="Q143" s="147"/>
      <c r="R143" s="147"/>
    </row>
    <row r="144" spans="6:18" x14ac:dyDescent="0.25">
      <c r="F144" s="369"/>
      <c r="K144" s="147"/>
      <c r="L144" s="147"/>
      <c r="M144" s="147"/>
      <c r="N144" s="147"/>
      <c r="O144" s="147"/>
      <c r="P144" s="147"/>
      <c r="Q144" s="147"/>
      <c r="R144" s="147"/>
    </row>
    <row r="145" spans="6:18" x14ac:dyDescent="0.25">
      <c r="F145" s="369"/>
      <c r="K145" s="147"/>
      <c r="L145" s="147"/>
      <c r="M145" s="147"/>
      <c r="N145" s="147"/>
      <c r="O145" s="147"/>
      <c r="P145" s="147"/>
      <c r="Q145" s="147"/>
      <c r="R145" s="147"/>
    </row>
    <row r="146" spans="6:18" x14ac:dyDescent="0.25">
      <c r="F146" s="369"/>
      <c r="K146" s="147"/>
      <c r="L146" s="147"/>
      <c r="M146" s="147"/>
      <c r="N146" s="147"/>
      <c r="O146" s="147"/>
      <c r="P146" s="147"/>
      <c r="Q146" s="147"/>
      <c r="R146" s="147"/>
    </row>
    <row r="147" spans="6:18" x14ac:dyDescent="0.25">
      <c r="F147" s="369"/>
      <c r="K147" s="147"/>
      <c r="L147" s="147"/>
      <c r="M147" s="147"/>
      <c r="N147" s="147"/>
      <c r="O147" s="147"/>
      <c r="P147" s="147"/>
      <c r="Q147" s="147"/>
      <c r="R147" s="147"/>
    </row>
    <row r="148" spans="6:18" x14ac:dyDescent="0.25">
      <c r="F148" s="369"/>
      <c r="K148" s="147"/>
      <c r="L148" s="147"/>
      <c r="M148" s="147"/>
      <c r="N148" s="147"/>
      <c r="O148" s="147"/>
      <c r="P148" s="147"/>
      <c r="Q148" s="147"/>
      <c r="R148" s="147"/>
    </row>
    <row r="149" spans="6:18" x14ac:dyDescent="0.25">
      <c r="F149" s="369"/>
      <c r="K149" s="147"/>
      <c r="L149" s="147"/>
      <c r="M149" s="147"/>
      <c r="N149" s="147"/>
      <c r="O149" s="147"/>
      <c r="P149" s="147"/>
      <c r="Q149" s="147"/>
      <c r="R149" s="147"/>
    </row>
    <row r="150" spans="6:18" x14ac:dyDescent="0.25">
      <c r="F150" s="369"/>
      <c r="K150" s="147"/>
      <c r="L150" s="147"/>
      <c r="M150" s="147"/>
      <c r="N150" s="147"/>
      <c r="O150" s="147"/>
      <c r="P150" s="147"/>
      <c r="Q150" s="147"/>
      <c r="R150" s="147"/>
    </row>
    <row r="151" spans="6:18" x14ac:dyDescent="0.25">
      <c r="F151" s="369"/>
      <c r="K151" s="147"/>
      <c r="L151" s="147"/>
      <c r="M151" s="147"/>
      <c r="N151" s="147"/>
      <c r="O151" s="147"/>
      <c r="P151" s="147"/>
      <c r="Q151" s="147"/>
      <c r="R151" s="147"/>
    </row>
    <row r="152" spans="6:18" x14ac:dyDescent="0.25">
      <c r="F152" s="369"/>
      <c r="K152" s="147"/>
      <c r="L152" s="147"/>
      <c r="M152" s="147"/>
      <c r="N152" s="147"/>
      <c r="O152" s="147"/>
      <c r="P152" s="147"/>
      <c r="Q152" s="147"/>
      <c r="R152" s="147"/>
    </row>
    <row r="153" spans="6:18" x14ac:dyDescent="0.25">
      <c r="F153" s="369"/>
      <c r="K153" s="147"/>
      <c r="L153" s="147"/>
      <c r="M153" s="147"/>
      <c r="N153" s="147"/>
      <c r="O153" s="147"/>
      <c r="P153" s="147"/>
      <c r="Q153" s="147"/>
      <c r="R153" s="147"/>
    </row>
    <row r="154" spans="6:18" x14ac:dyDescent="0.25">
      <c r="F154" s="369"/>
      <c r="K154" s="147"/>
      <c r="L154" s="147"/>
      <c r="M154" s="147"/>
      <c r="N154" s="147"/>
      <c r="O154" s="147"/>
      <c r="P154" s="147"/>
      <c r="Q154" s="147"/>
      <c r="R154" s="147"/>
    </row>
    <row r="155" spans="6:18" x14ac:dyDescent="0.25">
      <c r="F155" s="369"/>
      <c r="K155" s="147"/>
      <c r="L155" s="147"/>
      <c r="M155" s="147"/>
      <c r="N155" s="147"/>
      <c r="O155" s="147"/>
      <c r="P155" s="147"/>
      <c r="Q155" s="147"/>
      <c r="R155" s="147"/>
    </row>
    <row r="156" spans="6:18" x14ac:dyDescent="0.25">
      <c r="F156" s="369"/>
      <c r="K156" s="147"/>
      <c r="L156" s="147"/>
      <c r="M156" s="147"/>
      <c r="N156" s="147"/>
      <c r="O156" s="147"/>
      <c r="P156" s="147"/>
      <c r="Q156" s="147"/>
      <c r="R156" s="147"/>
    </row>
    <row r="157" spans="6:18" x14ac:dyDescent="0.25">
      <c r="F157" s="30"/>
    </row>
    <row r="158" spans="6:18" x14ac:dyDescent="0.25">
      <c r="F158" s="30"/>
    </row>
    <row r="159" spans="6:18" x14ac:dyDescent="0.25">
      <c r="F159" s="30"/>
    </row>
    <row r="160" spans="6:18" x14ac:dyDescent="0.25">
      <c r="F160" s="30"/>
    </row>
    <row r="161" spans="6:6" x14ac:dyDescent="0.25">
      <c r="F161" s="30"/>
    </row>
    <row r="162" spans="6:6" x14ac:dyDescent="0.25">
      <c r="F162" s="346"/>
    </row>
    <row r="163" spans="6:6" x14ac:dyDescent="0.25">
      <c r="F163" s="346"/>
    </row>
    <row r="164" spans="6:6" x14ac:dyDescent="0.25">
      <c r="F164" s="346"/>
    </row>
    <row r="165" spans="6:6" x14ac:dyDescent="0.25">
      <c r="F165" s="346"/>
    </row>
    <row r="166" spans="6:6" x14ac:dyDescent="0.25">
      <c r="F166" s="346"/>
    </row>
    <row r="167" spans="6:6" x14ac:dyDescent="0.25">
      <c r="F167" s="346"/>
    </row>
    <row r="168" spans="6:6" x14ac:dyDescent="0.25">
      <c r="F168" s="346"/>
    </row>
    <row r="170" spans="6:6" x14ac:dyDescent="0.25">
      <c r="F170" s="370"/>
    </row>
    <row r="171" spans="6:6" x14ac:dyDescent="0.25">
      <c r="F171" s="370"/>
    </row>
  </sheetData>
  <sheetProtection formatCells="0" formatColumns="0" formatRows="0" insertColumns="0" insertRows="0" insertHyperlinks="0" deleteColumns="0" deleteRows="0" sort="0" autoFilter="0" pivotTables="0"/>
  <sortState xmlns:xlrd2="http://schemas.microsoft.com/office/spreadsheetml/2017/richdata2" ref="J41:J101">
    <sortCondition descending="1" ref="J41"/>
  </sortState>
  <mergeCells count="37">
    <mergeCell ref="B24:H24"/>
    <mergeCell ref="B25:G25"/>
    <mergeCell ref="B26:G26"/>
    <mergeCell ref="B27:H27"/>
    <mergeCell ref="F35:F36"/>
    <mergeCell ref="B28:G28"/>
    <mergeCell ref="B29:G29"/>
    <mergeCell ref="B30:H30"/>
    <mergeCell ref="B31:G31"/>
    <mergeCell ref="B33:D33"/>
    <mergeCell ref="B10:C11"/>
    <mergeCell ref="E10:G10"/>
    <mergeCell ref="B12:C13"/>
    <mergeCell ref="B105:D105"/>
    <mergeCell ref="G105:G106"/>
    <mergeCell ref="B106:D106"/>
    <mergeCell ref="B103:D103"/>
    <mergeCell ref="G103:G104"/>
    <mergeCell ref="B104:D104"/>
    <mergeCell ref="B102:E102"/>
    <mergeCell ref="B34:G34"/>
    <mergeCell ref="B35:B36"/>
    <mergeCell ref="C35:C36"/>
    <mergeCell ref="D35:D36"/>
    <mergeCell ref="G35:G36"/>
    <mergeCell ref="B15:H15"/>
    <mergeCell ref="B108:D108"/>
    <mergeCell ref="B109:D109"/>
    <mergeCell ref="G109:G110"/>
    <mergeCell ref="B110:D110"/>
    <mergeCell ref="B107:D107"/>
    <mergeCell ref="B111:D111"/>
    <mergeCell ref="G111:G112"/>
    <mergeCell ref="B112:D112"/>
    <mergeCell ref="B113:D113"/>
    <mergeCell ref="G113:G114"/>
    <mergeCell ref="B114:D114"/>
  </mergeCells>
  <phoneticPr fontId="34" type="noConversion"/>
  <conditionalFormatting sqref="B41:E101 G41:G101">
    <cfRule type="expression" dxfId="15" priority="15" stopIfTrue="1">
      <formula>MOD(ROW(),2)</formula>
    </cfRule>
  </conditionalFormatting>
  <conditionalFormatting sqref="E41:E101">
    <cfRule type="cellIs" dxfId="14" priority="13" stopIfTrue="1" operator="equal">
      <formula>"DESCARTADO"</formula>
    </cfRule>
    <cfRule type="cellIs" dxfId="13" priority="14" stopIfTrue="1" operator="equal">
      <formula>"NO ADMISIBLE"</formula>
    </cfRule>
  </conditionalFormatting>
  <conditionalFormatting sqref="F102:F156">
    <cfRule type="expression" dxfId="12" priority="6" stopIfTrue="1">
      <formula>MOD(ROW(),2)</formula>
    </cfRule>
    <cfRule type="cellIs" dxfId="11" priority="7" stopIfTrue="1" operator="equal">
      <formula>"NO HÁBIL"</formula>
    </cfRule>
    <cfRule type="cellIs" dxfId="10" priority="8" stopIfTrue="1" operator="equal">
      <formula>"CUMPLE"</formula>
    </cfRule>
    <cfRule type="cellIs" dxfId="9" priority="9" stopIfTrue="1" operator="equal">
      <formula>"NO CUMPLE"</formula>
    </cfRule>
    <cfRule type="cellIs" dxfId="8" priority="10" stopIfTrue="1" operator="equal">
      <formula>"PENDIENTE"</formula>
    </cfRule>
  </conditionalFormatting>
  <conditionalFormatting sqref="F112">
    <cfRule type="expression" dxfId="7" priority="11" stopIfTrue="1">
      <formula>MOD(ROW(),2)</formula>
    </cfRule>
  </conditionalFormatting>
  <dataValidations disablePrompts="1" count="2">
    <dataValidation type="whole" allowBlank="1" showInputMessage="1" showErrorMessage="1" errorTitle="ERROR" error="&quot;EL NUMERO DE MODULO ESTA POR FUERA DEL RANGO&quot;" sqref="B12:C13" xr:uid="{37745FE6-605C-49EC-BE24-D46F32A8ED76}">
      <formula1>1</formula1>
      <formula2>D11</formula2>
    </dataValidation>
    <dataValidation type="list" allowBlank="1" showInputMessage="1" showErrorMessage="1" sqref="D13" xr:uid="{BCED682A-DD41-4599-9CC1-10E39E05982A}">
      <formula1>METEVA</formula1>
    </dataValidation>
  </dataValidations>
  <pageMargins left="0.7" right="0.7" top="0.75" bottom="0.75" header="0.3" footer="0.3"/>
  <pageSetup scale="52" orientation="portrait" horizontalDpi="1200" verticalDpi="120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theme="9" tint="-0.249977111117893"/>
  </sheetPr>
  <dimension ref="B1:T76"/>
  <sheetViews>
    <sheetView tabSelected="1" topLeftCell="A65" zoomScale="90" zoomScaleNormal="90" workbookViewId="0">
      <selection activeCell="C12" sqref="C12:M76"/>
    </sheetView>
  </sheetViews>
  <sheetFormatPr baseColWidth="10" defaultColWidth="11.44140625" defaultRowHeight="13.2" x14ac:dyDescent="0.25"/>
  <cols>
    <col min="1" max="1" width="2.6640625" style="2" customWidth="1"/>
    <col min="2" max="2" width="10.33203125" style="2" bestFit="1" customWidth="1"/>
    <col min="3" max="3" width="10.33203125" style="2" customWidth="1"/>
    <col min="4" max="4" width="32.33203125" style="2" customWidth="1"/>
    <col min="5" max="5" width="15.5546875" style="2" customWidth="1"/>
    <col min="6" max="6" width="16.6640625" style="2" customWidth="1"/>
    <col min="7" max="7" width="10.88671875" style="2" customWidth="1"/>
    <col min="8" max="8" width="15.33203125" style="2" customWidth="1"/>
    <col min="9" max="9" width="13.109375" style="2" customWidth="1"/>
    <col min="10" max="12" width="13.5546875" style="2" customWidth="1"/>
    <col min="13" max="13" width="12.33203125" style="2" customWidth="1"/>
    <col min="14" max="14" width="0.44140625" style="2" customWidth="1"/>
    <col min="15" max="15" width="9.5546875" style="2" customWidth="1"/>
    <col min="16" max="16" width="10" style="2" customWidth="1"/>
    <col min="17" max="17" width="0.109375" style="3" customWidth="1"/>
    <col min="18" max="18" width="9.33203125" style="3" bestFit="1" customWidth="1"/>
    <col min="19" max="19" width="67.88671875" style="2" customWidth="1"/>
    <col min="20" max="20" width="20.6640625" style="2" customWidth="1"/>
    <col min="21" max="21" width="5.33203125" style="2" customWidth="1"/>
    <col min="22" max="16384" width="11.44140625" style="2"/>
  </cols>
  <sheetData>
    <row r="1" spans="2:20" ht="17.399999999999999" x14ac:dyDescent="0.25">
      <c r="B1" s="52" t="str">
        <f>'RESUMEN-M (1)'!B1</f>
        <v>INSTITUTO NACIONAL DE VÍAS</v>
      </c>
      <c r="C1" s="52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265"/>
      <c r="P1" s="265"/>
      <c r="Q1" s="277"/>
      <c r="R1" s="52" t="str">
        <f t="shared" ref="R1:R7" si="0">B1</f>
        <v>INSTITUTO NACIONAL DE VÍAS</v>
      </c>
      <c r="S1" s="5"/>
      <c r="T1" s="5"/>
    </row>
    <row r="2" spans="2:20" ht="15.6" x14ac:dyDescent="0.25">
      <c r="B2" s="54" t="str">
        <f>'RESUMEN-M (1)'!B2</f>
        <v>DIRECCIÓN GENERAL</v>
      </c>
      <c r="C2" s="5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265"/>
      <c r="P2" s="265"/>
      <c r="Q2" s="277"/>
      <c r="R2" s="54" t="str">
        <f t="shared" si="0"/>
        <v>DIRECCIÓN GENERAL</v>
      </c>
      <c r="S2" s="5"/>
      <c r="T2" s="5"/>
    </row>
    <row r="3" spans="2:20" x14ac:dyDescent="0.25">
      <c r="B3" s="54" t="str">
        <f>'RESUMEN-M (1)'!B3</f>
        <v>DIRECCIÓN TERRITORIAL MAGDALENA</v>
      </c>
      <c r="C3" s="54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265"/>
      <c r="P3" s="265"/>
      <c r="Q3" s="277"/>
      <c r="R3" s="54" t="str">
        <f t="shared" si="0"/>
        <v>DIRECCIÓN TERRITORIAL MAGDALENA</v>
      </c>
      <c r="S3" s="5"/>
      <c r="T3" s="5"/>
    </row>
    <row r="4" spans="2:20" hidden="1" x14ac:dyDescent="0.25">
      <c r="B4" s="54" t="e">
        <f>'RESUMEN-M (1)'!#REF!</f>
        <v>#REF!</v>
      </c>
      <c r="C4" s="54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265"/>
      <c r="P4" s="265"/>
      <c r="Q4" s="277"/>
      <c r="R4" s="54" t="e">
        <f t="shared" si="0"/>
        <v>#REF!</v>
      </c>
      <c r="S4" s="5"/>
      <c r="T4" s="5"/>
    </row>
    <row r="5" spans="2:20" x14ac:dyDescent="0.25">
      <c r="B5" s="54" t="str">
        <f>'RESUMEN-M (1)'!B4</f>
        <v>CONCURSO DE MÉRITOS ABIERTO No  CMA-DT-MAG-001-2024</v>
      </c>
      <c r="C5" s="54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265"/>
      <c r="P5" s="265"/>
      <c r="Q5" s="277"/>
      <c r="R5" s="54" t="str">
        <f t="shared" si="0"/>
        <v>CONCURSO DE MÉRITOS ABIERTO No  CMA-DT-MAG-001-2024</v>
      </c>
      <c r="S5" s="5"/>
      <c r="T5" s="5"/>
    </row>
    <row r="6" spans="2:20" ht="52.8" x14ac:dyDescent="0.25">
      <c r="B6" s="54" t="str">
        <f>'RESUMEN-M (1)'!B5</f>
        <v>OBJETO: “INTERVENTORIA TÉCNICA, ADMINISTRATIVA, FINANCIERA Y AMBIENTAL, PARA EL MEJORAMIENTO Y MANTENIMIENTO DE LAS VÍAS: RICAURTE – HATOVIEJO CÓDIGO 78218 EN EL MUNICIPIO DE GUAMAL; Y SAN SEBASTIÁN - LOS GALVIS CÓDIGO 78141, EN EL MUNICIPIO DE SAN SEBASTIÁN DE BUENAVISTA, DEPARTAMENTO DEL MAGDALENA”.</v>
      </c>
      <c r="C6" s="54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265"/>
      <c r="P6" s="265"/>
      <c r="Q6" s="277"/>
      <c r="R6" s="54" t="str">
        <f t="shared" si="0"/>
        <v>OBJETO: “INTERVENTORIA TÉCNICA, ADMINISTRATIVA, FINANCIERA Y AMBIENTAL, PARA EL MEJORAMIENTO Y MANTENIMIENTO DE LAS VÍAS: RICAURTE – HATOVIEJO CÓDIGO 78218 EN EL MUNICIPIO DE GUAMAL; Y SAN SEBASTIÁN - LOS GALVIS CÓDIGO 78141, EN EL MUNICIPIO DE SAN SEBASTIÁN DE BUENAVISTA, DEPARTAMENTO DEL MAGDALENA”.</v>
      </c>
      <c r="S6" s="5"/>
      <c r="T6" s="5"/>
    </row>
    <row r="7" spans="2:20" x14ac:dyDescent="0.25">
      <c r="B7" s="54">
        <f>'RESUMEN-M (1)'!B6</f>
        <v>0</v>
      </c>
      <c r="C7" s="54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265"/>
      <c r="P7" s="265"/>
      <c r="Q7" s="277"/>
      <c r="R7" s="54">
        <f t="shared" si="0"/>
        <v>0</v>
      </c>
      <c r="S7" s="5"/>
      <c r="T7" s="5"/>
    </row>
    <row r="8" spans="2:20" x14ac:dyDescent="0.25">
      <c r="B8" s="55" t="s">
        <v>104</v>
      </c>
      <c r="C8" s="55"/>
      <c r="D8" s="278"/>
      <c r="E8" s="278"/>
      <c r="F8" s="278"/>
      <c r="G8" s="278"/>
      <c r="H8" s="278"/>
      <c r="I8" s="278"/>
      <c r="J8" s="278"/>
      <c r="K8" s="278"/>
      <c r="L8" s="278"/>
      <c r="M8" s="278"/>
      <c r="N8" s="278"/>
      <c r="O8" s="265"/>
      <c r="P8" s="265"/>
      <c r="Q8" s="277"/>
      <c r="R8" s="54" t="s">
        <v>105</v>
      </c>
      <c r="S8" s="5"/>
      <c r="T8" s="5"/>
    </row>
    <row r="9" spans="2:20" x14ac:dyDescent="0.25">
      <c r="B9" s="54" t="s">
        <v>106</v>
      </c>
      <c r="C9" s="54"/>
      <c r="D9" s="278"/>
      <c r="E9" s="278"/>
      <c r="F9" s="278"/>
      <c r="G9" s="278"/>
      <c r="H9" s="278"/>
      <c r="I9" s="278"/>
      <c r="J9" s="278"/>
      <c r="K9" s="278"/>
      <c r="L9" s="278"/>
      <c r="M9" s="278"/>
      <c r="N9" s="278"/>
      <c r="O9" s="265"/>
      <c r="P9" s="265"/>
      <c r="Q9" s="277"/>
      <c r="R9" s="277"/>
      <c r="S9" s="265"/>
      <c r="T9" s="265"/>
    </row>
    <row r="10" spans="2:20" s="18" customFormat="1" ht="21" x14ac:dyDescent="0.25">
      <c r="B10" s="91"/>
      <c r="C10" s="91"/>
      <c r="D10" s="91"/>
      <c r="E10" s="91"/>
      <c r="F10" s="91"/>
      <c r="G10" s="91"/>
      <c r="H10" s="91"/>
      <c r="I10" s="91"/>
      <c r="J10" s="91"/>
      <c r="K10" s="91"/>
      <c r="L10" s="91"/>
      <c r="M10" s="91"/>
      <c r="N10" s="91"/>
      <c r="Q10" s="19"/>
      <c r="R10" s="121" t="s">
        <v>107</v>
      </c>
      <c r="S10" s="121"/>
      <c r="T10" s="121"/>
    </row>
    <row r="11" spans="2:20" ht="13.8" thickBot="1" x14ac:dyDescent="0.3">
      <c r="B11" s="279"/>
      <c r="C11" s="279"/>
      <c r="D11" s="279"/>
      <c r="E11" s="279"/>
      <c r="F11" s="280"/>
      <c r="G11" s="279"/>
      <c r="H11" s="279"/>
      <c r="I11" s="279"/>
      <c r="J11" s="279"/>
      <c r="K11" s="279"/>
      <c r="L11" s="279"/>
      <c r="M11" s="279" t="s">
        <v>108</v>
      </c>
      <c r="N11" s="279"/>
      <c r="O11" s="265"/>
      <c r="P11" s="265"/>
      <c r="Q11" s="456" t="s">
        <v>109</v>
      </c>
      <c r="R11" s="277"/>
      <c r="S11" s="265"/>
      <c r="T11" s="265"/>
    </row>
    <row r="12" spans="2:20" ht="24.75" customHeight="1" thickTop="1" x14ac:dyDescent="0.25">
      <c r="B12" s="447" t="s">
        <v>7</v>
      </c>
      <c r="C12" s="449" t="s">
        <v>110</v>
      </c>
      <c r="D12" s="451" t="s">
        <v>9</v>
      </c>
      <c r="E12" s="285" t="s">
        <v>182</v>
      </c>
      <c r="F12" s="545" t="s">
        <v>11</v>
      </c>
      <c r="G12" s="402"/>
      <c r="H12" s="402"/>
      <c r="I12" s="402"/>
      <c r="J12" s="546"/>
      <c r="K12" s="372"/>
      <c r="L12" s="372"/>
      <c r="M12" s="449" t="s">
        <v>113</v>
      </c>
      <c r="N12" s="457" t="s">
        <v>114</v>
      </c>
      <c r="O12" s="265"/>
      <c r="P12" s="265"/>
      <c r="Q12" s="456"/>
      <c r="R12" s="542"/>
      <c r="S12" s="543"/>
      <c r="T12" s="544"/>
    </row>
    <row r="13" spans="2:20" ht="44.25" customHeight="1" thickBot="1" x14ac:dyDescent="0.3">
      <c r="B13" s="448"/>
      <c r="C13" s="450"/>
      <c r="D13" s="452"/>
      <c r="E13" s="286" t="s">
        <v>173</v>
      </c>
      <c r="F13" s="293" t="s">
        <v>183</v>
      </c>
      <c r="G13" s="117" t="s">
        <v>12</v>
      </c>
      <c r="H13" s="294" t="s">
        <v>13</v>
      </c>
      <c r="I13" s="294" t="s">
        <v>14</v>
      </c>
      <c r="J13" s="303" t="s">
        <v>184</v>
      </c>
      <c r="K13" s="303" t="s">
        <v>16</v>
      </c>
      <c r="L13" s="303" t="s">
        <v>17</v>
      </c>
      <c r="M13" s="461"/>
      <c r="N13" s="458"/>
      <c r="O13" s="265"/>
      <c r="P13" s="265"/>
      <c r="Q13" s="456"/>
      <c r="R13" s="465"/>
      <c r="S13" s="466"/>
      <c r="T13" s="467"/>
    </row>
    <row r="14" spans="2:20" ht="13.8" thickBot="1" x14ac:dyDescent="0.3">
      <c r="B14" s="98"/>
      <c r="C14" s="139"/>
      <c r="D14" s="116" t="s">
        <v>119</v>
      </c>
      <c r="E14" s="99">
        <f>COUNT(E16:E76)</f>
        <v>58</v>
      </c>
      <c r="F14" s="159">
        <v>67.5</v>
      </c>
      <c r="G14" s="118">
        <v>10</v>
      </c>
      <c r="H14" s="118">
        <v>1</v>
      </c>
      <c r="I14" s="119">
        <v>20</v>
      </c>
      <c r="J14" s="119">
        <v>1</v>
      </c>
      <c r="K14" s="119">
        <v>0.25</v>
      </c>
      <c r="L14" s="119">
        <v>0.25</v>
      </c>
      <c r="M14" s="264">
        <f>F14+G14+H14+I14+J14+K14+L14</f>
        <v>100</v>
      </c>
      <c r="N14" s="120"/>
      <c r="O14" s="265"/>
      <c r="P14" s="265"/>
      <c r="Q14" s="456"/>
      <c r="R14" s="101" t="s">
        <v>120</v>
      </c>
      <c r="S14" s="102" t="s">
        <v>9</v>
      </c>
      <c r="T14" s="103" t="s">
        <v>121</v>
      </c>
    </row>
    <row r="15" spans="2:20" ht="3" customHeight="1" x14ac:dyDescent="0.25">
      <c r="B15" s="92"/>
      <c r="C15" s="140"/>
      <c r="D15" s="93"/>
      <c r="E15" s="94"/>
      <c r="F15" s="96"/>
      <c r="G15" s="96"/>
      <c r="H15" s="96"/>
      <c r="I15" s="96"/>
      <c r="J15" s="96"/>
      <c r="K15" s="96"/>
      <c r="L15" s="96"/>
      <c r="M15" s="97"/>
      <c r="N15" s="97"/>
      <c r="O15" s="265"/>
      <c r="P15" s="265"/>
      <c r="Q15" s="277"/>
      <c r="R15" s="104"/>
      <c r="S15" s="105"/>
      <c r="T15" s="106"/>
    </row>
    <row r="16" spans="2:20" ht="38.25" customHeight="1" x14ac:dyDescent="0.25">
      <c r="B16" s="108">
        <v>1</v>
      </c>
      <c r="C16" s="141">
        <f>'RESUMEN-M (1)'!C12</f>
        <v>1</v>
      </c>
      <c r="D16" s="193" t="str">
        <f>'RESUMEN-M (1)'!D12</f>
        <v>CONSORCIO CAP-SAS</v>
      </c>
      <c r="E16" s="397">
        <f>VLOOKUP(D16,'METODO DE PONDERACION'!D$41:G$101,2,FALSE)</f>
        <v>359.10999999999996</v>
      </c>
      <c r="F16" s="111">
        <f>IF(VLOOKUP(D16,'METODO DE PONDERACION'!D$41:G$101,4,FALSE)&lt;0,0,VLOOKUP(D16,'METODO DE PONDERACION'!D$41:G$101,4,FALSE))</f>
        <v>44.780944023646768</v>
      </c>
      <c r="G16" s="111">
        <f>VLOOKUP($D16,'RESUMEN-M (1)'!$D$12:$K$94,3,FALSE)</f>
        <v>10</v>
      </c>
      <c r="H16" s="111">
        <f>VLOOKUP($D16,'RESUMEN-M (1)'!$D$12:$K$94,4,FALSE)</f>
        <v>1</v>
      </c>
      <c r="I16" s="111">
        <f>VLOOKUP($D16,'RESUMEN-M (1)'!$D$12:$K$94,5,FALSE)</f>
        <v>20</v>
      </c>
      <c r="J16" s="111">
        <f>VLOOKUP($D16,'RESUMEN-M (1)'!$D$12:$K$94,6,FALSE)</f>
        <v>1</v>
      </c>
      <c r="K16" s="111">
        <f>VLOOKUP($D16,'RESUMEN-M (1)'!$D$12:$K$94,7,FALSE)</f>
        <v>0.25</v>
      </c>
      <c r="L16" s="111">
        <f>VLOOKUP($D16,'RESUMEN-M (1)'!$D$12:$K$94,8,FALSE)</f>
        <v>0.25</v>
      </c>
      <c r="M16" s="107">
        <f t="shared" ref="M16:M22" si="1">IF(E16="NO HÁBIL",G16+H16+I16+J16+K16+L16,IF(E16="RECHAZADO",N16,F16+G16+H16+I16+N16+J16+K16+L16))</f>
        <v>77.280944023646768</v>
      </c>
      <c r="N16" s="112"/>
      <c r="O16" s="265"/>
      <c r="P16" s="265"/>
      <c r="Q16" s="113">
        <f>_xlfn.RANK.EQ(M16,$M$16:$M$76,0)</f>
        <v>32</v>
      </c>
      <c r="R16" s="114">
        <v>1</v>
      </c>
      <c r="S16" s="144" t="str">
        <f t="shared" ref="S16:S47" ca="1" si="2">IF(R16="","",OFFSET($D$15,MATCH(B16,$Q$16:$Q$76,0),0))</f>
        <v>AVGR INGENIERIA S.A.S.</v>
      </c>
      <c r="T16" s="115">
        <f ca="1">IF(S16="","",VLOOKUP(S16,$D$16:$M$76,10,FALSE))</f>
        <v>100</v>
      </c>
    </row>
    <row r="17" spans="2:20" ht="36.75" customHeight="1" x14ac:dyDescent="0.25">
      <c r="B17" s="108">
        <v>2</v>
      </c>
      <c r="C17" s="141">
        <f>'RESUMEN-M (1)'!C13</f>
        <v>2</v>
      </c>
      <c r="D17" s="193" t="str">
        <f>'RESUMEN-M (1)'!D13</f>
        <v>BRAIN INGENIERIA VIAL SAS</v>
      </c>
      <c r="E17" s="397">
        <f>VLOOKUP(D17,'METODO DE PONDERACION'!D$41:G$101,2,FALSE)</f>
        <v>517.57000000000005</v>
      </c>
      <c r="F17" s="111">
        <f>IF(VLOOKUP(D17,'METODO DE PONDERACION'!D$41:G$101,4,FALSE)&lt;0,0,VLOOKUP(D17,'METODO DE PONDERACION'!D$41:G$101,4,FALSE))</f>
        <v>64.540873822279707</v>
      </c>
      <c r="G17" s="111">
        <f>VLOOKUP($D17,'RESUMEN-M (1)'!$D$12:$G$94,3,FALSE)</f>
        <v>10</v>
      </c>
      <c r="H17" s="111">
        <f>VLOOKUP($D17,'RESUMEN-M (1)'!$D$12:$G$94,4,FALSE)</f>
        <v>1</v>
      </c>
      <c r="I17" s="111">
        <f>VLOOKUP($D17,'RESUMEN-M (1)'!$D$12:$K$94,5,FALSE)</f>
        <v>20</v>
      </c>
      <c r="J17" s="111">
        <f>VLOOKUP($D17,'RESUMEN-M (1)'!$D$12:$K$94,6,FALSE)</f>
        <v>1</v>
      </c>
      <c r="K17" s="111">
        <f>VLOOKUP($D17,'RESUMEN-M (1)'!$D$12:$K$94,7,FALSE)</f>
        <v>0.25</v>
      </c>
      <c r="L17" s="111">
        <f>VLOOKUP($D17,'RESUMEN-M (1)'!$D$12:$K$94,8,FALSE)</f>
        <v>0.25</v>
      </c>
      <c r="M17" s="107">
        <f t="shared" si="1"/>
        <v>97.040873822279707</v>
      </c>
      <c r="N17" s="112"/>
      <c r="O17" s="265"/>
      <c r="P17" s="265"/>
      <c r="Q17" s="113">
        <f t="shared" ref="Q17:Q47" si="3">_xlfn.RANK.EQ(M17,$M$16:$M$76,0)</f>
        <v>8</v>
      </c>
      <c r="R17" s="114">
        <v>2</v>
      </c>
      <c r="S17" s="144" t="str">
        <f t="shared" ca="1" si="2"/>
        <v>CONSULTORES SOLANO NA
VAS LTDA</v>
      </c>
      <c r="T17" s="115">
        <f t="shared" ref="T17:T76" ca="1" si="4">IF(S17="","",VLOOKUP(S17,$D$16:$M$76,10,FALSE))</f>
        <v>99.0002401625716</v>
      </c>
    </row>
    <row r="18" spans="2:20" ht="26.25" customHeight="1" x14ac:dyDescent="0.25">
      <c r="B18" s="108">
        <v>3</v>
      </c>
      <c r="C18" s="141">
        <f>'RESUMEN-M (1)'!C14</f>
        <v>3</v>
      </c>
      <c r="D18" s="193" t="str">
        <f>'RESUMEN-M (1)'!D14</f>
        <v>CONSORCIO INTER CONSTR
UCCION VIAL</v>
      </c>
      <c r="E18" s="397" t="str">
        <f>VLOOKUP(D18,'METODO DE PONDERACION'!D$41:G$101,2,FALSE)</f>
        <v>RECHAZADO</v>
      </c>
      <c r="F18" s="111" t="str">
        <f>IF(VLOOKUP(D18,'METODO DE PONDERACION'!D$41:G$101,4,FALSE)&lt;0,0,VLOOKUP(D18,'METODO DE PONDERACION'!D$41:G$101,4,FALSE))</f>
        <v/>
      </c>
      <c r="G18" s="111">
        <f>VLOOKUP($D18,'RESUMEN-M (1)'!$D$12:$G$94,3,FALSE)</f>
        <v>10</v>
      </c>
      <c r="H18" s="111">
        <f>VLOOKUP($D18,'RESUMEN-M (1)'!$D$12:$G$94,4,FALSE)</f>
        <v>1</v>
      </c>
      <c r="I18" s="111">
        <f>VLOOKUP($D18,'RESUMEN-M (1)'!$D$12:$K$94,5,FALSE)</f>
        <v>20</v>
      </c>
      <c r="J18" s="111">
        <f>VLOOKUP($D18,'RESUMEN-M (1)'!$D$12:$K$94,6,FALSE)</f>
        <v>1</v>
      </c>
      <c r="K18" s="111">
        <f>VLOOKUP($D18,'RESUMEN-M (1)'!$D$12:$K$94,7,FALSE)</f>
        <v>0.25</v>
      </c>
      <c r="L18" s="111">
        <f>VLOOKUP($D18,'RESUMEN-M (1)'!$D$12:$K$94,8,FALSE)</f>
        <v>0.25</v>
      </c>
      <c r="M18" s="107">
        <f t="shared" si="1"/>
        <v>0</v>
      </c>
      <c r="N18" s="112"/>
      <c r="O18" s="265"/>
      <c r="P18" s="265"/>
      <c r="Q18" s="113">
        <f t="shared" si="3"/>
        <v>59</v>
      </c>
      <c r="R18" s="114">
        <v>3</v>
      </c>
      <c r="S18" s="144" t="str">
        <f t="shared" ca="1" si="2"/>
        <v>CONSORCIO HGR - INCON</v>
      </c>
      <c r="T18" s="115">
        <f t="shared" ca="1" si="4"/>
        <v>98.962497690744513</v>
      </c>
    </row>
    <row r="19" spans="2:20" ht="33.75" customHeight="1" x14ac:dyDescent="0.25">
      <c r="B19" s="108">
        <v>4</v>
      </c>
      <c r="C19" s="141">
        <f>'RESUMEN-M (1)'!C15</f>
        <v>4</v>
      </c>
      <c r="D19" s="193" t="str">
        <f>'RESUMEN-M (1)'!D15</f>
        <v>CONSORCIO INFRAVIAL</v>
      </c>
      <c r="E19" s="397">
        <f>VLOOKUP(D19,'METODO DE PONDERACION'!D$41:G$101,2,FALSE)</f>
        <v>360.67</v>
      </c>
      <c r="F19" s="111">
        <f>IF(VLOOKUP(D19,'METODO DE PONDERACION'!D$41:G$101,4,FALSE)&lt;0,0,VLOOKUP(D19,'METODO DE PONDERACION'!D$41:G$101,4,FALSE))</f>
        <v>44.975475706632189</v>
      </c>
      <c r="G19" s="111">
        <f>VLOOKUP($D19,'RESUMEN-M (1)'!$D$12:$G$94,3,FALSE)</f>
        <v>10</v>
      </c>
      <c r="H19" s="111">
        <f>VLOOKUP($D19,'RESUMEN-M (1)'!$D$12:$G$94,4,FALSE)</f>
        <v>1</v>
      </c>
      <c r="I19" s="111">
        <f>VLOOKUP($D19,'RESUMEN-M (1)'!$D$12:$K$94,5,FALSE)</f>
        <v>20</v>
      </c>
      <c r="J19" s="111">
        <f>VLOOKUP($D19,'RESUMEN-M (1)'!$D$12:$K$94,6,FALSE)</f>
        <v>1</v>
      </c>
      <c r="K19" s="111">
        <f>VLOOKUP($D19,'RESUMEN-M (1)'!$D$12:$K$94,7,FALSE)</f>
        <v>0.25</v>
      </c>
      <c r="L19" s="111">
        <f>VLOOKUP($D19,'RESUMEN-M (1)'!$D$12:$K$94,8,FALSE)</f>
        <v>0.25</v>
      </c>
      <c r="M19" s="107">
        <f t="shared" si="1"/>
        <v>77.475475706632182</v>
      </c>
      <c r="N19" s="112"/>
      <c r="O19" s="265"/>
      <c r="P19" s="265"/>
      <c r="Q19" s="113">
        <f t="shared" si="3"/>
        <v>31</v>
      </c>
      <c r="R19" s="114">
        <v>4</v>
      </c>
      <c r="S19" s="144" t="str">
        <f t="shared" ca="1" si="2"/>
        <v>SAICON SAS</v>
      </c>
      <c r="T19" s="115">
        <f t="shared" ca="1" si="4"/>
        <v>98.889571402179939</v>
      </c>
    </row>
    <row r="20" spans="2:20" ht="26.25" customHeight="1" x14ac:dyDescent="0.25">
      <c r="B20" s="108">
        <v>5</v>
      </c>
      <c r="C20" s="141">
        <f>'RESUMEN-M (1)'!C16</f>
        <v>5</v>
      </c>
      <c r="D20" s="193" t="str">
        <f>'RESUMEN-M (1)'!D16</f>
        <v>C&amp;A PROFESIONALES DE IN
GENIERÍA S.A.S</v>
      </c>
      <c r="E20" s="397">
        <f>VLOOKUP(D20,'METODO DE PONDERACION'!D$41:G$101,2,FALSE)</f>
        <v>477.74</v>
      </c>
      <c r="F20" s="111">
        <f>IF(VLOOKUP(D20,'METODO DE PONDERACION'!D$41:G$101,4,FALSE)&lt;0,0,VLOOKUP(D20,'METODO DE PONDERACION'!D$41:G$101,4,FALSE))</f>
        <v>59.574080916312589</v>
      </c>
      <c r="G20" s="111">
        <f>VLOOKUP($D20,'RESUMEN-M (1)'!$D$12:$G$94,3,FALSE)</f>
        <v>10</v>
      </c>
      <c r="H20" s="111">
        <f>VLOOKUP($D20,'RESUMEN-M (1)'!$D$12:$G$94,4,FALSE)</f>
        <v>1</v>
      </c>
      <c r="I20" s="111">
        <f>VLOOKUP($D20,'RESUMEN-M (1)'!$D$12:$K$94,5,FALSE)</f>
        <v>20</v>
      </c>
      <c r="J20" s="111">
        <f>VLOOKUP($D20,'RESUMEN-M (1)'!$D$12:$K$94,6,FALSE)</f>
        <v>1</v>
      </c>
      <c r="K20" s="111">
        <f>VLOOKUP($D20,'RESUMEN-M (1)'!$D$12:$K$94,7,FALSE)</f>
        <v>0.25</v>
      </c>
      <c r="L20" s="111">
        <f>VLOOKUP($D20,'RESUMEN-M (1)'!$D$12:$K$94,8,FALSE)</f>
        <v>0.25</v>
      </c>
      <c r="M20" s="107">
        <f t="shared" si="1"/>
        <v>92.074080916312596</v>
      </c>
      <c r="N20" s="112"/>
      <c r="O20" s="265"/>
      <c r="P20" s="265"/>
      <c r="Q20" s="113">
        <f t="shared" si="3"/>
        <v>13</v>
      </c>
      <c r="R20" s="114">
        <v>5</v>
      </c>
      <c r="S20" s="144" t="str">
        <f t="shared" ca="1" si="2"/>
        <v>CONSORCIO CABAC-AZIMUT</v>
      </c>
      <c r="T20" s="115">
        <f t="shared" ca="1" si="4"/>
        <v>98.492379456863119</v>
      </c>
    </row>
    <row r="21" spans="2:20" ht="26.25" customHeight="1" x14ac:dyDescent="0.25">
      <c r="B21" s="108">
        <v>6</v>
      </c>
      <c r="C21" s="141">
        <f>'RESUMEN-M (1)'!C17</f>
        <v>6</v>
      </c>
      <c r="D21" s="193" t="str">
        <f>'RESUMEN-M (1)'!D17</f>
        <v>CONSORCIO VIAS NRT</v>
      </c>
      <c r="E21" s="397">
        <f>VLOOKUP(D21,'METODO DE PONDERACION'!D$41:G$101,2,FALSE)</f>
        <v>502.98</v>
      </c>
      <c r="F21" s="111">
        <f>IF(VLOOKUP(D21,'METODO DE PONDERACION'!D$41:G$101,4,FALSE)&lt;0,0,VLOOKUP(D21,'METODO DE PONDERACION'!D$41:G$101,4,FALSE))</f>
        <v>62.721503787179017</v>
      </c>
      <c r="G21" s="111">
        <f>VLOOKUP($D21,'RESUMEN-M (1)'!$D$12:$G$94,3,FALSE)</f>
        <v>10</v>
      </c>
      <c r="H21" s="111">
        <f>VLOOKUP($D21,'RESUMEN-M (1)'!$D$12:$G$94,4,FALSE)</f>
        <v>1</v>
      </c>
      <c r="I21" s="111">
        <f>VLOOKUP($D21,'RESUMEN-M (1)'!$D$12:$K$94,5,FALSE)</f>
        <v>20</v>
      </c>
      <c r="J21" s="111">
        <f>VLOOKUP($D21,'RESUMEN-M (1)'!$D$12:$K$94,6,FALSE)</f>
        <v>1</v>
      </c>
      <c r="K21" s="111">
        <f>VLOOKUP($D21,'RESUMEN-M (1)'!$D$12:$K$94,7,FALSE)</f>
        <v>0.25</v>
      </c>
      <c r="L21" s="111">
        <f>VLOOKUP($D21,'RESUMEN-M (1)'!$D$12:$K$94,8,FALSE)</f>
        <v>0.25</v>
      </c>
      <c r="M21" s="107">
        <f t="shared" si="1"/>
        <v>95.221503787179017</v>
      </c>
      <c r="N21" s="112"/>
      <c r="O21" s="265"/>
      <c r="P21" s="265"/>
      <c r="Q21" s="113">
        <f t="shared" si="3"/>
        <v>11</v>
      </c>
      <c r="R21" s="114">
        <v>6</v>
      </c>
      <c r="S21" s="144" t="str">
        <f t="shared" ca="1" si="2"/>
        <v>CONSORCIO INTERVENTORE
S AC</v>
      </c>
      <c r="T21" s="115">
        <f t="shared" ca="1" si="4"/>
        <v>98.278519305375951</v>
      </c>
    </row>
    <row r="22" spans="2:20" ht="38.25" customHeight="1" x14ac:dyDescent="0.25">
      <c r="B22" s="108">
        <v>7</v>
      </c>
      <c r="C22" s="141">
        <f>'RESUMEN-M (1)'!C18</f>
        <v>7</v>
      </c>
      <c r="D22" s="193" t="str">
        <f>'RESUMEN-M (1)'!D18</f>
        <v>INTERSA S.A.</v>
      </c>
      <c r="E22" s="397">
        <f>VLOOKUP(D22,'METODO DE PONDERACION'!D$41:G$101,2,FALSE)</f>
        <v>407.01333333333332</v>
      </c>
      <c r="F22" s="111">
        <f>IF(VLOOKUP(D22,'METODO DE PONDERACION'!D$41:G$101,4,FALSE)&lt;0,0,VLOOKUP(D22,'METODO DE PONDERACION'!D$41:G$101,4,FALSE))</f>
        <v>50.754479955662298</v>
      </c>
      <c r="G22" s="111">
        <f>VLOOKUP($D22,'RESUMEN-M (1)'!$D$12:$G$94,3,FALSE)</f>
        <v>10</v>
      </c>
      <c r="H22" s="111">
        <f>VLOOKUP($D22,'RESUMEN-M (1)'!$D$12:$G$94,4,FALSE)</f>
        <v>1</v>
      </c>
      <c r="I22" s="111">
        <f>VLOOKUP($D22,'RESUMEN-M (1)'!$D$12:$K$94,5,FALSE)</f>
        <v>20</v>
      </c>
      <c r="J22" s="111">
        <f>VLOOKUP($D22,'RESUMEN-M (1)'!$D$12:$K$94,6,FALSE)</f>
        <v>1</v>
      </c>
      <c r="K22" s="111">
        <f>VLOOKUP($D22,'RESUMEN-M (1)'!$D$12:$K$94,7,FALSE)</f>
        <v>0.25</v>
      </c>
      <c r="L22" s="111">
        <f>VLOOKUP($D22,'RESUMEN-M (1)'!$D$12:$K$94,8,FALSE)</f>
        <v>0.25</v>
      </c>
      <c r="M22" s="107">
        <f t="shared" si="1"/>
        <v>83.254479955662305</v>
      </c>
      <c r="N22" s="112"/>
      <c r="O22" s="265"/>
      <c r="P22" s="265"/>
      <c r="Q22" s="113">
        <f t="shared" si="3"/>
        <v>26</v>
      </c>
      <c r="R22" s="114">
        <v>7</v>
      </c>
      <c r="S22" s="144" t="str">
        <f t="shared" ca="1" si="2"/>
        <v>INTERVAL2</v>
      </c>
      <c r="T22" s="115">
        <f t="shared" ca="1" si="4"/>
        <v>97.807361906521351</v>
      </c>
    </row>
    <row r="23" spans="2:20" ht="26.25" customHeight="1" x14ac:dyDescent="0.25">
      <c r="B23" s="108">
        <v>8</v>
      </c>
      <c r="C23" s="141">
        <f>'RESUMEN-M (1)'!C19</f>
        <v>8</v>
      </c>
      <c r="D23" s="193" t="str">
        <f>'RESUMEN-M (1)'!D19</f>
        <v>PROESING</v>
      </c>
      <c r="E23" s="397">
        <f>VLOOKUP(D23,'METODO DE PONDERACION'!D$41:G$101,2,FALSE)</f>
        <v>203.37</v>
      </c>
      <c r="F23" s="111">
        <f>IF(VLOOKUP(D23,'METODO DE PONDERACION'!D$41:G$101,4,FALSE)&lt;0,0,VLOOKUP(D23,'METODO DE PONDERACION'!D$41:G$101,4,FALSE))</f>
        <v>25.360197672270466</v>
      </c>
      <c r="G23" s="111">
        <f>VLOOKUP($D23,'RESUMEN-M (1)'!$D$12:$G$94,3,FALSE)</f>
        <v>10</v>
      </c>
      <c r="H23" s="111">
        <f>VLOOKUP($D23,'RESUMEN-M (1)'!$D$12:$G$94,4,FALSE)</f>
        <v>1</v>
      </c>
      <c r="I23" s="111">
        <f>VLOOKUP($D23,'RESUMEN-M (1)'!$D$12:$K$94,5,FALSE)</f>
        <v>0</v>
      </c>
      <c r="J23" s="111">
        <f>VLOOKUP($D23,'RESUMEN-M (1)'!$D$12:$K$94,6,FALSE)</f>
        <v>0</v>
      </c>
      <c r="K23" s="111">
        <f>VLOOKUP($D23,'RESUMEN-M (1)'!$D$12:$K$94,7,FALSE)</f>
        <v>0</v>
      </c>
      <c r="L23" s="111">
        <f>VLOOKUP($D23,'RESUMEN-M (1)'!$D$12:$K$94,8,FALSE)</f>
        <v>0.25</v>
      </c>
      <c r="M23" s="107">
        <f>IF(E23="NO HÁBIL",G23+H23+I23+J23+K23+L23,IF(E23="RECHAZADO",N23,F23+G23+H23+I23+N23+J23+K23+L23))</f>
        <v>36.610197672270466</v>
      </c>
      <c r="N23" s="112"/>
      <c r="O23" s="265"/>
      <c r="P23" s="265"/>
      <c r="Q23" s="113">
        <f t="shared" si="3"/>
        <v>48</v>
      </c>
      <c r="R23" s="114">
        <v>8</v>
      </c>
      <c r="S23" s="144" t="str">
        <f t="shared" ca="1" si="2"/>
        <v>BRAIN INGENIERIA VIAL SAS</v>
      </c>
      <c r="T23" s="115">
        <f t="shared" ca="1" si="4"/>
        <v>97.040873822279707</v>
      </c>
    </row>
    <row r="24" spans="2:20" ht="26.25" customHeight="1" x14ac:dyDescent="0.25">
      <c r="B24" s="108">
        <v>9</v>
      </c>
      <c r="C24" s="141">
        <f>'RESUMEN-M (1)'!C20</f>
        <v>9</v>
      </c>
      <c r="D24" s="193" t="str">
        <f>'RESUMEN-M (1)'!D20</f>
        <v>INTERVAL2</v>
      </c>
      <c r="E24" s="397">
        <f>VLOOKUP(D24,'METODO DE PONDERACION'!D$41:G$101,2,FALSE)</f>
        <v>523.7166666666667</v>
      </c>
      <c r="F24" s="111">
        <f>IF(VLOOKUP(D24,'METODO DE PONDERACION'!D$41:G$101,4,FALSE)&lt;0,0,VLOOKUP(D24,'METODO DE PONDERACION'!D$41:G$101,4,FALSE))</f>
        <v>65.307361906521351</v>
      </c>
      <c r="G24" s="111">
        <f>VLOOKUP($D24,'RESUMEN-M (1)'!$D$12:$G$94,3,FALSE)</f>
        <v>10</v>
      </c>
      <c r="H24" s="111">
        <f>VLOOKUP($D24,'RESUMEN-M (1)'!$D$12:$G$94,4,FALSE)</f>
        <v>1</v>
      </c>
      <c r="I24" s="111">
        <f>VLOOKUP($D24,'RESUMEN-M (1)'!$D$12:$K$94,5,FALSE)</f>
        <v>20</v>
      </c>
      <c r="J24" s="111">
        <f>VLOOKUP($D24,'RESUMEN-M (1)'!$D$12:$K$94,6,FALSE)</f>
        <v>1</v>
      </c>
      <c r="K24" s="111">
        <f>VLOOKUP($D24,'RESUMEN-M (1)'!$D$12:$K$94,7,FALSE)</f>
        <v>0.25</v>
      </c>
      <c r="L24" s="111">
        <f>VLOOKUP($D24,'RESUMEN-M (1)'!$D$12:$K$94,8,FALSE)</f>
        <v>0.25</v>
      </c>
      <c r="M24" s="107">
        <f t="shared" ref="M24:M76" si="5">IF(E24="NO HÁBIL",G24+H24+I24+J24+K24+L24,IF(E24="RECHAZADO",N24,F24+G24+H24+I24+N24+J24+K24+L24))</f>
        <v>97.807361906521351</v>
      </c>
      <c r="N24" s="112"/>
      <c r="O24" s="265"/>
      <c r="P24" s="265"/>
      <c r="Q24" s="113">
        <f t="shared" si="3"/>
        <v>7</v>
      </c>
      <c r="R24" s="114">
        <v>9</v>
      </c>
      <c r="S24" s="144" t="str">
        <f t="shared" ca="1" si="2"/>
        <v>CONSORCIO OJB</v>
      </c>
      <c r="T24" s="115">
        <f t="shared" ca="1" si="4"/>
        <v>96.934359412525396</v>
      </c>
    </row>
    <row r="25" spans="2:20" ht="38.25" customHeight="1" x14ac:dyDescent="0.25">
      <c r="B25" s="108">
        <v>10</v>
      </c>
      <c r="C25" s="141">
        <f>'RESUMEN-M (1)'!C21</f>
        <v>10</v>
      </c>
      <c r="D25" s="193" t="str">
        <f>'RESUMEN-M (1)'!D21</f>
        <v>CONINTER JMJ SAS</v>
      </c>
      <c r="E25" s="397">
        <f>VLOOKUP(D25,'METODO DE PONDERACION'!D$41:G$101,2,FALSE)</f>
        <v>645.1</v>
      </c>
      <c r="F25" s="111">
        <f>IF(VLOOKUP(D25,'METODO DE PONDERACION'!D$41:G$101,4,FALSE)&lt;0,0,VLOOKUP(D25,'METODO DE PONDERACION'!D$41:G$101,4,FALSE))</f>
        <v>54.556161093663391</v>
      </c>
      <c r="G25" s="111">
        <f>VLOOKUP($D25,'RESUMEN-M (1)'!$D$12:$G$94,3,FALSE)</f>
        <v>10</v>
      </c>
      <c r="H25" s="111">
        <f>VLOOKUP($D25,'RESUMEN-M (1)'!$D$12:$G$94,4,FALSE)</f>
        <v>1</v>
      </c>
      <c r="I25" s="111">
        <f>VLOOKUP($D25,'RESUMEN-M (1)'!$D$12:$K$94,5,FALSE)</f>
        <v>20</v>
      </c>
      <c r="J25" s="111">
        <f>VLOOKUP($D25,'RESUMEN-M (1)'!$D$12:$K$94,6,FALSE)</f>
        <v>1</v>
      </c>
      <c r="K25" s="111">
        <f>VLOOKUP($D25,'RESUMEN-M (1)'!$D$12:$K$94,7,FALSE)</f>
        <v>0.25</v>
      </c>
      <c r="L25" s="111">
        <f>VLOOKUP($D25,'RESUMEN-M (1)'!$D$12:$K$94,8,FALSE)</f>
        <v>0.25</v>
      </c>
      <c r="M25" s="107">
        <f t="shared" si="5"/>
        <v>87.056161093663391</v>
      </c>
      <c r="N25" s="112"/>
      <c r="O25" s="265"/>
      <c r="P25" s="265"/>
      <c r="Q25" s="113">
        <f t="shared" si="3"/>
        <v>19</v>
      </c>
      <c r="R25" s="114">
        <v>10</v>
      </c>
      <c r="S25" s="144" t="str">
        <f t="shared" ca="1" si="2"/>
        <v>CONSORCIO RED VIAL HUILA</v>
      </c>
      <c r="T25" s="115">
        <f t="shared" ca="1" si="4"/>
        <v>96.76362460742655</v>
      </c>
    </row>
    <row r="26" spans="2:20" ht="26.25" customHeight="1" x14ac:dyDescent="0.25">
      <c r="B26" s="108">
        <v>11</v>
      </c>
      <c r="C26" s="141">
        <f>'RESUMEN-M (1)'!C22</f>
        <v>11</v>
      </c>
      <c r="D26" s="193" t="str">
        <f>'RESUMEN-M (1)'!D22</f>
        <v>CONSORCIO METRO CINCO</v>
      </c>
      <c r="E26" s="397">
        <f>VLOOKUP(D26,'METODO DE PONDERACION'!D$41:G$101,2,FALSE)</f>
        <v>3285.9500000000003</v>
      </c>
      <c r="F26" s="111">
        <f>IF(VLOOKUP(D26,'METODO DE PONDERACION'!D$41:G$101,4,FALSE)&lt;0,0,VLOOKUP(D26,'METODO DE PONDERACION'!D$41:G$101,4,FALSE))</f>
        <v>0</v>
      </c>
      <c r="G26" s="111">
        <f>VLOOKUP($D26,'RESUMEN-M (1)'!$D$12:$G$94,3,FALSE)</f>
        <v>10</v>
      </c>
      <c r="H26" s="111">
        <f>VLOOKUP($D26,'RESUMEN-M (1)'!$D$12:$G$94,4,FALSE)</f>
        <v>1</v>
      </c>
      <c r="I26" s="111">
        <f>VLOOKUP($D26,'RESUMEN-M (1)'!$D$12:$K$94,5,FALSE)</f>
        <v>20</v>
      </c>
      <c r="J26" s="111">
        <f>VLOOKUP($D26,'RESUMEN-M (1)'!$D$12:$K$94,6,FALSE)</f>
        <v>1</v>
      </c>
      <c r="K26" s="111">
        <f>VLOOKUP($D26,'RESUMEN-M (1)'!$D$12:$K$94,7,FALSE)</f>
        <v>0.25</v>
      </c>
      <c r="L26" s="111">
        <f>VLOOKUP($D26,'RESUMEN-M (1)'!$D$12:$K$94,8,FALSE)</f>
        <v>0.25</v>
      </c>
      <c r="M26" s="107">
        <f t="shared" si="5"/>
        <v>32.5</v>
      </c>
      <c r="N26" s="112"/>
      <c r="O26" s="265"/>
      <c r="P26" s="265"/>
      <c r="Q26" s="113">
        <f t="shared" si="3"/>
        <v>50</v>
      </c>
      <c r="R26" s="114">
        <v>11</v>
      </c>
      <c r="S26" s="144" t="str">
        <f t="shared" ca="1" si="2"/>
        <v>CONSORCIO VIAS NRT</v>
      </c>
      <c r="T26" s="115">
        <f t="shared" ca="1" si="4"/>
        <v>95.221503787179017</v>
      </c>
    </row>
    <row r="27" spans="2:20" ht="26.25" customHeight="1" x14ac:dyDescent="0.25">
      <c r="B27" s="108">
        <v>12</v>
      </c>
      <c r="C27" s="141">
        <f>'RESUMEN-M (1)'!C23</f>
        <v>12</v>
      </c>
      <c r="D27" s="193" t="str">
        <f>'RESUMEN-M (1)'!D23</f>
        <v>Consorcio INTERING</v>
      </c>
      <c r="E27" s="397">
        <f>VLOOKUP(D27,'METODO DE PONDERACION'!D$41:G$101,2,FALSE)</f>
        <v>2198.7399999999998</v>
      </c>
      <c r="F27" s="111">
        <f>IF(VLOOKUP(D27,'METODO DE PONDERACION'!D$41:G$101,4,FALSE)&lt;0,0,VLOOKUP(D27,'METODO DE PONDERACION'!D$41:G$101,4,FALSE))</f>
        <v>0</v>
      </c>
      <c r="G27" s="111">
        <f>VLOOKUP($D27,'RESUMEN-M (1)'!$D$12:$G$94,3,FALSE)</f>
        <v>10</v>
      </c>
      <c r="H27" s="111">
        <f>VLOOKUP($D27,'RESUMEN-M (1)'!$D$12:$G$94,4,FALSE)</f>
        <v>1</v>
      </c>
      <c r="I27" s="111">
        <f>VLOOKUP($D27,'RESUMEN-M (1)'!$D$12:$K$94,5,FALSE)</f>
        <v>20</v>
      </c>
      <c r="J27" s="111">
        <f>VLOOKUP($D27,'RESUMEN-M (1)'!$D$12:$K$94,6,FALSE)</f>
        <v>0</v>
      </c>
      <c r="K27" s="111">
        <f>VLOOKUP($D27,'RESUMEN-M (1)'!$D$12:$K$94,7,FALSE)</f>
        <v>0.25</v>
      </c>
      <c r="L27" s="111">
        <f>VLOOKUP($D27,'RESUMEN-M (1)'!$D$12:$K$94,8,FALSE)</f>
        <v>0.25</v>
      </c>
      <c r="M27" s="107">
        <f t="shared" si="5"/>
        <v>31.5</v>
      </c>
      <c r="N27" s="112"/>
      <c r="O27" s="265"/>
      <c r="P27" s="265"/>
      <c r="Q27" s="113">
        <f t="shared" si="3"/>
        <v>55</v>
      </c>
      <c r="R27" s="114">
        <v>12</v>
      </c>
      <c r="S27" s="144" t="str">
        <f t="shared" ca="1" si="2"/>
        <v>MAVECA INGENIERIA S.A.S</v>
      </c>
      <c r="T27" s="115">
        <f t="shared" ca="1" si="4"/>
        <v>93.810899685941251</v>
      </c>
    </row>
    <row r="28" spans="2:20" ht="26.25" customHeight="1" x14ac:dyDescent="0.25">
      <c r="B28" s="108">
        <v>13</v>
      </c>
      <c r="C28" s="141">
        <f>'RESUMEN-M (1)'!C24</f>
        <v>13</v>
      </c>
      <c r="D28" s="193" t="str">
        <f>'RESUMEN-M (1)'!D24</f>
        <v>CONSORCIO INFRAESTRUCT
URA CAUCA</v>
      </c>
      <c r="E28" s="397" t="str">
        <f>VLOOKUP(D28,'METODO DE PONDERACION'!D$41:G$101,2,FALSE)</f>
        <v>RECHAZADO</v>
      </c>
      <c r="F28" s="111" t="str">
        <f>IF(VLOOKUP(D28,'METODO DE PONDERACION'!D$41:G$101,4,FALSE)&lt;0,0,VLOOKUP(D28,'METODO DE PONDERACION'!D$41:G$101,4,FALSE))</f>
        <v/>
      </c>
      <c r="G28" s="111">
        <f>VLOOKUP($D28,'RESUMEN-M (1)'!$D$12:$G$94,3,FALSE)</f>
        <v>10</v>
      </c>
      <c r="H28" s="111">
        <f>VLOOKUP($D28,'RESUMEN-M (1)'!$D$12:$G$94,4,FALSE)</f>
        <v>1</v>
      </c>
      <c r="I28" s="111">
        <f>VLOOKUP($D28,'RESUMEN-M (1)'!$D$12:$K$94,5,FALSE)</f>
        <v>0</v>
      </c>
      <c r="J28" s="111">
        <f>VLOOKUP($D28,'RESUMEN-M (1)'!$D$12:$K$94,6,FALSE)</f>
        <v>1</v>
      </c>
      <c r="K28" s="111">
        <f>VLOOKUP($D28,'RESUMEN-M (1)'!$D$12:$K$94,7,FALSE)</f>
        <v>0</v>
      </c>
      <c r="L28" s="111">
        <f>VLOOKUP($D28,'RESUMEN-M (1)'!$D$12:$K$94,8,FALSE)</f>
        <v>0.25</v>
      </c>
      <c r="M28" s="107">
        <f t="shared" si="5"/>
        <v>0</v>
      </c>
      <c r="N28" s="112"/>
      <c r="O28" s="265"/>
      <c r="P28" s="265"/>
      <c r="Q28" s="113">
        <f t="shared" si="3"/>
        <v>59</v>
      </c>
      <c r="R28" s="114">
        <v>13</v>
      </c>
      <c r="S28" s="144" t="str">
        <f t="shared" ca="1" si="2"/>
        <v>C&amp;A PROFESIONALES DE IN
GENIERÍA S.A.S</v>
      </c>
      <c r="T28" s="115">
        <f t="shared" ca="1" si="4"/>
        <v>92.074080916312596</v>
      </c>
    </row>
    <row r="29" spans="2:20" ht="26.25" customHeight="1" x14ac:dyDescent="0.25">
      <c r="B29" s="108">
        <v>14</v>
      </c>
      <c r="C29" s="141">
        <f>'RESUMEN-M (1)'!C25</f>
        <v>14</v>
      </c>
      <c r="D29" s="193" t="str">
        <f>'RESUMEN-M (1)'!D25</f>
        <v>CONSORCIO HUPK VIAS MAG
DALENA</v>
      </c>
      <c r="E29" s="397">
        <f>VLOOKUP(D29,'METODO DE PONDERACION'!D$41:G$101,2,FALSE)</f>
        <v>287.52499999999998</v>
      </c>
      <c r="F29" s="111">
        <f>IF(VLOOKUP(D29,'METODO DE PONDERACION'!D$41:G$101,4,FALSE)&lt;0,0,VLOOKUP(D29,'METODO DE PONDERACION'!D$41:G$101,4,FALSE))</f>
        <v>35.85430907075559</v>
      </c>
      <c r="G29" s="111">
        <f>VLOOKUP($D29,'RESUMEN-M (1)'!$D$12:$G$94,3,FALSE)</f>
        <v>10</v>
      </c>
      <c r="H29" s="111">
        <f>VLOOKUP($D29,'RESUMEN-M (1)'!$D$12:$G$94,4,FALSE)</f>
        <v>1</v>
      </c>
      <c r="I29" s="111">
        <f>VLOOKUP($D29,'RESUMEN-M (1)'!$D$12:$K$94,5,FALSE)</f>
        <v>20</v>
      </c>
      <c r="J29" s="111">
        <f>VLOOKUP($D29,'RESUMEN-M (1)'!$D$12:$K$94,6,FALSE)</f>
        <v>1</v>
      </c>
      <c r="K29" s="111">
        <f>VLOOKUP($D29,'RESUMEN-M (1)'!$D$12:$K$94,7,FALSE)</f>
        <v>0.25</v>
      </c>
      <c r="L29" s="111">
        <f>VLOOKUP($D29,'RESUMEN-M (1)'!$D$12:$K$94,8,FALSE)</f>
        <v>0.25</v>
      </c>
      <c r="M29" s="107">
        <f t="shared" si="5"/>
        <v>68.35430907075559</v>
      </c>
      <c r="N29" s="112"/>
      <c r="O29" s="265"/>
      <c r="P29" s="265"/>
      <c r="Q29" s="113">
        <f t="shared" si="3"/>
        <v>38</v>
      </c>
      <c r="R29" s="114">
        <v>14</v>
      </c>
      <c r="S29" s="144" t="str">
        <f t="shared" ca="1" si="2"/>
        <v>CONSORCIO CB-TALATAA</v>
      </c>
      <c r="T29" s="115">
        <f t="shared" ca="1" si="4"/>
        <v>91.902992795122856</v>
      </c>
    </row>
    <row r="30" spans="2:20" ht="26.25" customHeight="1" x14ac:dyDescent="0.25">
      <c r="B30" s="108">
        <v>15</v>
      </c>
      <c r="C30" s="141">
        <f>'RESUMEN-M (1)'!C26</f>
        <v>15</v>
      </c>
      <c r="D30" s="193" t="str">
        <f>'RESUMEN-M (1)'!D26</f>
        <v>CONSORCIO INTER VIAL G&amp;
G</v>
      </c>
      <c r="E30" s="397">
        <f>VLOOKUP(D30,'METODO DE PONDERACION'!D$41:G$101,2,FALSE)</f>
        <v>432.80166666666668</v>
      </c>
      <c r="F30" s="111">
        <f>IF(VLOOKUP(D30,'METODO DE PONDERACION'!D$41:G$101,4,FALSE)&lt;0,0,VLOOKUP(D30,'METODO DE PONDERACION'!D$41:G$101,4,FALSE))</f>
        <v>53.970279881766125</v>
      </c>
      <c r="G30" s="111">
        <f>VLOOKUP($D30,'RESUMEN-M (1)'!$D$12:$G$94,3,FALSE)</f>
        <v>10</v>
      </c>
      <c r="H30" s="111">
        <f>VLOOKUP($D30,'RESUMEN-M (1)'!$D$12:$G$94,4,FALSE)</f>
        <v>1</v>
      </c>
      <c r="I30" s="111">
        <f>VLOOKUP($D30,'RESUMEN-M (1)'!$D$12:$K$94,5,FALSE)</f>
        <v>20</v>
      </c>
      <c r="J30" s="111">
        <f>VLOOKUP($D30,'RESUMEN-M (1)'!$D$12:$K$94,6,FALSE)</f>
        <v>1</v>
      </c>
      <c r="K30" s="111">
        <f>VLOOKUP($D30,'RESUMEN-M (1)'!$D$12:$K$94,7,FALSE)</f>
        <v>0.25</v>
      </c>
      <c r="L30" s="111">
        <f>VLOOKUP($D30,'RESUMEN-M (1)'!$D$12:$K$94,8,FALSE)</f>
        <v>0.25</v>
      </c>
      <c r="M30" s="107">
        <f t="shared" si="5"/>
        <v>86.470279881766118</v>
      </c>
      <c r="N30" s="112"/>
      <c r="O30" s="265"/>
      <c r="P30" s="265"/>
      <c r="Q30" s="113">
        <f t="shared" si="3"/>
        <v>21</v>
      </c>
      <c r="R30" s="114">
        <v>15</v>
      </c>
      <c r="S30" s="144" t="str">
        <f t="shared" ca="1" si="2"/>
        <v>CONSORCIO VÍAS PROTEV</v>
      </c>
      <c r="T30" s="115">
        <f t="shared" ca="1" si="4"/>
        <v>90.884444854978767</v>
      </c>
    </row>
    <row r="31" spans="2:20" ht="26.25" customHeight="1" x14ac:dyDescent="0.25">
      <c r="B31" s="108">
        <v>16</v>
      </c>
      <c r="C31" s="141">
        <f>'RESUMEN-M (1)'!C27</f>
        <v>16</v>
      </c>
      <c r="D31" s="193" t="str">
        <f>'RESUMEN-M (1)'!D27</f>
        <v>IC INGENIO CIVIL</v>
      </c>
      <c r="E31" s="397">
        <f>VLOOKUP(D31,'METODO DE PONDERACION'!D$41:G$101,2,FALSE)</f>
        <v>279.4975</v>
      </c>
      <c r="F31" s="111">
        <f>IF(VLOOKUP(D31,'METODO DE PONDERACION'!D$41:G$101,4,FALSE)&lt;0,0,VLOOKUP(D31,'METODO DE PONDERACION'!D$41:G$101,4,FALSE))</f>
        <v>34.853281452059861</v>
      </c>
      <c r="G31" s="111">
        <f>VLOOKUP($D31,'RESUMEN-M (1)'!$D$12:$G$94,3,FALSE)</f>
        <v>10</v>
      </c>
      <c r="H31" s="111">
        <f>VLOOKUP($D31,'RESUMEN-M (1)'!$D$12:$G$94,4,FALSE)</f>
        <v>1</v>
      </c>
      <c r="I31" s="111">
        <f>VLOOKUP($D31,'RESUMEN-M (1)'!$D$12:$K$94,5,FALSE)</f>
        <v>20</v>
      </c>
      <c r="J31" s="111">
        <f>VLOOKUP($D31,'RESUMEN-M (1)'!$D$12:$K$94,6,FALSE)</f>
        <v>1</v>
      </c>
      <c r="K31" s="111">
        <f>VLOOKUP($D31,'RESUMEN-M (1)'!$D$12:$K$94,7,FALSE)</f>
        <v>0.25</v>
      </c>
      <c r="L31" s="111">
        <f>VLOOKUP($D31,'RESUMEN-M (1)'!$D$12:$K$94,8,FALSE)</f>
        <v>0.25</v>
      </c>
      <c r="M31" s="107">
        <f t="shared" si="5"/>
        <v>67.353281452059861</v>
      </c>
      <c r="N31" s="112"/>
      <c r="O31" s="281"/>
      <c r="P31" s="265"/>
      <c r="Q31" s="113">
        <f t="shared" si="3"/>
        <v>39</v>
      </c>
      <c r="R31" s="114">
        <v>16</v>
      </c>
      <c r="S31" s="144" t="str">
        <f t="shared" ca="1" si="2"/>
        <v>PROYECTISTAS DE COLOMB
IA &amp; CIA SAS</v>
      </c>
      <c r="T31" s="115">
        <f t="shared" ca="1" si="4"/>
        <v>89.498429706262698</v>
      </c>
    </row>
    <row r="32" spans="2:20" ht="26.25" customHeight="1" x14ac:dyDescent="0.25">
      <c r="B32" s="108">
        <v>17</v>
      </c>
      <c r="C32" s="141">
        <f>'RESUMEN-M (1)'!C28</f>
        <v>17</v>
      </c>
      <c r="D32" s="193" t="str">
        <f>'RESUMEN-M (1)'!D28</f>
        <v>MORAM CONSULTORIA SAS</v>
      </c>
      <c r="E32" s="397">
        <f>VLOOKUP(D32,'METODO DE PONDERACION'!D$41:G$101,2,FALSE)</f>
        <v>352.95499999999998</v>
      </c>
      <c r="F32" s="111">
        <f>IF(VLOOKUP(D32,'METODO DE PONDERACION'!D$41:G$101,4,FALSE)&lt;0,0,VLOOKUP(D32,'METODO DE PONDERACION'!D$41:G$101,4,FALSE))</f>
        <v>44.013416774431917</v>
      </c>
      <c r="G32" s="111">
        <f>VLOOKUP($D32,'RESUMEN-M (1)'!$D$12:$G$94,3,FALSE)</f>
        <v>10</v>
      </c>
      <c r="H32" s="111">
        <f>VLOOKUP($D32,'RESUMEN-M (1)'!$D$12:$G$94,4,FALSE)</f>
        <v>1</v>
      </c>
      <c r="I32" s="111">
        <f>VLOOKUP($D32,'RESUMEN-M (1)'!$D$12:$K$94,5,FALSE)</f>
        <v>20</v>
      </c>
      <c r="J32" s="111">
        <f>VLOOKUP($D32,'RESUMEN-M (1)'!$D$12:$K$94,6,FALSE)</f>
        <v>0</v>
      </c>
      <c r="K32" s="111">
        <f>VLOOKUP($D32,'RESUMEN-M (1)'!$D$12:$K$94,7,FALSE)</f>
        <v>0.25</v>
      </c>
      <c r="L32" s="111">
        <f>VLOOKUP($D32,'RESUMEN-M (1)'!$D$12:$K$94,8,FALSE)</f>
        <v>0.25</v>
      </c>
      <c r="M32" s="107">
        <f t="shared" si="5"/>
        <v>75.513416774431917</v>
      </c>
      <c r="N32" s="112"/>
      <c r="O32" s="265"/>
      <c r="P32" s="265"/>
      <c r="Q32" s="113">
        <f t="shared" si="3"/>
        <v>34</v>
      </c>
      <c r="R32" s="114">
        <v>17</v>
      </c>
      <c r="S32" s="144" t="str">
        <f t="shared" ca="1" si="2"/>
        <v>CONSORCIO SF 2023</v>
      </c>
      <c r="T32" s="115">
        <f t="shared" ca="1" si="4"/>
        <v>88.12483835211529</v>
      </c>
    </row>
    <row r="33" spans="2:20" ht="26.25" customHeight="1" x14ac:dyDescent="0.25">
      <c r="B33" s="108">
        <v>18</v>
      </c>
      <c r="C33" s="141">
        <f>'RESUMEN-M (1)'!C29</f>
        <v>18</v>
      </c>
      <c r="D33" s="193" t="str">
        <f>'RESUMEN-M (1)'!D29</f>
        <v>VELNEC S.A.</v>
      </c>
      <c r="E33" s="397">
        <f>VLOOKUP(D33,'METODO DE PONDERACION'!D$41:G$101,2,FALSE)</f>
        <v>1119.75</v>
      </c>
      <c r="F33" s="111">
        <f>IF(VLOOKUP(D33,'METODO DE PONDERACION'!D$41:G$101,4,FALSE)&lt;0,0,VLOOKUP(D33,'METODO DE PONDERACION'!D$41:G$101,4,FALSE))</f>
        <v>0</v>
      </c>
      <c r="G33" s="111">
        <f>VLOOKUP($D33,'RESUMEN-M (1)'!$D$12:$G$94,3,FALSE)</f>
        <v>10</v>
      </c>
      <c r="H33" s="111">
        <f>VLOOKUP($D33,'RESUMEN-M (1)'!$D$12:$G$94,4,FALSE)</f>
        <v>1</v>
      </c>
      <c r="I33" s="111">
        <f>VLOOKUP($D33,'RESUMEN-M (1)'!$D$12:$K$94,5,FALSE)</f>
        <v>20</v>
      </c>
      <c r="J33" s="111">
        <f>VLOOKUP($D33,'RESUMEN-M (1)'!$D$12:$K$94,6,FALSE)</f>
        <v>1</v>
      </c>
      <c r="K33" s="111">
        <f>VLOOKUP($D33,'RESUMEN-M (1)'!$D$12:$K$94,7,FALSE)</f>
        <v>0.25</v>
      </c>
      <c r="L33" s="111">
        <f>VLOOKUP($D33,'RESUMEN-M (1)'!$D$12:$K$94,8,FALSE)</f>
        <v>0.25</v>
      </c>
      <c r="M33" s="107">
        <f t="shared" si="5"/>
        <v>32.5</v>
      </c>
      <c r="N33" s="112"/>
      <c r="O33" s="265"/>
      <c r="P33" s="265"/>
      <c r="Q33" s="113">
        <f t="shared" si="3"/>
        <v>50</v>
      </c>
      <c r="R33" s="114">
        <v>18</v>
      </c>
      <c r="S33" s="144" t="str">
        <f t="shared" ca="1" si="2"/>
        <v>LEMOINE RIVERA INGENIEROS ASOCIADOS SAS</v>
      </c>
      <c r="T33" s="115">
        <f t="shared" ca="1" si="4"/>
        <v>87.139797247367454</v>
      </c>
    </row>
    <row r="34" spans="2:20" ht="26.25" customHeight="1" x14ac:dyDescent="0.25">
      <c r="B34" s="108">
        <v>19</v>
      </c>
      <c r="C34" s="141">
        <f>'RESUMEN-M (1)'!C30</f>
        <v>19</v>
      </c>
      <c r="D34" s="193" t="str">
        <f>'RESUMEN-M (1)'!D30</f>
        <v>CONSULTORES SOLANO NA
VAS LTDA</v>
      </c>
      <c r="E34" s="397">
        <f>VLOOKUP(D34,'METODO DE PONDERACION'!D$41:G$101,2,FALSE)</f>
        <v>533.28266666666673</v>
      </c>
      <c r="F34" s="111">
        <f>IF(VLOOKUP(D34,'METODO DE PONDERACION'!D$41:G$101,4,FALSE)&lt;0,0,VLOOKUP(D34,'METODO DE PONDERACION'!D$41:G$101,4,FALSE))</f>
        <v>66.5002401625716</v>
      </c>
      <c r="G34" s="111">
        <f>VLOOKUP($D34,'RESUMEN-M (1)'!$D$12:$G$94,3,FALSE)</f>
        <v>10</v>
      </c>
      <c r="H34" s="111">
        <f>VLOOKUP($D34,'RESUMEN-M (1)'!$D$12:$G$94,4,FALSE)</f>
        <v>1</v>
      </c>
      <c r="I34" s="111">
        <f>VLOOKUP($D34,'RESUMEN-M (1)'!$D$12:$K$94,5,FALSE)</f>
        <v>20</v>
      </c>
      <c r="J34" s="111">
        <f>VLOOKUP($D34,'RESUMEN-M (1)'!$D$12:$K$94,6,FALSE)</f>
        <v>1</v>
      </c>
      <c r="K34" s="111">
        <f>VLOOKUP($D34,'RESUMEN-M (1)'!$D$12:$K$94,7,FALSE)</f>
        <v>0.25</v>
      </c>
      <c r="L34" s="111">
        <f>VLOOKUP($D34,'RESUMEN-M (1)'!$D$12:$K$94,8,FALSE)</f>
        <v>0.25</v>
      </c>
      <c r="M34" s="107">
        <f t="shared" si="5"/>
        <v>99.0002401625716</v>
      </c>
      <c r="N34" s="112"/>
      <c r="O34" s="265"/>
      <c r="P34" s="265"/>
      <c r="Q34" s="113">
        <f t="shared" si="3"/>
        <v>2</v>
      </c>
      <c r="R34" s="114">
        <v>19</v>
      </c>
      <c r="S34" s="144" t="str">
        <f t="shared" ca="1" si="2"/>
        <v>CONINTER JMJ SAS</v>
      </c>
      <c r="T34" s="115">
        <f t="shared" ca="1" si="4"/>
        <v>87.056161093663391</v>
      </c>
    </row>
    <row r="35" spans="2:20" ht="26.25" customHeight="1" x14ac:dyDescent="0.25">
      <c r="B35" s="108">
        <v>20</v>
      </c>
      <c r="C35" s="141">
        <f>'RESUMEN-M (1)'!C31</f>
        <v>20</v>
      </c>
      <c r="D35" s="193" t="str">
        <f>'RESUMEN-M (1)'!D31</f>
        <v>MAVECA INGENIERIA S.A.S</v>
      </c>
      <c r="E35" s="397">
        <f>VLOOKUP(D35,'METODO DE PONDERACION'!D$41:G$101,2,FALSE)</f>
        <v>590.93200000000002</v>
      </c>
      <c r="F35" s="111">
        <f>IF(VLOOKUP(D35,'METODO DE PONDERACION'!D$41:G$101,4,FALSE)&lt;0,0,VLOOKUP(D35,'METODO DE PONDERACION'!D$41:G$101,4,FALSE))</f>
        <v>61.310899685941244</v>
      </c>
      <c r="G35" s="111">
        <f>VLOOKUP($D35,'RESUMEN-M (1)'!$D$12:$G$94,3,FALSE)</f>
        <v>10</v>
      </c>
      <c r="H35" s="111">
        <f>VLOOKUP($D35,'RESUMEN-M (1)'!$D$12:$G$94,4,FALSE)</f>
        <v>1</v>
      </c>
      <c r="I35" s="111">
        <f>VLOOKUP($D35,'RESUMEN-M (1)'!$D$12:$K$94,5,FALSE)</f>
        <v>20</v>
      </c>
      <c r="J35" s="111">
        <f>VLOOKUP($D35,'RESUMEN-M (1)'!$D$12:$K$94,6,FALSE)</f>
        <v>1</v>
      </c>
      <c r="K35" s="111">
        <f>VLOOKUP($D35,'RESUMEN-M (1)'!$D$12:$K$94,7,FALSE)</f>
        <v>0.25</v>
      </c>
      <c r="L35" s="111">
        <f>VLOOKUP($D35,'RESUMEN-M (1)'!$D$12:$K$94,8,FALSE)</f>
        <v>0.25</v>
      </c>
      <c r="M35" s="107">
        <f t="shared" si="5"/>
        <v>93.810899685941251</v>
      </c>
      <c r="N35" s="112"/>
      <c r="O35" s="265"/>
      <c r="P35" s="265"/>
      <c r="Q35" s="113">
        <f t="shared" si="3"/>
        <v>12</v>
      </c>
      <c r="R35" s="114">
        <v>20</v>
      </c>
      <c r="S35" s="144" t="str">
        <f t="shared" ca="1" si="2"/>
        <v>DBB INGENIERÍA SAS</v>
      </c>
      <c r="T35" s="115">
        <f t="shared" ca="1" si="4"/>
        <v>86.657121743949759</v>
      </c>
    </row>
    <row r="36" spans="2:20" ht="26.25" customHeight="1" x14ac:dyDescent="0.25">
      <c r="B36" s="108">
        <v>21</v>
      </c>
      <c r="C36" s="141">
        <f>'RESUMEN-M (1)'!C32</f>
        <v>21</v>
      </c>
      <c r="D36" s="193" t="str">
        <f>'RESUMEN-M (1)'!D32</f>
        <v>CONSORCIO SF 2023</v>
      </c>
      <c r="E36" s="397">
        <f>VLOOKUP(D36,'METODO DE PONDERACION'!D$41:G$101,2,FALSE)</f>
        <v>446.07</v>
      </c>
      <c r="F36" s="111">
        <f>IF(VLOOKUP(D36,'METODO DE PONDERACION'!D$41:G$101,4,FALSE)&lt;0,0,VLOOKUP(D36,'METODO DE PONDERACION'!D$41:G$101,4,FALSE))</f>
        <v>55.624838352115283</v>
      </c>
      <c r="G36" s="111">
        <f>VLOOKUP($D36,'RESUMEN-M (1)'!$D$12:$G$94,3,FALSE)</f>
        <v>10</v>
      </c>
      <c r="H36" s="111">
        <f>VLOOKUP($D36,'RESUMEN-M (1)'!$D$12:$G$94,4,FALSE)</f>
        <v>1</v>
      </c>
      <c r="I36" s="111">
        <f>VLOOKUP($D36,'RESUMEN-M (1)'!$D$12:$K$94,5,FALSE)</f>
        <v>20</v>
      </c>
      <c r="J36" s="111">
        <f>VLOOKUP($D36,'RESUMEN-M (1)'!$D$12:$K$94,6,FALSE)</f>
        <v>1</v>
      </c>
      <c r="K36" s="111">
        <f>VLOOKUP($D36,'RESUMEN-M (1)'!$D$12:$K$94,7,FALSE)</f>
        <v>0.25</v>
      </c>
      <c r="L36" s="111">
        <f>VLOOKUP($D36,'RESUMEN-M (1)'!$D$12:$K$94,8,FALSE)</f>
        <v>0.25</v>
      </c>
      <c r="M36" s="107">
        <f t="shared" si="5"/>
        <v>88.12483835211529</v>
      </c>
      <c r="N36" s="112"/>
      <c r="O36" s="265"/>
      <c r="P36" s="265"/>
      <c r="Q36" s="113">
        <f t="shared" si="3"/>
        <v>17</v>
      </c>
      <c r="R36" s="114">
        <v>21</v>
      </c>
      <c r="S36" s="144" t="str">
        <f t="shared" ca="1" si="2"/>
        <v>CONSORCIO INTER VIAL G&amp;
G</v>
      </c>
      <c r="T36" s="115">
        <f t="shared" ca="1" si="4"/>
        <v>86.470279881766118</v>
      </c>
    </row>
    <row r="37" spans="2:20" ht="26.25" customHeight="1" x14ac:dyDescent="0.25">
      <c r="B37" s="108">
        <v>22</v>
      </c>
      <c r="C37" s="141">
        <f>'RESUMEN-M (1)'!C33</f>
        <v>22</v>
      </c>
      <c r="D37" s="193" t="str">
        <f>'RESUMEN-M (1)'!D33</f>
        <v xml:space="preserve">ALMA INTERVENTORÍA &amp; CONSULTORÍA S.A.S.
</v>
      </c>
      <c r="E37" s="397">
        <f>VLOOKUP(D37,'METODO DE PONDERACION'!D$41:G$101,2,FALSE)</f>
        <v>1277.76</v>
      </c>
      <c r="F37" s="111">
        <f>IF(VLOOKUP(D37,'METODO DE PONDERACION'!D$41:G$101,4,FALSE)&lt;0,0,VLOOKUP(D37,'METODO DE PONDERACION'!D$41:G$101,4,FALSE))</f>
        <v>0</v>
      </c>
      <c r="G37" s="111">
        <f>VLOOKUP($D37,'RESUMEN-M (1)'!$D$12:$G$94,3,FALSE)</f>
        <v>10</v>
      </c>
      <c r="H37" s="111">
        <f>VLOOKUP($D37,'RESUMEN-M (1)'!$D$12:$G$94,4,FALSE)</f>
        <v>1</v>
      </c>
      <c r="I37" s="111">
        <f>VLOOKUP($D37,'RESUMEN-M (1)'!$D$12:$K$94,5,FALSE)</f>
        <v>20</v>
      </c>
      <c r="J37" s="111">
        <f>VLOOKUP($D37,'RESUMEN-M (1)'!$D$12:$K$94,6,FALSE)</f>
        <v>0</v>
      </c>
      <c r="K37" s="111">
        <f>VLOOKUP($D37,'RESUMEN-M (1)'!$D$12:$K$94,7,FALSE)</f>
        <v>0.25</v>
      </c>
      <c r="L37" s="111">
        <f>VLOOKUP($D37,'RESUMEN-M (1)'!$D$12:$K$94,8,FALSE)</f>
        <v>0.25</v>
      </c>
      <c r="M37" s="107">
        <f t="shared" si="5"/>
        <v>31.5</v>
      </c>
      <c r="N37" s="112"/>
      <c r="O37" s="265"/>
      <c r="P37" s="265"/>
      <c r="Q37" s="113">
        <f t="shared" si="3"/>
        <v>55</v>
      </c>
      <c r="R37" s="114">
        <v>22</v>
      </c>
      <c r="S37" s="144" t="str">
        <f t="shared" ca="1" si="2"/>
        <v>CONSORCIO NOGAC</v>
      </c>
      <c r="T37" s="115">
        <f t="shared" ca="1" si="4"/>
        <v>85.639571402179939</v>
      </c>
    </row>
    <row r="38" spans="2:20" ht="26.25" customHeight="1" x14ac:dyDescent="0.25">
      <c r="B38" s="108">
        <v>23</v>
      </c>
      <c r="C38" s="141">
        <f>'RESUMEN-M (1)'!C34</f>
        <v>23</v>
      </c>
      <c r="D38" s="193" t="str">
        <f>'RESUMEN-M (1)'!D34</f>
        <v xml:space="preserve">JMELO INGENIERÍA DE PROYECTOS S.A.S.
</v>
      </c>
      <c r="E38" s="397">
        <f>VLOOKUP(D38,'METODO DE PONDERACION'!D$41:G$101,2,FALSE)</f>
        <v>325.78499999999997</v>
      </c>
      <c r="F38" s="111">
        <f>IF(VLOOKUP(D38,'METODO DE PONDERACION'!D$41:G$101,4,FALSE)&lt;0,0,VLOOKUP(D38,'METODO DE PONDERACION'!D$41:G$101,4,FALSE))</f>
        <v>40.625323295769441</v>
      </c>
      <c r="G38" s="111">
        <f>VLOOKUP($D38,'RESUMEN-M (1)'!$D$12:$G$94,3,FALSE)</f>
        <v>10</v>
      </c>
      <c r="H38" s="111">
        <f>VLOOKUP($D38,'RESUMEN-M (1)'!$D$12:$G$94,4,FALSE)</f>
        <v>1</v>
      </c>
      <c r="I38" s="111">
        <f>VLOOKUP($D38,'RESUMEN-M (1)'!$D$12:$K$94,5,FALSE)</f>
        <v>20</v>
      </c>
      <c r="J38" s="111">
        <f>VLOOKUP($D38,'RESUMEN-M (1)'!$D$12:$K$94,6,FALSE)</f>
        <v>0</v>
      </c>
      <c r="K38" s="111">
        <f>VLOOKUP($D38,'RESUMEN-M (1)'!$D$12:$K$94,7,FALSE)</f>
        <v>0.25</v>
      </c>
      <c r="L38" s="111">
        <f>VLOOKUP($D38,'RESUMEN-M (1)'!$D$12:$K$94,8,FALSE)</f>
        <v>0.25</v>
      </c>
      <c r="M38" s="107">
        <f t="shared" si="5"/>
        <v>72.125323295769448</v>
      </c>
      <c r="N38" s="112"/>
      <c r="O38" s="265"/>
      <c r="P38" s="265"/>
      <c r="Q38" s="113">
        <f t="shared" si="3"/>
        <v>37</v>
      </c>
      <c r="R38" s="114">
        <v>23</v>
      </c>
      <c r="S38" s="144" t="str">
        <f t="shared" ca="1" si="2"/>
        <v>LITORAL CONSULTING SAS</v>
      </c>
      <c r="T38" s="115">
        <f t="shared" ca="1" si="4"/>
        <v>85.582521245150559</v>
      </c>
    </row>
    <row r="39" spans="2:20" ht="26.25" customHeight="1" x14ac:dyDescent="0.25">
      <c r="B39" s="108">
        <v>24</v>
      </c>
      <c r="C39" s="141">
        <f>'RESUMEN-M (1)'!C35</f>
        <v>24</v>
      </c>
      <c r="D39" s="193" t="str">
        <f>'RESUMEN-M (1)'!D35</f>
        <v>SEIING SAS BIC</v>
      </c>
      <c r="E39" s="397">
        <f>VLOOKUP(D39,'METODO DE PONDERACION'!D$41:G$101,2,FALSE)</f>
        <v>368.75</v>
      </c>
      <c r="F39" s="111">
        <f>IF(VLOOKUP(D39,'METODO DE PONDERACION'!D$41:G$101,4,FALSE)&lt;0,0,VLOOKUP(D39,'METODO DE PONDERACION'!D$41:G$101,4,FALSE))</f>
        <v>45.98305006465916</v>
      </c>
      <c r="G39" s="111">
        <f>VLOOKUP($D39,'RESUMEN-M (1)'!$D$12:$G$94,3,FALSE)</f>
        <v>10</v>
      </c>
      <c r="H39" s="111">
        <f>VLOOKUP($D39,'RESUMEN-M (1)'!$D$12:$G$94,4,FALSE)</f>
        <v>1</v>
      </c>
      <c r="I39" s="111">
        <f>VLOOKUP($D39,'RESUMEN-M (1)'!$D$12:$K$94,5,FALSE)</f>
        <v>20</v>
      </c>
      <c r="J39" s="111">
        <f>VLOOKUP($D39,'RESUMEN-M (1)'!$D$12:$K$94,6,FALSE)</f>
        <v>1</v>
      </c>
      <c r="K39" s="111">
        <f>VLOOKUP($D39,'RESUMEN-M (1)'!$D$12:$K$94,7,FALSE)</f>
        <v>0.25</v>
      </c>
      <c r="L39" s="111">
        <f>VLOOKUP($D39,'RESUMEN-M (1)'!$D$12:$K$94,8,FALSE)</f>
        <v>0.25</v>
      </c>
      <c r="M39" s="107">
        <f t="shared" si="5"/>
        <v>78.483050064659153</v>
      </c>
      <c r="N39" s="112"/>
      <c r="O39" s="265"/>
      <c r="P39" s="265"/>
      <c r="Q39" s="113">
        <f t="shared" si="3"/>
        <v>30</v>
      </c>
      <c r="R39" s="114">
        <v>24</v>
      </c>
      <c r="S39" s="144" t="str">
        <f t="shared" ca="1" si="2"/>
        <v>VIGAVI ZOMAC S.A.S</v>
      </c>
      <c r="T39" s="115">
        <f t="shared" ca="1" si="4"/>
        <v>84.694346942545735</v>
      </c>
    </row>
    <row r="40" spans="2:20" ht="26.25" customHeight="1" x14ac:dyDescent="0.25">
      <c r="B40" s="108">
        <v>25</v>
      </c>
      <c r="C40" s="141">
        <f>'RESUMEN-M (1)'!C36</f>
        <v>25</v>
      </c>
      <c r="D40" s="193" t="str">
        <f>'RESUMEN-M (1)'!D36</f>
        <v>JET INGENIERIA SAS</v>
      </c>
      <c r="E40" s="397">
        <f>VLOOKUP(D40,'METODO DE PONDERACION'!D$41:G$101,2,FALSE)</f>
        <v>344.55</v>
      </c>
      <c r="F40" s="111">
        <f>IF(VLOOKUP(D40,'METODO DE PONDERACION'!D$41:G$101,4,FALSE)&lt;0,0,VLOOKUP(D40,'METODO DE PONDERACION'!D$41:G$101,4,FALSE))</f>
        <v>42.965314982449662</v>
      </c>
      <c r="G40" s="111">
        <f>VLOOKUP($D40,'RESUMEN-M (1)'!$D$12:$G$94,3,FALSE)</f>
        <v>10</v>
      </c>
      <c r="H40" s="111">
        <f>VLOOKUP($D40,'RESUMEN-M (1)'!$D$12:$G$94,4,FALSE)</f>
        <v>1</v>
      </c>
      <c r="I40" s="111">
        <f>VLOOKUP($D40,'RESUMEN-M (1)'!$D$12:$K$94,5,FALSE)</f>
        <v>20</v>
      </c>
      <c r="J40" s="111">
        <f>VLOOKUP($D40,'RESUMEN-M (1)'!$D$12:$K$94,6,FALSE)</f>
        <v>1</v>
      </c>
      <c r="K40" s="111">
        <f>VLOOKUP($D40,'RESUMEN-M (1)'!$D$12:$K$94,7,FALSE)</f>
        <v>0.25</v>
      </c>
      <c r="L40" s="111">
        <f>VLOOKUP($D40,'RESUMEN-M (1)'!$D$12:$K$94,8,FALSE)</f>
        <v>0.25</v>
      </c>
      <c r="M40" s="107">
        <f t="shared" si="5"/>
        <v>75.465314982449655</v>
      </c>
      <c r="N40" s="112"/>
      <c r="O40" s="265"/>
      <c r="P40" s="265"/>
      <c r="Q40" s="113">
        <f t="shared" si="3"/>
        <v>35</v>
      </c>
      <c r="R40" s="114">
        <v>25</v>
      </c>
      <c r="S40" s="144" t="str">
        <f t="shared" ca="1" si="2"/>
        <v>HR ING SAS</v>
      </c>
      <c r="T40" s="115">
        <f t="shared" ca="1" si="4"/>
        <v>83.716100129318306</v>
      </c>
    </row>
    <row r="41" spans="2:20" ht="26.25" customHeight="1" x14ac:dyDescent="0.25">
      <c r="B41" s="108">
        <v>26</v>
      </c>
      <c r="C41" s="141">
        <f>'RESUMEN-M (1)'!C37</f>
        <v>26</v>
      </c>
      <c r="D41" s="193" t="str">
        <f>'RESUMEN-M (1)'!D37</f>
        <v>EQUILATERO SAS</v>
      </c>
      <c r="E41" s="397">
        <f>VLOOKUP(D41,'METODO DE PONDERACION'!D$41:G$101,2,FALSE)</f>
        <v>817.14</v>
      </c>
      <c r="F41" s="111">
        <f>IF(VLOOKUP(D41,'METODO DE PONDERACION'!D$41:G$101,4,FALSE)&lt;0,0,VLOOKUP(D41,'METODO DE PONDERACION'!D$41:G$101,4,FALSE))</f>
        <v>33.102808054683159</v>
      </c>
      <c r="G41" s="111">
        <f>VLOOKUP($D41,'RESUMEN-M (1)'!$D$12:$G$94,3,FALSE)</f>
        <v>10</v>
      </c>
      <c r="H41" s="111">
        <f>VLOOKUP($D41,'RESUMEN-M (1)'!$D$12:$G$94,4,FALSE)</f>
        <v>1</v>
      </c>
      <c r="I41" s="111">
        <f>VLOOKUP($D41,'RESUMEN-M (1)'!$D$12:$K$94,5,FALSE)</f>
        <v>20</v>
      </c>
      <c r="J41" s="111">
        <f>VLOOKUP($D41,'RESUMEN-M (1)'!$D$12:$K$94,6,FALSE)</f>
        <v>0</v>
      </c>
      <c r="K41" s="111">
        <f>VLOOKUP($D41,'RESUMEN-M (1)'!$D$12:$K$94,7,FALSE)</f>
        <v>0.25</v>
      </c>
      <c r="L41" s="111">
        <f>VLOOKUP($D41,'RESUMEN-M (1)'!$D$12:$K$94,8,FALSE)</f>
        <v>0.25</v>
      </c>
      <c r="M41" s="107">
        <f t="shared" si="5"/>
        <v>64.602808054683152</v>
      </c>
      <c r="N41" s="112"/>
      <c r="O41" s="265"/>
      <c r="P41" s="265"/>
      <c r="Q41" s="113">
        <f t="shared" si="3"/>
        <v>40</v>
      </c>
      <c r="R41" s="114">
        <v>26</v>
      </c>
      <c r="S41" s="144" t="str">
        <f t="shared" ca="1" si="2"/>
        <v>INTERSA S.A.</v>
      </c>
      <c r="T41" s="115">
        <f t="shared" ca="1" si="4"/>
        <v>83.254479955662305</v>
      </c>
    </row>
    <row r="42" spans="2:20" ht="33.75" customHeight="1" x14ac:dyDescent="0.25">
      <c r="B42" s="108">
        <v>27</v>
      </c>
      <c r="C42" s="141">
        <f>'RESUMEN-M (1)'!C38</f>
        <v>27</v>
      </c>
      <c r="D42" s="193" t="str">
        <f>'RESUMEN-M (1)'!D38</f>
        <v>CONSORCIO CB-TALATAA</v>
      </c>
      <c r="E42" s="397">
        <f>VLOOKUP(D42,'METODO DE PONDERACION'!D$41:G$101,2,FALSE)</f>
        <v>476.36800000000005</v>
      </c>
      <c r="F42" s="111">
        <f>IF(VLOOKUP(D42,'METODO DE PONDERACION'!D$41:G$101,4,FALSE)&lt;0,0,VLOOKUP(D42,'METODO DE PONDERACION'!D$41:G$101,4,FALSE))</f>
        <v>59.402992795122863</v>
      </c>
      <c r="G42" s="111">
        <v>10</v>
      </c>
      <c r="H42" s="111">
        <f>VLOOKUP($D42,'RESUMEN-M (1)'!$D$12:$G$94,4,FALSE)</f>
        <v>1</v>
      </c>
      <c r="I42" s="111">
        <f>VLOOKUP($D42,'RESUMEN-M (1)'!$D$12:$K$94,5,FALSE)</f>
        <v>20</v>
      </c>
      <c r="J42" s="111">
        <f>VLOOKUP($D42,'RESUMEN-M (1)'!$D$12:$K$94,6,FALSE)</f>
        <v>1</v>
      </c>
      <c r="K42" s="111">
        <f>VLOOKUP($D42,'RESUMEN-M (1)'!$D$12:$K$94,7,FALSE)</f>
        <v>0.25</v>
      </c>
      <c r="L42" s="111">
        <f>VLOOKUP($D42,'RESUMEN-M (1)'!$D$12:$K$94,8,FALSE)</f>
        <v>0.25</v>
      </c>
      <c r="M42" s="107">
        <f t="shared" si="5"/>
        <v>91.902992795122856</v>
      </c>
      <c r="N42" s="112"/>
      <c r="O42" s="265"/>
      <c r="P42" s="265"/>
      <c r="Q42" s="113">
        <f t="shared" si="3"/>
        <v>14</v>
      </c>
      <c r="R42" s="114">
        <v>27</v>
      </c>
      <c r="S42" s="144" t="str">
        <f t="shared" ca="1" si="2"/>
        <v>VERTICE INTERVENTORIA D
E PROYECTOS SAS</v>
      </c>
      <c r="T42" s="115">
        <f t="shared" ca="1" si="4"/>
        <v>82.798910031405882</v>
      </c>
    </row>
    <row r="43" spans="2:20" ht="45" customHeight="1" x14ac:dyDescent="0.25">
      <c r="B43" s="108">
        <v>28</v>
      </c>
      <c r="C43" s="141">
        <f>'RESUMEN-M (1)'!C39</f>
        <v>28</v>
      </c>
      <c r="D43" s="193" t="str">
        <f>'RESUMEN-M (1)'!D39</f>
        <v>D&amp;B INGENIEROS CIVILES S.
A.S.</v>
      </c>
      <c r="E43" s="397">
        <f>VLOOKUP(D43,'METODO DE PONDERACION'!D$41:G$101,2,FALSE)</f>
        <v>244.20999999999998</v>
      </c>
      <c r="F43" s="111">
        <f>IF(VLOOKUP(D43,'METODO DE PONDERACION'!D$41:G$101,4,FALSE)&lt;0,0,VLOOKUP(D43,'METODO DE PONDERACION'!D$41:G$101,4,FALSE))</f>
        <v>30.452937372990949</v>
      </c>
      <c r="G43" s="111">
        <f>VLOOKUP($D43,'RESUMEN-M (1)'!$D$12:$G$94,3,FALSE)</f>
        <v>10</v>
      </c>
      <c r="H43" s="111">
        <f>VLOOKUP($D43,'RESUMEN-M (1)'!$D$12:$G$94,4,FALSE)</f>
        <v>1</v>
      </c>
      <c r="I43" s="111">
        <f>VLOOKUP($D43,'RESUMEN-M (1)'!$D$12:$K$94,5,FALSE)</f>
        <v>20</v>
      </c>
      <c r="J43" s="111">
        <f>VLOOKUP($D43,'RESUMEN-M (1)'!$D$12:$K$94,6,FALSE)</f>
        <v>1</v>
      </c>
      <c r="K43" s="111">
        <f>VLOOKUP($D43,'RESUMEN-M (1)'!$D$12:$K$94,7,FALSE)</f>
        <v>0.25</v>
      </c>
      <c r="L43" s="111">
        <f>VLOOKUP($D43,'RESUMEN-M (1)'!$D$12:$K$94,8,FALSE)</f>
        <v>0.25</v>
      </c>
      <c r="M43" s="107">
        <f t="shared" si="5"/>
        <v>62.952937372990945</v>
      </c>
      <c r="N43" s="112"/>
      <c r="O43" s="265"/>
      <c r="P43" s="265"/>
      <c r="Q43" s="113">
        <f t="shared" si="3"/>
        <v>41</v>
      </c>
      <c r="R43" s="114">
        <v>28</v>
      </c>
      <c r="S43" s="144" t="str">
        <f t="shared" ca="1" si="2"/>
        <v>GER&amp;PRO S.A.S</v>
      </c>
      <c r="T43" s="115">
        <f t="shared" ca="1" si="4"/>
        <v>81.247136523184935</v>
      </c>
    </row>
    <row r="44" spans="2:20" ht="33" customHeight="1" x14ac:dyDescent="0.25">
      <c r="B44" s="108">
        <v>29</v>
      </c>
      <c r="C44" s="141">
        <f>'RESUMEN-M (1)'!C40</f>
        <v>29</v>
      </c>
      <c r="D44" s="193" t="str">
        <f>'RESUMEN-M (1)'!D40</f>
        <v>CONSORCIO OJB</v>
      </c>
      <c r="E44" s="397">
        <f>VLOOKUP(D44,'METODO DE PONDERACION'!D$41:G$101,2,FALSE)</f>
        <v>565.88416666666672</v>
      </c>
      <c r="F44" s="111">
        <f>IF(VLOOKUP(D44,'METODO DE PONDERACION'!D$41:G$101,4,FALSE)&lt;0,0,VLOOKUP(D44,'METODO DE PONDERACION'!D$41:G$101,4,FALSE))</f>
        <v>64.434359412525396</v>
      </c>
      <c r="G44" s="111">
        <f>VLOOKUP($D44,'RESUMEN-M (1)'!$D$12:$G$94,3,FALSE)</f>
        <v>10</v>
      </c>
      <c r="H44" s="111">
        <f>VLOOKUP($D44,'RESUMEN-M (1)'!$D$12:$G$94,4,FALSE)</f>
        <v>1</v>
      </c>
      <c r="I44" s="111">
        <f>VLOOKUP($D44,'RESUMEN-M (1)'!$D$12:$K$94,5,FALSE)</f>
        <v>20</v>
      </c>
      <c r="J44" s="111">
        <f>VLOOKUP($D44,'RESUMEN-M (1)'!$D$12:$K$94,6,FALSE)</f>
        <v>1</v>
      </c>
      <c r="K44" s="111">
        <f>VLOOKUP($D44,'RESUMEN-M (1)'!$D$12:$K$94,7,FALSE)</f>
        <v>0.25</v>
      </c>
      <c r="L44" s="111">
        <f>VLOOKUP($D44,'RESUMEN-M (1)'!$D$12:$K$94,8,FALSE)</f>
        <v>0.25</v>
      </c>
      <c r="M44" s="107">
        <f t="shared" si="5"/>
        <v>96.934359412525396</v>
      </c>
      <c r="N44" s="112"/>
      <c r="O44" s="265"/>
      <c r="P44" s="265"/>
      <c r="Q44" s="113">
        <f t="shared" si="3"/>
        <v>9</v>
      </c>
      <c r="R44" s="114">
        <v>29</v>
      </c>
      <c r="S44" s="144" t="str">
        <f t="shared" ca="1" si="2"/>
        <v>ARQUICIVILES CONSTRUCTO
RA SAS</v>
      </c>
      <c r="T44" s="115">
        <f t="shared" ca="1" si="4"/>
        <v>78.933308701274711</v>
      </c>
    </row>
    <row r="45" spans="2:20" ht="26.25" customHeight="1" x14ac:dyDescent="0.25">
      <c r="B45" s="108">
        <v>30</v>
      </c>
      <c r="C45" s="141">
        <f>'RESUMEN-M (1)'!C41</f>
        <v>30</v>
      </c>
      <c r="D45" s="193" t="str">
        <f>'RESUMEN-M (1)'!D41</f>
        <v>PROYECTISTAS DE COLOMB
IA &amp; CIA SAS</v>
      </c>
      <c r="E45" s="397">
        <f>VLOOKUP(D45,'METODO DE PONDERACION'!D$41:G$101,2,FALSE)</f>
        <v>459.09</v>
      </c>
      <c r="F45" s="111">
        <f>IF(VLOOKUP(D45,'METODO DE PONDERACION'!D$41:G$101,4,FALSE)&lt;0,0,VLOOKUP(D45,'METODO DE PONDERACION'!D$41:G$101,4,FALSE))</f>
        <v>57.248429706262705</v>
      </c>
      <c r="G45" s="111">
        <f>VLOOKUP($D45,'RESUMEN-M (1)'!$D$12:$G$94,3,FALSE)</f>
        <v>10</v>
      </c>
      <c r="H45" s="111">
        <f>VLOOKUP($D45,'RESUMEN-M (1)'!$D$12:$G$94,4,FALSE)</f>
        <v>1</v>
      </c>
      <c r="I45" s="111">
        <f>VLOOKUP($D45,'RESUMEN-M (1)'!$D$12:$K$94,5,FALSE)</f>
        <v>20</v>
      </c>
      <c r="J45" s="111">
        <f>VLOOKUP($D45,'RESUMEN-M (1)'!$D$12:$K$94,6,FALSE)</f>
        <v>1</v>
      </c>
      <c r="K45" s="111">
        <f>VLOOKUP($D45,'RESUMEN-M (1)'!$D$12:$K$94,7,FALSE)</f>
        <v>0</v>
      </c>
      <c r="L45" s="111">
        <f>VLOOKUP($D45,'RESUMEN-M (1)'!$D$12:$K$94,8,FALSE)</f>
        <v>0.25</v>
      </c>
      <c r="M45" s="107">
        <f t="shared" si="5"/>
        <v>89.498429706262698</v>
      </c>
      <c r="N45" s="112"/>
      <c r="O45" s="265"/>
      <c r="P45" s="265"/>
      <c r="Q45" s="113">
        <f t="shared" si="3"/>
        <v>16</v>
      </c>
      <c r="R45" s="114">
        <v>30</v>
      </c>
      <c r="S45" s="144" t="str">
        <f t="shared" ca="1" si="2"/>
        <v>SEIING SAS BIC</v>
      </c>
      <c r="T45" s="115">
        <f t="shared" ca="1" si="4"/>
        <v>78.483050064659153</v>
      </c>
    </row>
    <row r="46" spans="2:20" ht="26.25" customHeight="1" x14ac:dyDescent="0.25">
      <c r="B46" s="108">
        <v>31</v>
      </c>
      <c r="C46" s="141">
        <f>'RESUMEN-M (1)'!C42</f>
        <v>31</v>
      </c>
      <c r="D46" s="193" t="str">
        <f>'RESUMEN-M (1)'!D42</f>
        <v>CONSORCIO AESA-BALER</v>
      </c>
      <c r="E46" s="397">
        <f>VLOOKUP(D46,'METODO DE PONDERACION'!D$41:G$101,2,FALSE)</f>
        <v>849.99666666666678</v>
      </c>
      <c r="F46" s="111">
        <f>IF(VLOOKUP(D46,'METODO DE PONDERACION'!D$41:G$101,4,FALSE)&lt;0,0,VLOOKUP(D46,'METODO DE PONDERACION'!D$41:G$101,4,FALSE))</f>
        <v>29.005588398300361</v>
      </c>
      <c r="G46" s="111">
        <f>VLOOKUP($D46,'RESUMEN-M (1)'!$D$12:$G$94,3,FALSE)</f>
        <v>10</v>
      </c>
      <c r="H46" s="111">
        <f>VLOOKUP($D46,'RESUMEN-M (1)'!$D$12:$G$94,4,FALSE)</f>
        <v>1</v>
      </c>
      <c r="I46" s="111">
        <f>VLOOKUP($D46,'RESUMEN-M (1)'!$D$12:$K$94,5,FALSE)</f>
        <v>0</v>
      </c>
      <c r="J46" s="111">
        <f>VLOOKUP($D46,'RESUMEN-M (1)'!$D$12:$K$94,6,FALSE)</f>
        <v>1</v>
      </c>
      <c r="K46" s="111">
        <f>VLOOKUP($D46,'RESUMEN-M (1)'!$D$12:$K$94,7,FALSE)</f>
        <v>0.25</v>
      </c>
      <c r="L46" s="111">
        <f>VLOOKUP($D46,'RESUMEN-M (1)'!$D$12:$K$94,8,FALSE)</f>
        <v>0.25</v>
      </c>
      <c r="M46" s="107">
        <f t="shared" si="5"/>
        <v>41.505588398300361</v>
      </c>
      <c r="N46" s="112"/>
      <c r="O46" s="265"/>
      <c r="P46" s="265"/>
      <c r="Q46" s="113">
        <f t="shared" si="3"/>
        <v>46</v>
      </c>
      <c r="R46" s="114">
        <v>31</v>
      </c>
      <c r="S46" s="144" t="str">
        <f t="shared" ca="1" si="2"/>
        <v>CONSORCIO INFRAVIAL</v>
      </c>
      <c r="T46" s="115">
        <f t="shared" ca="1" si="4"/>
        <v>77.475475706632182</v>
      </c>
    </row>
    <row r="47" spans="2:20" ht="36" customHeight="1" x14ac:dyDescent="0.25">
      <c r="B47" s="108">
        <v>32</v>
      </c>
      <c r="C47" s="141">
        <f>'RESUMEN-M (1)'!C43</f>
        <v>32</v>
      </c>
      <c r="D47" s="193" t="str">
        <f>'RESUMEN-M (1)'!D43</f>
        <v>CONSORCIO INTERVIAL GM</v>
      </c>
      <c r="E47" s="397">
        <f>VLOOKUP(D47,'METODO DE PONDERACION'!D$41:G$101,2,FALSE)</f>
        <v>1249.75</v>
      </c>
      <c r="F47" s="111">
        <f>IF(VLOOKUP(D47,'METODO DE PONDERACION'!D$41:G$101,4,FALSE)&lt;0,0,VLOOKUP(D47,'METODO DE PONDERACION'!D$41:G$101,4,FALSE))</f>
        <v>0</v>
      </c>
      <c r="G47" s="111">
        <f>VLOOKUP($D47,'RESUMEN-M (1)'!$D$12:$G$94,3,FALSE)</f>
        <v>10</v>
      </c>
      <c r="H47" s="111">
        <f>VLOOKUP($D47,'RESUMEN-M (1)'!$D$12:$G$94,4,FALSE)</f>
        <v>1</v>
      </c>
      <c r="I47" s="111">
        <f>VLOOKUP($D47,'RESUMEN-M (1)'!$D$12:$K$94,5,FALSE)</f>
        <v>20</v>
      </c>
      <c r="J47" s="111">
        <f>VLOOKUP($D47,'RESUMEN-M (1)'!$D$12:$K$94,6,FALSE)</f>
        <v>1</v>
      </c>
      <c r="K47" s="111">
        <f>VLOOKUP($D47,'RESUMEN-M (1)'!$D$12:$K$94,7,FALSE)</f>
        <v>0.25</v>
      </c>
      <c r="L47" s="111">
        <f>VLOOKUP($D47,'RESUMEN-M (1)'!$D$12:$K$94,8,FALSE)</f>
        <v>0</v>
      </c>
      <c r="M47" s="107">
        <f t="shared" si="5"/>
        <v>32.25</v>
      </c>
      <c r="N47" s="112"/>
      <c r="O47" s="265"/>
      <c r="P47" s="265"/>
      <c r="Q47" s="113">
        <f t="shared" si="3"/>
        <v>53</v>
      </c>
      <c r="R47" s="114">
        <v>32</v>
      </c>
      <c r="S47" s="144" t="str">
        <f t="shared" ca="1" si="2"/>
        <v>CONSORCIO CAP-SAS</v>
      </c>
      <c r="T47" s="115">
        <f t="shared" ca="1" si="4"/>
        <v>77.280944023646768</v>
      </c>
    </row>
    <row r="48" spans="2:20" ht="26.25" customHeight="1" x14ac:dyDescent="0.25">
      <c r="B48" s="108">
        <v>33</v>
      </c>
      <c r="C48" s="141">
        <f>'RESUMEN-M (1)'!C44</f>
        <v>33</v>
      </c>
      <c r="D48" s="193" t="str">
        <f>'RESUMEN-M (1)'!D44</f>
        <v>G&amp;C</v>
      </c>
      <c r="E48" s="397">
        <f>VLOOKUP(D48,'METODO DE PONDERACION'!D$41:G$101,2,FALSE)</f>
        <v>720.59</v>
      </c>
      <c r="F48" s="111">
        <f>IF(VLOOKUP(D48,'METODO DE PONDERACION'!D$41:G$101,4,FALSE)&lt;0,0,VLOOKUP(D48,'METODO DE PONDERACION'!D$41:G$101,4,FALSE))</f>
        <v>45.14257343432476</v>
      </c>
      <c r="G48" s="111">
        <f>VLOOKUP($D48,'RESUMEN-M (1)'!$D$12:$G$94,3,FALSE)</f>
        <v>10</v>
      </c>
      <c r="H48" s="111">
        <f>VLOOKUP($D48,'RESUMEN-M (1)'!$D$12:$G$94,4,FALSE)</f>
        <v>1</v>
      </c>
      <c r="I48" s="111">
        <f>VLOOKUP($D48,'RESUMEN-M (1)'!$D$12:$K$94,5,FALSE)</f>
        <v>20</v>
      </c>
      <c r="J48" s="111">
        <f>VLOOKUP($D48,'RESUMEN-M (1)'!$D$12:$K$94,6,FALSE)</f>
        <v>0</v>
      </c>
      <c r="K48" s="111">
        <f>VLOOKUP($D48,'RESUMEN-M (1)'!$D$12:$K$94,7,FALSE)</f>
        <v>0.25</v>
      </c>
      <c r="L48" s="111">
        <f>VLOOKUP($D48,'RESUMEN-M (1)'!$D$12:$K$94,8,FALSE)</f>
        <v>0.25</v>
      </c>
      <c r="M48" s="107">
        <f t="shared" si="5"/>
        <v>76.64257343432476</v>
      </c>
      <c r="N48" s="112"/>
      <c r="O48" s="265"/>
      <c r="P48" s="265"/>
      <c r="Q48" s="113">
        <f t="shared" ref="Q48:Q76" si="6">_xlfn.RANK.EQ(M48,$M$16:$M$76,0)</f>
        <v>33</v>
      </c>
      <c r="R48" s="114">
        <v>33</v>
      </c>
      <c r="S48" s="144" t="str">
        <f t="shared" ref="S48:S76" ca="1" si="7">IF(R48="","",OFFSET($D$15,MATCH(B48,$Q$16:$Q$76,0),0))</f>
        <v>G&amp;C</v>
      </c>
      <c r="T48" s="115">
        <f t="shared" ca="1" si="4"/>
        <v>76.64257343432476</v>
      </c>
    </row>
    <row r="49" spans="2:20" ht="26.25" customHeight="1" x14ac:dyDescent="0.25">
      <c r="B49" s="108">
        <v>34</v>
      </c>
      <c r="C49" s="141">
        <f>'RESUMEN-M (1)'!C45</f>
        <v>34</v>
      </c>
      <c r="D49" s="193" t="str">
        <f>'RESUMEN-M (1)'!D45</f>
        <v>CONSORCIO GC</v>
      </c>
      <c r="E49" s="397">
        <f>VLOOKUP(D49,'METODO DE PONDERACION'!D$41:G$101,2,FALSE)</f>
        <v>238.08</v>
      </c>
      <c r="F49" s="111">
        <f>IF(VLOOKUP(D49,'METODO DE PONDERACION'!D$41:G$101,4,FALSE)&lt;0,0,VLOOKUP(D49,'METODO DE PONDERACION'!D$41:G$101,4,FALSE))</f>
        <v>29.688527618695741</v>
      </c>
      <c r="G49" s="111">
        <f>VLOOKUP($D49,'RESUMEN-M (1)'!$D$12:$G$94,3,FALSE)</f>
        <v>10</v>
      </c>
      <c r="H49" s="111">
        <f>VLOOKUP($D49,'RESUMEN-M (1)'!$D$12:$G$94,4,FALSE)</f>
        <v>1</v>
      </c>
      <c r="I49" s="111">
        <f>VLOOKUP($D49,'RESUMEN-M (1)'!$D$12:$K$94,5,FALSE)</f>
        <v>20</v>
      </c>
      <c r="J49" s="111">
        <f>VLOOKUP($D49,'RESUMEN-M (1)'!$D$12:$K$94,6,FALSE)</f>
        <v>1</v>
      </c>
      <c r="K49" s="111">
        <f>VLOOKUP($D49,'RESUMEN-M (1)'!$D$12:$K$94,7,FALSE)</f>
        <v>0.25</v>
      </c>
      <c r="L49" s="111">
        <f>VLOOKUP($D49,'RESUMEN-M (1)'!$D$12:$K$94,8,FALSE)</f>
        <v>0.25</v>
      </c>
      <c r="M49" s="107">
        <f t="shared" si="5"/>
        <v>62.188527618695744</v>
      </c>
      <c r="N49" s="112"/>
      <c r="O49" s="265"/>
      <c r="P49" s="265"/>
      <c r="Q49" s="113">
        <f t="shared" si="6"/>
        <v>42</v>
      </c>
      <c r="R49" s="114">
        <v>34</v>
      </c>
      <c r="S49" s="144" t="str">
        <f t="shared" ca="1" si="7"/>
        <v>MORAM CONSULTORIA SAS</v>
      </c>
      <c r="T49" s="115">
        <f t="shared" ca="1" si="4"/>
        <v>75.513416774431917</v>
      </c>
    </row>
    <row r="50" spans="2:20" ht="26.25" customHeight="1" x14ac:dyDescent="0.25">
      <c r="B50" s="108">
        <v>35</v>
      </c>
      <c r="C50" s="141">
        <f>'RESUMEN-M (1)'!C46</f>
        <v>35</v>
      </c>
      <c r="D50" s="193" t="str">
        <f>'RESUMEN-M (1)'!D46</f>
        <v>CONSORCIO CABAC-AZIMUT</v>
      </c>
      <c r="E50" s="397">
        <f>VLOOKUP(D50,'METODO DE PONDERACION'!D$41:G$101,2,FALSE)</f>
        <v>529.21</v>
      </c>
      <c r="F50" s="111">
        <f>IF(VLOOKUP(D50,'METODO DE PONDERACION'!D$41:G$101,4,FALSE)&lt;0,0,VLOOKUP(D50,'METODO DE PONDERACION'!D$41:G$101,4,FALSE))</f>
        <v>65.992379456863119</v>
      </c>
      <c r="G50" s="111">
        <f>VLOOKUP($D50,'RESUMEN-M (1)'!$D$12:$G$94,3,FALSE)</f>
        <v>10</v>
      </c>
      <c r="H50" s="111">
        <f>VLOOKUP($D50,'RESUMEN-M (1)'!$D$12:$G$94,4,FALSE)</f>
        <v>1</v>
      </c>
      <c r="I50" s="111">
        <f>VLOOKUP($D50,'RESUMEN-M (1)'!$D$12:$K$94,5,FALSE)</f>
        <v>20</v>
      </c>
      <c r="J50" s="111">
        <f>VLOOKUP($D50,'RESUMEN-M (1)'!$D$12:$K$94,6,FALSE)</f>
        <v>1</v>
      </c>
      <c r="K50" s="111">
        <f>VLOOKUP($D50,'RESUMEN-M (1)'!$D$12:$K$94,7,FALSE)</f>
        <v>0.25</v>
      </c>
      <c r="L50" s="111">
        <f>VLOOKUP($D50,'RESUMEN-M (1)'!$D$12:$K$94,8,FALSE)</f>
        <v>0.25</v>
      </c>
      <c r="M50" s="107">
        <f t="shared" si="5"/>
        <v>98.492379456863119</v>
      </c>
      <c r="N50" s="112"/>
      <c r="O50" s="265"/>
      <c r="P50" s="265"/>
      <c r="Q50" s="113">
        <f t="shared" si="6"/>
        <v>5</v>
      </c>
      <c r="R50" s="114">
        <v>35</v>
      </c>
      <c r="S50" s="144" t="str">
        <f t="shared" ca="1" si="7"/>
        <v>JET INGENIERIA SAS</v>
      </c>
      <c r="T50" s="115">
        <f t="shared" ca="1" si="4"/>
        <v>75.465314982449655</v>
      </c>
    </row>
    <row r="51" spans="2:20" ht="26.25" customHeight="1" x14ac:dyDescent="0.25">
      <c r="B51" s="108">
        <v>36</v>
      </c>
      <c r="C51" s="141">
        <f>'RESUMEN-M (1)'!C47</f>
        <v>36</v>
      </c>
      <c r="D51" s="193" t="str">
        <f>'RESUMEN-M (1)'!D47</f>
        <v>ARQUICIVILES CONSTRUCTO
RA SAS</v>
      </c>
      <c r="E51" s="397">
        <f>VLOOKUP(D51,'METODO DE PONDERACION'!D$41:G$101,2,FALSE)</f>
        <v>380.38</v>
      </c>
      <c r="F51" s="111">
        <f>IF(VLOOKUP(D51,'METODO DE PONDERACION'!D$41:G$101,4,FALSE)&lt;0,0,VLOOKUP(D51,'METODO DE PONDERACION'!D$41:G$101,4,FALSE))</f>
        <v>47.433308701274711</v>
      </c>
      <c r="G51" s="111">
        <f>VLOOKUP($D51,'RESUMEN-M (1)'!$D$12:$G$94,3,FALSE)</f>
        <v>10</v>
      </c>
      <c r="H51" s="111">
        <f>VLOOKUP($D51,'RESUMEN-M (1)'!$D$12:$G$94,4,FALSE)</f>
        <v>1</v>
      </c>
      <c r="I51" s="111">
        <f>VLOOKUP($D51,'RESUMEN-M (1)'!$D$12:$K$94,5,FALSE)</f>
        <v>20</v>
      </c>
      <c r="J51" s="111">
        <f>VLOOKUP($D51,'RESUMEN-M (1)'!$D$12:$K$94,6,FALSE)</f>
        <v>0</v>
      </c>
      <c r="K51" s="111">
        <f>VLOOKUP($D51,'RESUMEN-M (1)'!$D$12:$K$94,7,FALSE)</f>
        <v>0.25</v>
      </c>
      <c r="L51" s="111">
        <f>VLOOKUP($D51,'RESUMEN-M (1)'!$D$12:$K$94,8,FALSE)</f>
        <v>0.25</v>
      </c>
      <c r="M51" s="107">
        <f t="shared" si="5"/>
        <v>78.933308701274711</v>
      </c>
      <c r="N51" s="112"/>
      <c r="O51" s="265"/>
      <c r="P51" s="265"/>
      <c r="Q51" s="113">
        <f t="shared" si="6"/>
        <v>29</v>
      </c>
      <c r="R51" s="114">
        <v>36</v>
      </c>
      <c r="S51" s="144" t="str">
        <f t="shared" ca="1" si="7"/>
        <v>CONSORCIO INTERVIAS A.S.
A.</v>
      </c>
      <c r="T51" s="115">
        <f t="shared" ca="1" si="4"/>
        <v>74.218566414188047</v>
      </c>
    </row>
    <row r="52" spans="2:20" ht="26.25" customHeight="1" x14ac:dyDescent="0.25">
      <c r="B52" s="108">
        <v>37</v>
      </c>
      <c r="C52" s="141">
        <f>'RESUMEN-M (1)'!C48</f>
        <v>37</v>
      </c>
      <c r="D52" s="193" t="str">
        <f>'RESUMEN-M (1)'!D48</f>
        <v>VERTICE INTERVENTORIA D
E PROYECTOS SAS</v>
      </c>
      <c r="E52" s="397">
        <f>VLOOKUP(D52,'METODO DE PONDERACION'!D$41:G$101,2,FALSE)</f>
        <v>403.36</v>
      </c>
      <c r="F52" s="111">
        <f>IF(VLOOKUP(D52,'METODO DE PONDERACION'!D$41:G$101,4,FALSE)&lt;0,0,VLOOKUP(D52,'METODO DE PONDERACION'!D$41:G$101,4,FALSE))</f>
        <v>50.298910031405882</v>
      </c>
      <c r="G52" s="111">
        <f>VLOOKUP($D52,'RESUMEN-M (1)'!$D$12:$G$94,3,FALSE)</f>
        <v>10</v>
      </c>
      <c r="H52" s="111">
        <f>VLOOKUP($D52,'RESUMEN-M (1)'!$D$12:$G$94,4,FALSE)</f>
        <v>1</v>
      </c>
      <c r="I52" s="111">
        <f>VLOOKUP($D52,'RESUMEN-M (1)'!$D$12:$K$94,5,FALSE)</f>
        <v>20</v>
      </c>
      <c r="J52" s="111">
        <f>VLOOKUP($D52,'RESUMEN-M (1)'!$D$12:$K$94,6,FALSE)</f>
        <v>1</v>
      </c>
      <c r="K52" s="111">
        <f>VLOOKUP($D52,'RESUMEN-M (1)'!$D$12:$K$94,7,FALSE)</f>
        <v>0.25</v>
      </c>
      <c r="L52" s="111">
        <f>VLOOKUP($D52,'RESUMEN-M (1)'!$D$12:$K$94,8,FALSE)</f>
        <v>0.25</v>
      </c>
      <c r="M52" s="107">
        <f t="shared" si="5"/>
        <v>82.798910031405882</v>
      </c>
      <c r="N52" s="112"/>
      <c r="O52" s="265"/>
      <c r="P52" s="265"/>
      <c r="Q52" s="113">
        <f t="shared" si="6"/>
        <v>27</v>
      </c>
      <c r="R52" s="114">
        <v>37</v>
      </c>
      <c r="S52" s="144" t="str">
        <f t="shared" ca="1" si="7"/>
        <v xml:space="preserve">JMELO INGENIERÍA DE PROYECTOS S.A.S.
</v>
      </c>
      <c r="T52" s="115">
        <f t="shared" ca="1" si="4"/>
        <v>72.125323295769448</v>
      </c>
    </row>
    <row r="53" spans="2:20" ht="26.25" customHeight="1" x14ac:dyDescent="0.25">
      <c r="B53" s="108">
        <v>38</v>
      </c>
      <c r="C53" s="141">
        <f>'RESUMEN-M (1)'!C49</f>
        <v>38</v>
      </c>
      <c r="D53" s="193" t="str">
        <f>'RESUMEN-M (1)'!D49</f>
        <v>CONSORCIO INTERVENTORE
S AC</v>
      </c>
      <c r="E53" s="397">
        <f>VLOOKUP(D53,'METODO DE PONDERACION'!D$41:G$101,2,FALSE)</f>
        <v>527.495</v>
      </c>
      <c r="F53" s="111">
        <f>IF(VLOOKUP(D53,'METODO DE PONDERACION'!D$41:G$101,4,FALSE)&lt;0,0,VLOOKUP(D53,'METODO DE PONDERACION'!D$41:G$101,4,FALSE))</f>
        <v>65.778519305375951</v>
      </c>
      <c r="G53" s="111">
        <f>VLOOKUP($D53,'RESUMEN-M (1)'!$D$12:$G$94,3,FALSE)</f>
        <v>10</v>
      </c>
      <c r="H53" s="111">
        <f>VLOOKUP($D53,'RESUMEN-M (1)'!$D$12:$G$94,4,FALSE)</f>
        <v>1</v>
      </c>
      <c r="I53" s="111">
        <f>VLOOKUP($D53,'RESUMEN-M (1)'!$D$12:$K$94,5,FALSE)</f>
        <v>20</v>
      </c>
      <c r="J53" s="111">
        <f>VLOOKUP($D53,'RESUMEN-M (1)'!$D$12:$K$94,6,FALSE)</f>
        <v>1</v>
      </c>
      <c r="K53" s="111">
        <f>VLOOKUP($D53,'RESUMEN-M (1)'!$D$12:$K$94,7,FALSE)</f>
        <v>0.25</v>
      </c>
      <c r="L53" s="111">
        <f>VLOOKUP($D53,'RESUMEN-M (1)'!$D$12:$K$94,8,FALSE)</f>
        <v>0.25</v>
      </c>
      <c r="M53" s="107">
        <f t="shared" si="5"/>
        <v>98.278519305375951</v>
      </c>
      <c r="N53" s="112"/>
      <c r="O53" s="265"/>
      <c r="P53" s="265"/>
      <c r="Q53" s="113">
        <f t="shared" si="6"/>
        <v>6</v>
      </c>
      <c r="R53" s="114">
        <v>38</v>
      </c>
      <c r="S53" s="144" t="str">
        <f t="shared" ca="1" si="7"/>
        <v>CONSORCIO HUPK VIAS MAG
DALENA</v>
      </c>
      <c r="T53" s="115">
        <f t="shared" ca="1" si="4"/>
        <v>68.35430907075559</v>
      </c>
    </row>
    <row r="54" spans="2:20" ht="26.25" customHeight="1" x14ac:dyDescent="0.25">
      <c r="B54" s="108">
        <v>39</v>
      </c>
      <c r="C54" s="141">
        <f>'RESUMEN-M (1)'!C50</f>
        <v>39</v>
      </c>
      <c r="D54" s="193" t="str">
        <f>'RESUMEN-M (1)'!D50</f>
        <v>CONSORCIO RED VIAL HUILA</v>
      </c>
      <c r="E54" s="397">
        <f>VLOOKUP(D54,'METODO DE PONDERACION'!D$41:G$101,2,FALSE)</f>
        <v>567.25333333333344</v>
      </c>
      <c r="F54" s="111">
        <f>IF(VLOOKUP(D54,'METODO DE PONDERACION'!D$41:G$101,4,FALSE)&lt;0,0,VLOOKUP(D54,'METODO DE PONDERACION'!D$41:G$101,4,FALSE))</f>
        <v>64.26362460742655</v>
      </c>
      <c r="G54" s="111">
        <f>VLOOKUP($D54,'RESUMEN-M (1)'!$D$12:$G$94,3,FALSE)</f>
        <v>10</v>
      </c>
      <c r="H54" s="111">
        <f>VLOOKUP($D54,'RESUMEN-M (1)'!$D$12:$G$94,4,FALSE)</f>
        <v>1</v>
      </c>
      <c r="I54" s="111">
        <f>VLOOKUP($D54,'RESUMEN-M (1)'!$D$12:$K$94,5,FALSE)</f>
        <v>20</v>
      </c>
      <c r="J54" s="111">
        <f>VLOOKUP($D54,'RESUMEN-M (1)'!$D$12:$K$94,6,FALSE)</f>
        <v>1</v>
      </c>
      <c r="K54" s="111">
        <f>VLOOKUP($D54,'RESUMEN-M (1)'!$D$12:$K$94,7,FALSE)</f>
        <v>0.25</v>
      </c>
      <c r="L54" s="111">
        <f>VLOOKUP($D54,'RESUMEN-M (1)'!$D$12:$K$94,8,FALSE)</f>
        <v>0.25</v>
      </c>
      <c r="M54" s="107">
        <f t="shared" si="5"/>
        <v>96.76362460742655</v>
      </c>
      <c r="N54" s="112"/>
      <c r="O54" s="265"/>
      <c r="P54" s="265"/>
      <c r="Q54" s="113">
        <f t="shared" si="6"/>
        <v>10</v>
      </c>
      <c r="R54" s="114">
        <v>39</v>
      </c>
      <c r="S54" s="144" t="str">
        <f t="shared" ca="1" si="7"/>
        <v>IC INGENIO CIVIL</v>
      </c>
      <c r="T54" s="115">
        <f t="shared" ca="1" si="4"/>
        <v>67.353281452059861</v>
      </c>
    </row>
    <row r="55" spans="2:20" ht="36.75" customHeight="1" x14ac:dyDescent="0.25">
      <c r="B55" s="108">
        <v>40</v>
      </c>
      <c r="C55" s="141">
        <f>'RESUMEN-M (1)'!C51</f>
        <v>40</v>
      </c>
      <c r="D55" s="193" t="str">
        <f>'RESUMEN-M (1)'!D51</f>
        <v>CONSORCIO SAMUEL 2024</v>
      </c>
      <c r="E55" s="397">
        <f>VLOOKUP(D55,'METODO DE PONDERACION'!D$41:G$101,2,FALSE)</f>
        <v>1076.78</v>
      </c>
      <c r="F55" s="111">
        <f>IF(VLOOKUP(D55,'METODO DE PONDERACION'!D$41:G$101,4,FALSE)&lt;0,0,VLOOKUP(D55,'METODO DE PONDERACION'!D$41:G$101,4,FALSE))</f>
        <v>0.72575281729170071</v>
      </c>
      <c r="G55" s="111">
        <f>VLOOKUP($D55,'RESUMEN-M (1)'!$D$12:$G$94,3,FALSE)</f>
        <v>10</v>
      </c>
      <c r="H55" s="111">
        <f>VLOOKUP($D55,'RESUMEN-M (1)'!$D$12:$G$94,4,FALSE)</f>
        <v>1</v>
      </c>
      <c r="I55" s="111">
        <f>VLOOKUP($D55,'RESUMEN-M (1)'!$D$12:$K$94,5,FALSE)</f>
        <v>20</v>
      </c>
      <c r="J55" s="111">
        <f>VLOOKUP($D55,'RESUMEN-M (1)'!$D$12:$K$94,6,FALSE)</f>
        <v>1</v>
      </c>
      <c r="K55" s="111">
        <f>VLOOKUP($D55,'RESUMEN-M (1)'!$D$12:$K$94,7,FALSE)</f>
        <v>0.25</v>
      </c>
      <c r="L55" s="111">
        <f>VLOOKUP($D55,'RESUMEN-M (1)'!$D$12:$K$94,8,FALSE)</f>
        <v>0.25</v>
      </c>
      <c r="M55" s="107">
        <f t="shared" si="5"/>
        <v>33.225752817291699</v>
      </c>
      <c r="N55" s="112"/>
      <c r="O55" s="265"/>
      <c r="P55" s="265"/>
      <c r="Q55" s="113">
        <f t="shared" si="6"/>
        <v>49</v>
      </c>
      <c r="R55" s="114">
        <v>40</v>
      </c>
      <c r="S55" s="144" t="str">
        <f t="shared" ca="1" si="7"/>
        <v>EQUILATERO SAS</v>
      </c>
      <c r="T55" s="115">
        <f t="shared" ca="1" si="4"/>
        <v>64.602808054683152</v>
      </c>
    </row>
    <row r="56" spans="2:20" ht="26.25" customHeight="1" x14ac:dyDescent="0.25">
      <c r="B56" s="108">
        <v>41</v>
      </c>
      <c r="C56" s="141">
        <f>'RESUMEN-M (1)'!C52</f>
        <v>41</v>
      </c>
      <c r="D56" s="193" t="str">
        <f>'RESUMEN-M (1)'!D52</f>
        <v>CONSORCIO NOGAC</v>
      </c>
      <c r="E56" s="397">
        <f>VLOOKUP(D56,'METODO DE PONDERACION'!D$41:G$101,2,FALSE)</f>
        <v>426.14</v>
      </c>
      <c r="F56" s="111">
        <f>IF(VLOOKUP(D56,'METODO DE PONDERACION'!D$41:G$101,4,FALSE)&lt;0,0,VLOOKUP(D56,'METODO DE PONDERACION'!D$41:G$101,4,FALSE))</f>
        <v>53.139571402179939</v>
      </c>
      <c r="G56" s="111">
        <f>VLOOKUP($D56,'RESUMEN-M (1)'!$D$12:$G$94,3,FALSE)</f>
        <v>10</v>
      </c>
      <c r="H56" s="111">
        <f>VLOOKUP($D56,'RESUMEN-M (1)'!$D$12:$G$94,4,FALSE)</f>
        <v>1</v>
      </c>
      <c r="I56" s="111">
        <f>VLOOKUP($D56,'RESUMEN-M (1)'!$D$12:$K$94,5,FALSE)</f>
        <v>20</v>
      </c>
      <c r="J56" s="111">
        <f>VLOOKUP($D56,'RESUMEN-M (1)'!$D$12:$K$94,6,FALSE)</f>
        <v>1</v>
      </c>
      <c r="K56" s="111">
        <f>VLOOKUP($D56,'RESUMEN-M (1)'!$D$12:$K$94,7,FALSE)</f>
        <v>0.25</v>
      </c>
      <c r="L56" s="111">
        <f>VLOOKUP($D56,'RESUMEN-M (1)'!$D$12:$K$94,8,FALSE)</f>
        <v>0.25</v>
      </c>
      <c r="M56" s="107">
        <f t="shared" si="5"/>
        <v>85.639571402179939</v>
      </c>
      <c r="N56" s="112"/>
      <c r="O56" s="265"/>
      <c r="P56" s="265"/>
      <c r="Q56" s="113">
        <f t="shared" si="6"/>
        <v>22</v>
      </c>
      <c r="R56" s="114">
        <v>41</v>
      </c>
      <c r="S56" s="144" t="str">
        <f t="shared" ca="1" si="7"/>
        <v>D&amp;B INGENIEROS CIVILES S.
A.S.</v>
      </c>
      <c r="T56" s="115">
        <f t="shared" ca="1" si="4"/>
        <v>62.952937372990945</v>
      </c>
    </row>
    <row r="57" spans="2:20" ht="26.25" customHeight="1" x14ac:dyDescent="0.25">
      <c r="B57" s="108">
        <v>42</v>
      </c>
      <c r="C57" s="141">
        <f>'RESUMEN-M (1)'!C53</f>
        <v>42</v>
      </c>
      <c r="D57" s="193" t="str">
        <f>'RESUMEN-M (1)'!D53</f>
        <v>HR ING SAS</v>
      </c>
      <c r="E57" s="397">
        <f>VLOOKUP(D57,'METODO DE PONDERACION'!D$41:G$101,2,FALSE)</f>
        <v>412.72</v>
      </c>
      <c r="F57" s="111">
        <f>IF(VLOOKUP(D57,'METODO DE PONDERACION'!D$41:G$101,4,FALSE)&lt;0,0,VLOOKUP(D57,'METODO DE PONDERACION'!D$41:G$101,4,FALSE))</f>
        <v>51.466100129318313</v>
      </c>
      <c r="G57" s="111">
        <f>VLOOKUP($D57,'RESUMEN-M (1)'!$D$12:$G$94,3,FALSE)</f>
        <v>10</v>
      </c>
      <c r="H57" s="111">
        <f>VLOOKUP($D57,'RESUMEN-M (1)'!$D$12:$G$94,4,FALSE)</f>
        <v>1</v>
      </c>
      <c r="I57" s="111">
        <f>VLOOKUP($D57,'RESUMEN-M (1)'!$D$12:$K$94,5,FALSE)</f>
        <v>20</v>
      </c>
      <c r="J57" s="111">
        <f>VLOOKUP($D57,'RESUMEN-M (1)'!$D$12:$K$94,6,FALSE)</f>
        <v>1</v>
      </c>
      <c r="K57" s="111">
        <f>VLOOKUP($D57,'RESUMEN-M (1)'!$D$12:$K$94,7,FALSE)</f>
        <v>0</v>
      </c>
      <c r="L57" s="111">
        <f>VLOOKUP($D57,'RESUMEN-M (1)'!$D$12:$K$94,8,FALSE)</f>
        <v>0.25</v>
      </c>
      <c r="M57" s="107">
        <f t="shared" si="5"/>
        <v>83.716100129318306</v>
      </c>
      <c r="N57" s="112"/>
      <c r="O57" s="265"/>
      <c r="P57" s="265"/>
      <c r="Q57" s="113">
        <f t="shared" si="6"/>
        <v>25</v>
      </c>
      <c r="R57" s="114">
        <v>42</v>
      </c>
      <c r="S57" s="144" t="str">
        <f t="shared" ca="1" si="7"/>
        <v>CONSORCIO GC</v>
      </c>
      <c r="T57" s="115">
        <f t="shared" ca="1" si="4"/>
        <v>62.188527618695744</v>
      </c>
    </row>
    <row r="58" spans="2:20" ht="26.25" customHeight="1" x14ac:dyDescent="0.25">
      <c r="B58" s="108">
        <v>43</v>
      </c>
      <c r="C58" s="141">
        <f>'RESUMEN-M (1)'!C54</f>
        <v>43</v>
      </c>
      <c r="D58" s="193" t="str">
        <f>'RESUMEN-M (1)'!D54</f>
        <v>UCPI MAGDALENA</v>
      </c>
      <c r="E58" s="397">
        <f>VLOOKUP(D58,'METODO DE PONDERACION'!D$41:G$101,2,FALSE)</f>
        <v>1490.5316666666668</v>
      </c>
      <c r="F58" s="111">
        <f>IF(VLOOKUP(D58,'METODO DE PONDERACION'!D$41:G$101,4,FALSE)&lt;0,0,VLOOKUP(D58,'METODO DE PONDERACION'!D$41:G$101,4,FALSE))</f>
        <v>0</v>
      </c>
      <c r="G58" s="111">
        <f>VLOOKUP($D58,'RESUMEN-M (1)'!$D$12:$G$94,3,FALSE)</f>
        <v>10</v>
      </c>
      <c r="H58" s="111">
        <f>VLOOKUP($D58,'RESUMEN-M (1)'!$D$12:$G$94,4,FALSE)</f>
        <v>1</v>
      </c>
      <c r="I58" s="111">
        <f>VLOOKUP($D58,'RESUMEN-M (1)'!$D$12:$K$94,5,FALSE)</f>
        <v>20</v>
      </c>
      <c r="J58" s="111">
        <f>VLOOKUP($D58,'RESUMEN-M (1)'!$D$12:$K$94,6,FALSE)</f>
        <v>1</v>
      </c>
      <c r="K58" s="111">
        <f>VLOOKUP($D58,'RESUMEN-M (1)'!$D$12:$K$94,7,FALSE)</f>
        <v>0.25</v>
      </c>
      <c r="L58" s="111">
        <f>VLOOKUP($D58,'RESUMEN-M (1)'!$D$12:$K$94,8,FALSE)</f>
        <v>0.25</v>
      </c>
      <c r="M58" s="107">
        <f t="shared" si="5"/>
        <v>32.5</v>
      </c>
      <c r="N58" s="112"/>
      <c r="O58" s="265"/>
      <c r="P58" s="265"/>
      <c r="Q58" s="113">
        <f t="shared" si="6"/>
        <v>50</v>
      </c>
      <c r="R58" s="114">
        <v>43</v>
      </c>
      <c r="S58" s="144" t="str">
        <f t="shared" ca="1" si="7"/>
        <v>INTEGRAL MAGDALENA 78</v>
      </c>
      <c r="T58" s="115">
        <f t="shared" ca="1" si="4"/>
        <v>61.316876039164981</v>
      </c>
    </row>
    <row r="59" spans="2:20" ht="26.25" customHeight="1" x14ac:dyDescent="0.25">
      <c r="B59" s="108">
        <v>44</v>
      </c>
      <c r="C59" s="141">
        <f>'RESUMEN-M (1)'!C55</f>
        <v>44</v>
      </c>
      <c r="D59" s="193" t="str">
        <f>'RESUMEN-M (1)'!D55</f>
        <v>VIGAVI ZOMAC S.A.S</v>
      </c>
      <c r="E59" s="397">
        <f>VLOOKUP(D59,'METODO DE PONDERACION'!D$41:G$101,2,FALSE)</f>
        <v>418.56</v>
      </c>
      <c r="F59" s="111">
        <f>IF(VLOOKUP(D59,'METODO DE PONDERACION'!D$41:G$101,4,FALSE)&lt;0,0,VLOOKUP(D59,'METODO DE PONDERACION'!D$41:G$101,4,FALSE))</f>
        <v>52.194346942545728</v>
      </c>
      <c r="G59" s="111">
        <f>VLOOKUP($D59,'RESUMEN-M (1)'!$D$12:$G$94,3,FALSE)</f>
        <v>10</v>
      </c>
      <c r="H59" s="111">
        <f>VLOOKUP($D59,'RESUMEN-M (1)'!$D$12:$G$94,4,FALSE)</f>
        <v>1</v>
      </c>
      <c r="I59" s="111">
        <f>VLOOKUP($D59,'RESUMEN-M (1)'!$D$12:$K$94,5,FALSE)</f>
        <v>20</v>
      </c>
      <c r="J59" s="111">
        <f>VLOOKUP($D59,'RESUMEN-M (1)'!$D$12:$K$94,6,FALSE)</f>
        <v>1</v>
      </c>
      <c r="K59" s="111">
        <f>VLOOKUP($D59,'RESUMEN-M (1)'!$D$12:$K$94,7,FALSE)</f>
        <v>0.25</v>
      </c>
      <c r="L59" s="111">
        <f>VLOOKUP($D59,'RESUMEN-M (1)'!$D$12:$K$94,8,FALSE)</f>
        <v>0.25</v>
      </c>
      <c r="M59" s="107">
        <f t="shared" si="5"/>
        <v>84.694346942545735</v>
      </c>
      <c r="N59" s="112"/>
      <c r="O59" s="265"/>
      <c r="P59" s="265"/>
      <c r="Q59" s="113">
        <f t="shared" si="6"/>
        <v>24</v>
      </c>
      <c r="R59" s="114">
        <v>44</v>
      </c>
      <c r="S59" s="144" t="str">
        <f t="shared" ca="1" si="7"/>
        <v>SOTA LTDA</v>
      </c>
      <c r="T59" s="115">
        <f t="shared" ca="1" si="4"/>
        <v>60.480786994273032</v>
      </c>
    </row>
    <row r="60" spans="2:20" ht="26.25" customHeight="1" x14ac:dyDescent="0.25">
      <c r="B60" s="108">
        <v>45</v>
      </c>
      <c r="C60" s="141">
        <f>'RESUMEN-M (1)'!C56</f>
        <v>45</v>
      </c>
      <c r="D60" s="193" t="str">
        <f>'RESUMEN-M (1)'!D56</f>
        <v>CONSTRUCTORA VISAA S.A.
S.</v>
      </c>
      <c r="E60" s="397">
        <f>VLOOKUP(D60,'METODO DE PONDERACION'!D$41:G$101,2,FALSE)</f>
        <v>80.973500000000001</v>
      </c>
      <c r="F60" s="111">
        <f>IF(VLOOKUP(D60,'METODO DE PONDERACION'!D$41:G$101,4,FALSE)&lt;0,0,VLOOKUP(D60,'METODO DE PONDERACION'!D$41:G$101,4,FALSE))</f>
        <v>10.097378995012006</v>
      </c>
      <c r="G60" s="111">
        <f>VLOOKUP($D60,'RESUMEN-M (1)'!$D$12:$G$94,3,FALSE)</f>
        <v>10</v>
      </c>
      <c r="H60" s="111">
        <f>VLOOKUP($D60,'RESUMEN-M (1)'!$D$12:$G$94,4,FALSE)</f>
        <v>1</v>
      </c>
      <c r="I60" s="111">
        <f>VLOOKUP($D60,'RESUMEN-M (1)'!$D$12:$K$94,5,FALSE)</f>
        <v>20</v>
      </c>
      <c r="J60" s="111">
        <f>VLOOKUP($D60,'RESUMEN-M (1)'!$D$12:$K$94,6,FALSE)</f>
        <v>1</v>
      </c>
      <c r="K60" s="111">
        <f>VLOOKUP($D60,'RESUMEN-M (1)'!$D$12:$K$94,7,FALSE)</f>
        <v>0.25</v>
      </c>
      <c r="L60" s="111">
        <f>VLOOKUP($D60,'RESUMEN-M (1)'!$D$12:$K$94,8,FALSE)</f>
        <v>0.25</v>
      </c>
      <c r="M60" s="107">
        <f t="shared" si="5"/>
        <v>42.597378995012008</v>
      </c>
      <c r="N60" s="112"/>
      <c r="O60" s="265"/>
      <c r="P60" s="265"/>
      <c r="Q60" s="113">
        <f t="shared" si="6"/>
        <v>45</v>
      </c>
      <c r="R60" s="114">
        <v>45</v>
      </c>
      <c r="S60" s="144" t="str">
        <f t="shared" ca="1" si="7"/>
        <v>CONSTRUCTORA VISAA S.A.
S.</v>
      </c>
      <c r="T60" s="115">
        <f t="shared" ca="1" si="4"/>
        <v>42.597378995012008</v>
      </c>
    </row>
    <row r="61" spans="2:20" ht="26.25" customHeight="1" x14ac:dyDescent="0.25">
      <c r="B61" s="108">
        <v>46</v>
      </c>
      <c r="C61" s="141">
        <f>'RESUMEN-M (1)'!C57</f>
        <v>46</v>
      </c>
      <c r="D61" s="193" t="str">
        <f>'RESUMEN-M (1)'!D57</f>
        <v>CONSORCIO INTERVIAS A.S.
A.</v>
      </c>
      <c r="E61" s="397">
        <f>VLOOKUP(D61,'METODO DE PONDERACION'!D$41:G$101,2,FALSE)</f>
        <v>748.048</v>
      </c>
      <c r="F61" s="111">
        <f>IF(VLOOKUP(D61,'METODO DE PONDERACION'!D$41:G$101,4,FALSE)&lt;0,0,VLOOKUP(D61,'METODO DE PONDERACION'!D$41:G$101,4,FALSE))</f>
        <v>41.718566414188054</v>
      </c>
      <c r="G61" s="111">
        <f>VLOOKUP($D61,'RESUMEN-M (1)'!$D$12:$G$94,3,FALSE)</f>
        <v>10</v>
      </c>
      <c r="H61" s="111">
        <f>VLOOKUP($D61,'RESUMEN-M (1)'!$D$12:$G$94,4,FALSE)</f>
        <v>1</v>
      </c>
      <c r="I61" s="111">
        <f>VLOOKUP($D61,'RESUMEN-M (1)'!$D$12:$K$94,5,FALSE)</f>
        <v>20</v>
      </c>
      <c r="J61" s="111">
        <f>VLOOKUP($D61,'RESUMEN-M (1)'!$D$12:$K$94,6,FALSE)</f>
        <v>1</v>
      </c>
      <c r="K61" s="111">
        <f>VLOOKUP($D61,'RESUMEN-M (1)'!$D$12:$K$94,7,FALSE)</f>
        <v>0.25</v>
      </c>
      <c r="L61" s="111">
        <f>VLOOKUP($D61,'RESUMEN-M (1)'!$D$12:$K$94,8,FALSE)</f>
        <v>0.25</v>
      </c>
      <c r="M61" s="107">
        <f t="shared" si="5"/>
        <v>74.218566414188047</v>
      </c>
      <c r="N61" s="112"/>
      <c r="O61" s="265"/>
      <c r="P61" s="265"/>
      <c r="Q61" s="113">
        <f t="shared" si="6"/>
        <v>36</v>
      </c>
      <c r="R61" s="114">
        <v>46</v>
      </c>
      <c r="S61" s="144" t="str">
        <f t="shared" ca="1" si="7"/>
        <v>CONSORCIO AESA-BALER</v>
      </c>
      <c r="T61" s="115">
        <f t="shared" ca="1" si="4"/>
        <v>41.505588398300361</v>
      </c>
    </row>
    <row r="62" spans="2:20" ht="26.25" customHeight="1" x14ac:dyDescent="0.25">
      <c r="B62" s="108">
        <v>47</v>
      </c>
      <c r="C62" s="141">
        <f>'RESUMEN-M (1)'!C58</f>
        <v>47</v>
      </c>
      <c r="D62" s="193" t="str">
        <f>'RESUMEN-M (1)'!D58</f>
        <v>LEMOINE RIVERA INGENIEROS ASOCIADOS SAS</v>
      </c>
      <c r="E62" s="397">
        <f>VLOOKUP(D62,'METODO DE PONDERACION'!D$41:G$101,2,FALSE)</f>
        <v>438.17070000000001</v>
      </c>
      <c r="F62" s="111">
        <f>IF(VLOOKUP(D62,'METODO DE PONDERACION'!D$41:G$101,4,FALSE)&lt;0,0,VLOOKUP(D62,'METODO DE PONDERACION'!D$41:G$101,4,FALSE))</f>
        <v>54.639797247367454</v>
      </c>
      <c r="G62" s="111">
        <f>VLOOKUP($D62,'RESUMEN-M (1)'!$D$12:$G$94,3,FALSE)</f>
        <v>10</v>
      </c>
      <c r="H62" s="111">
        <f>VLOOKUP($D62,'RESUMEN-M (1)'!$D$12:$G$94,4,FALSE)</f>
        <v>1</v>
      </c>
      <c r="I62" s="111">
        <f>VLOOKUP($D62,'RESUMEN-M (1)'!$D$12:$K$94,5,FALSE)</f>
        <v>20</v>
      </c>
      <c r="J62" s="111">
        <f>VLOOKUP($D62,'RESUMEN-M (1)'!$D$12:$K$94,6,FALSE)</f>
        <v>1</v>
      </c>
      <c r="K62" s="111">
        <f>VLOOKUP($D62,'RESUMEN-M (1)'!$D$12:$K$94,7,FALSE)</f>
        <v>0.25</v>
      </c>
      <c r="L62" s="111">
        <f>VLOOKUP($D62,'RESUMEN-M (1)'!$D$12:$K$94,8,FALSE)</f>
        <v>0.25</v>
      </c>
      <c r="M62" s="107">
        <f t="shared" si="5"/>
        <v>87.139797247367454</v>
      </c>
      <c r="N62" s="112"/>
      <c r="O62" s="265"/>
      <c r="P62" s="265"/>
      <c r="Q62" s="113">
        <f t="shared" si="6"/>
        <v>18</v>
      </c>
      <c r="R62" s="114">
        <v>47</v>
      </c>
      <c r="S62" s="144" t="str">
        <f t="shared" ca="1" si="7"/>
        <v>ICE S.A.S.</v>
      </c>
      <c r="T62" s="115">
        <f t="shared" ca="1" si="4"/>
        <v>39.234435617956748</v>
      </c>
    </row>
    <row r="63" spans="2:20" ht="26.25" customHeight="1" x14ac:dyDescent="0.25">
      <c r="B63" s="108">
        <v>48</v>
      </c>
      <c r="C63" s="141">
        <f>'RESUMEN-M (1)'!C59</f>
        <v>48</v>
      </c>
      <c r="D63" s="193" t="str">
        <f>'RESUMEN-M (1)'!D59</f>
        <v>AVGR INGENIERIA S.A.S.</v>
      </c>
      <c r="E63" s="397">
        <f>VLOOKUP(D63,'METODO DE PONDERACION'!D$41:G$101,2,FALSE)</f>
        <v>541.29999999999995</v>
      </c>
      <c r="F63" s="111">
        <f>IF(VLOOKUP(D63,'METODO DE PONDERACION'!D$41:G$101,4,FALSE)&lt;0,0,VLOOKUP(D63,'METODO DE PONDERACION'!D$41:G$101,4,FALSE))</f>
        <v>67.5</v>
      </c>
      <c r="G63" s="111">
        <f>VLOOKUP($D63,'RESUMEN-M (1)'!$D$12:$G$94,3,FALSE)</f>
        <v>10</v>
      </c>
      <c r="H63" s="111">
        <f>VLOOKUP($D63,'RESUMEN-M (1)'!$D$12:$G$94,4,FALSE)</f>
        <v>1</v>
      </c>
      <c r="I63" s="111">
        <f>VLOOKUP($D63,'RESUMEN-M (1)'!$D$12:$K$94,5,FALSE)</f>
        <v>20</v>
      </c>
      <c r="J63" s="111">
        <f>VLOOKUP($D63,'RESUMEN-M (1)'!$D$12:$K$94,6,FALSE)</f>
        <v>1</v>
      </c>
      <c r="K63" s="111">
        <f>VLOOKUP($D63,'RESUMEN-M (1)'!$D$12:$K$94,7,FALSE)</f>
        <v>0.25</v>
      </c>
      <c r="L63" s="111">
        <f>VLOOKUP($D63,'RESUMEN-M (1)'!$D$12:$K$94,8,FALSE)</f>
        <v>0.25</v>
      </c>
      <c r="M63" s="107">
        <f t="shared" si="5"/>
        <v>100</v>
      </c>
      <c r="N63" s="112"/>
      <c r="O63" s="265"/>
      <c r="P63" s="265"/>
      <c r="Q63" s="113">
        <f t="shared" si="6"/>
        <v>1</v>
      </c>
      <c r="R63" s="114">
        <v>48</v>
      </c>
      <c r="S63" s="144" t="str">
        <f t="shared" ca="1" si="7"/>
        <v>PROESING</v>
      </c>
      <c r="T63" s="115">
        <f t="shared" ca="1" si="4"/>
        <v>36.610197672270466</v>
      </c>
    </row>
    <row r="64" spans="2:20" ht="33.75" customHeight="1" x14ac:dyDescent="0.25">
      <c r="B64" s="108">
        <v>49</v>
      </c>
      <c r="C64" s="141">
        <f>'RESUMEN-M (1)'!C60</f>
        <v>49</v>
      </c>
      <c r="D64" s="193" t="str">
        <f>'RESUMEN-M (1)'!D60</f>
        <v>ICE S.A.S.</v>
      </c>
      <c r="E64" s="397">
        <f>VLOOKUP(D64,'METODO DE PONDERACION'!D$41:G$101,2,FALSE)</f>
        <v>1026.5900000000001</v>
      </c>
      <c r="F64" s="111">
        <f>IF(VLOOKUP(D64,'METODO DE PONDERACION'!D$41:G$101,4,FALSE)&lt;0,0,VLOOKUP(D64,'METODO DE PONDERACION'!D$41:G$101,4,FALSE))</f>
        <v>6.9844356179567439</v>
      </c>
      <c r="G64" s="111">
        <f>VLOOKUP($D64,'RESUMEN-M (1)'!$D$12:$G$94,3,FALSE)</f>
        <v>10</v>
      </c>
      <c r="H64" s="111">
        <f>VLOOKUP($D64,'RESUMEN-M (1)'!$D$12:$G$94,4,FALSE)</f>
        <v>1</v>
      </c>
      <c r="I64" s="111">
        <f>VLOOKUP($D64,'RESUMEN-M (1)'!$D$12:$K$94,5,FALSE)</f>
        <v>20</v>
      </c>
      <c r="J64" s="111">
        <f>VLOOKUP($D64,'RESUMEN-M (1)'!$D$12:$K$94,6,FALSE)</f>
        <v>1</v>
      </c>
      <c r="K64" s="111">
        <f>VLOOKUP($D64,'RESUMEN-M (1)'!$D$12:$K$94,7,FALSE)</f>
        <v>0</v>
      </c>
      <c r="L64" s="111">
        <f>VLOOKUP($D64,'RESUMEN-M (1)'!$D$12:$K$94,8,FALSE)</f>
        <v>0.25</v>
      </c>
      <c r="M64" s="107">
        <f t="shared" si="5"/>
        <v>39.234435617956748</v>
      </c>
      <c r="N64" s="112"/>
      <c r="O64" s="265"/>
      <c r="P64" s="265"/>
      <c r="Q64" s="113">
        <f t="shared" si="6"/>
        <v>47</v>
      </c>
      <c r="R64" s="114">
        <v>49</v>
      </c>
      <c r="S64" s="144" t="str">
        <f t="shared" ca="1" si="7"/>
        <v>CONSORCIO SAMUEL 2024</v>
      </c>
      <c r="T64" s="115">
        <f t="shared" ca="1" si="4"/>
        <v>33.225752817291699</v>
      </c>
    </row>
    <row r="65" spans="2:20" ht="26.25" customHeight="1" x14ac:dyDescent="0.25">
      <c r="B65" s="108">
        <v>50</v>
      </c>
      <c r="C65" s="141">
        <f>'RESUMEN-M (1)'!C61</f>
        <v>50</v>
      </c>
      <c r="D65" s="193" t="str">
        <f>'RESUMEN-M (1)'!D61</f>
        <v>CONSORCIO INTER JC MAG</v>
      </c>
      <c r="E65" s="397" t="str">
        <f>VLOOKUP(D65,'METODO DE PONDERACION'!D$41:G$101,2,FALSE)</f>
        <v>RECHAZADO</v>
      </c>
      <c r="F65" s="111" t="str">
        <f>IF(VLOOKUP(D65,'METODO DE PONDERACION'!D$41:G$101,4,FALSE)&lt;0,0,VLOOKUP(D65,'METODO DE PONDERACION'!D$41:G$101,4,FALSE))</f>
        <v/>
      </c>
      <c r="G65" s="111">
        <f>VLOOKUP($D65,'RESUMEN-M (1)'!$D$12:$G$94,3,FALSE)</f>
        <v>10</v>
      </c>
      <c r="H65" s="111">
        <f>VLOOKUP($D65,'RESUMEN-M (1)'!$D$12:$G$94,4,FALSE)</f>
        <v>1</v>
      </c>
      <c r="I65" s="111">
        <f>VLOOKUP($D65,'RESUMEN-M (1)'!$D$12:$K$94,5,FALSE)</f>
        <v>20</v>
      </c>
      <c r="J65" s="111">
        <f>VLOOKUP($D65,'RESUMEN-M (1)'!$D$12:$K$94,6,FALSE)</f>
        <v>1</v>
      </c>
      <c r="K65" s="111">
        <f>VLOOKUP($D65,'RESUMEN-M (1)'!$D$12:$K$94,7,FALSE)</f>
        <v>0.25</v>
      </c>
      <c r="L65" s="111">
        <f>VLOOKUP($D65,'RESUMEN-M (1)'!$D$12:$K$94,8,FALSE)</f>
        <v>0.25</v>
      </c>
      <c r="M65" s="107">
        <f t="shared" si="5"/>
        <v>0</v>
      </c>
      <c r="N65" s="112"/>
      <c r="O65" s="265"/>
      <c r="P65" s="265"/>
      <c r="Q65" s="113">
        <f t="shared" si="6"/>
        <v>59</v>
      </c>
      <c r="R65" s="114">
        <v>50</v>
      </c>
      <c r="S65" s="144" t="str">
        <f t="shared" ca="1" si="7"/>
        <v>CONSORCIO METRO CINCO</v>
      </c>
      <c r="T65" s="115">
        <f t="shared" ca="1" si="4"/>
        <v>32.5</v>
      </c>
    </row>
    <row r="66" spans="2:20" ht="26.25" customHeight="1" x14ac:dyDescent="0.25">
      <c r="B66" s="108">
        <v>51</v>
      </c>
      <c r="C66" s="141">
        <f>'RESUMEN-M (1)'!C62</f>
        <v>51</v>
      </c>
      <c r="D66" s="193" t="str">
        <f>'RESUMEN-M (1)'!D62</f>
        <v>CONSORCIO VIAL 2023</v>
      </c>
      <c r="E66" s="397">
        <f>VLOOKUP(D66,'METODO DE PONDERACION'!D$41:G$101,2,FALSE)</f>
        <v>1702.17</v>
      </c>
      <c r="F66" s="111">
        <f>IF(VLOOKUP(D66,'METODO DE PONDERACION'!D$41:G$101,4,FALSE)&lt;0,0,VLOOKUP(D66,'METODO DE PONDERACION'!D$41:G$101,4,FALSE))</f>
        <v>0</v>
      </c>
      <c r="G66" s="111">
        <f>VLOOKUP($D66,'RESUMEN-M (1)'!$D$12:$G$94,3,FALSE)</f>
        <v>10</v>
      </c>
      <c r="H66" s="111">
        <f>VLOOKUP($D66,'RESUMEN-M (1)'!$D$12:$G$94,4,FALSE)</f>
        <v>1</v>
      </c>
      <c r="I66" s="111">
        <f>VLOOKUP($D66,'RESUMEN-M (1)'!$D$12:$K$94,5,FALSE)</f>
        <v>20</v>
      </c>
      <c r="J66" s="111">
        <f>VLOOKUP($D66,'RESUMEN-M (1)'!$D$12:$K$94,6,FALSE)</f>
        <v>0</v>
      </c>
      <c r="K66" s="111">
        <f>VLOOKUP($D66,'RESUMEN-M (1)'!$D$12:$K$94,7,FALSE)</f>
        <v>0.25</v>
      </c>
      <c r="L66" s="111">
        <f>VLOOKUP($D66,'RESUMEN-M (1)'!$D$12:$K$94,8,FALSE)</f>
        <v>0.25</v>
      </c>
      <c r="M66" s="107">
        <f t="shared" si="5"/>
        <v>31.5</v>
      </c>
      <c r="N66" s="112"/>
      <c r="O66" s="265"/>
      <c r="P66" s="265"/>
      <c r="Q66" s="113">
        <f t="shared" si="6"/>
        <v>55</v>
      </c>
      <c r="R66" s="114">
        <v>51</v>
      </c>
      <c r="S66" s="144" t="e">
        <f t="shared" ca="1" si="7"/>
        <v>#N/A</v>
      </c>
      <c r="T66" s="115" t="e">
        <f t="shared" ca="1" si="4"/>
        <v>#N/A</v>
      </c>
    </row>
    <row r="67" spans="2:20" ht="26.25" customHeight="1" x14ac:dyDescent="0.25">
      <c r="B67" s="108">
        <v>52</v>
      </c>
      <c r="C67" s="141">
        <f>'RESUMEN-M (1)'!C63</f>
        <v>52</v>
      </c>
      <c r="D67" s="193" t="str">
        <f>'RESUMEN-M (1)'!D63</f>
        <v>SAICON SAS</v>
      </c>
      <c r="E67" s="397">
        <f>VLOOKUP(D67,'METODO DE PONDERACION'!D$41:G$101,2,FALSE)</f>
        <v>534.4</v>
      </c>
      <c r="F67" s="111">
        <f>IF(VLOOKUP(D67,'METODO DE PONDERACION'!D$41:G$101,4,FALSE)&lt;0,0,VLOOKUP(D67,'METODO DE PONDERACION'!D$41:G$101,4,FALSE))</f>
        <v>66.639571402179939</v>
      </c>
      <c r="G67" s="111">
        <f>VLOOKUP($D67,'RESUMEN-M (1)'!$D$12:$G$94,3,FALSE)</f>
        <v>10</v>
      </c>
      <c r="H67" s="111">
        <f>VLOOKUP($D67,'RESUMEN-M (1)'!$D$12:$G$94,4,FALSE)</f>
        <v>1</v>
      </c>
      <c r="I67" s="111">
        <f>VLOOKUP($D67,'RESUMEN-M (1)'!$D$12:$K$94,5,FALSE)</f>
        <v>20</v>
      </c>
      <c r="J67" s="111">
        <f>VLOOKUP($D67,'RESUMEN-M (1)'!$D$12:$K$94,6,FALSE)</f>
        <v>1</v>
      </c>
      <c r="K67" s="111">
        <f>VLOOKUP($D67,'RESUMEN-M (1)'!$D$12:$K$94,7,FALSE)</f>
        <v>0</v>
      </c>
      <c r="L67" s="111">
        <f>VLOOKUP($D67,'RESUMEN-M (1)'!$D$12:$K$94,8,FALSE)</f>
        <v>0.25</v>
      </c>
      <c r="M67" s="107">
        <f t="shared" si="5"/>
        <v>98.889571402179939</v>
      </c>
      <c r="N67" s="112"/>
      <c r="O67" s="265"/>
      <c r="P67" s="265"/>
      <c r="Q67" s="113">
        <f t="shared" si="6"/>
        <v>4</v>
      </c>
      <c r="R67" s="114">
        <v>52</v>
      </c>
      <c r="S67" s="144" t="e">
        <f t="shared" ca="1" si="7"/>
        <v>#N/A</v>
      </c>
      <c r="T67" s="115" t="e">
        <f t="shared" ca="1" si="4"/>
        <v>#N/A</v>
      </c>
    </row>
    <row r="68" spans="2:20" ht="26.25" customHeight="1" x14ac:dyDescent="0.25">
      <c r="B68" s="108">
        <v>53</v>
      </c>
      <c r="C68" s="141">
        <f>'RESUMEN-M (1)'!C64</f>
        <v>53</v>
      </c>
      <c r="D68" s="193" t="str">
        <f>'RESUMEN-M (1)'!D64</f>
        <v>SOTA LTDA</v>
      </c>
      <c r="E68" s="397">
        <f>VLOOKUP(D68,'METODO DE PONDERACION'!D$41:G$101,2,FALSE)</f>
        <v>856.21</v>
      </c>
      <c r="F68" s="111">
        <f>IF(VLOOKUP(D68,'METODO DE PONDERACION'!D$41:G$101,4,FALSE)&lt;0,0,VLOOKUP(D68,'METODO DE PONDERACION'!D$41:G$101,4,FALSE))</f>
        <v>28.230786994273032</v>
      </c>
      <c r="G68" s="111">
        <f>VLOOKUP($D68,'RESUMEN-M (1)'!$D$12:$G$94,3,FALSE)</f>
        <v>10</v>
      </c>
      <c r="H68" s="111">
        <f>VLOOKUP($D68,'RESUMEN-M (1)'!$D$12:$G$94,4,FALSE)</f>
        <v>1</v>
      </c>
      <c r="I68" s="111">
        <f>VLOOKUP($D68,'RESUMEN-M (1)'!$D$12:$K$94,5,FALSE)</f>
        <v>20</v>
      </c>
      <c r="J68" s="111">
        <f>VLOOKUP($D68,'RESUMEN-M (1)'!$D$12:$K$94,6,FALSE)</f>
        <v>1</v>
      </c>
      <c r="K68" s="111">
        <f>VLOOKUP($D68,'RESUMEN-M (1)'!$D$12:$K$94,7,FALSE)</f>
        <v>0</v>
      </c>
      <c r="L68" s="111">
        <f>VLOOKUP($D68,'RESUMEN-M (1)'!$D$12:$K$94,8,FALSE)</f>
        <v>0.25</v>
      </c>
      <c r="M68" s="107">
        <f t="shared" si="5"/>
        <v>60.480786994273032</v>
      </c>
      <c r="N68" s="112"/>
      <c r="O68" s="265"/>
      <c r="P68" s="265"/>
      <c r="Q68" s="113">
        <f t="shared" si="6"/>
        <v>44</v>
      </c>
      <c r="R68" s="114">
        <v>53</v>
      </c>
      <c r="S68" s="144" t="str">
        <f t="shared" ca="1" si="7"/>
        <v>CONSORCIO INTERVIAL GM</v>
      </c>
      <c r="T68" s="115">
        <f t="shared" ca="1" si="4"/>
        <v>32.25</v>
      </c>
    </row>
    <row r="69" spans="2:20" ht="26.25" customHeight="1" x14ac:dyDescent="0.25">
      <c r="B69" s="108">
        <v>54</v>
      </c>
      <c r="C69" s="141">
        <f>'RESUMEN-M (1)'!C65</f>
        <v>54</v>
      </c>
      <c r="D69" s="193" t="str">
        <f>'RESUMEN-M (1)'!D65</f>
        <v>JAMES ALBERTO KAMMERER JIMENEZ</v>
      </c>
      <c r="E69" s="397">
        <f>VLOOKUP(D69,'METODO DE PONDERACION'!D$41:G$101,2,FALSE)</f>
        <v>1229.9000000000001</v>
      </c>
      <c r="F69" s="111">
        <f>IF(VLOOKUP(D69,'METODO DE PONDERACION'!D$41:G$101,4,FALSE)&lt;0,0,VLOOKUP(D69,'METODO DE PONDERACION'!D$41:G$101,4,FALSE))</f>
        <v>0</v>
      </c>
      <c r="G69" s="111">
        <f>VLOOKUP($D69,'RESUMEN-M (1)'!$D$12:$G$94,3,FALSE)</f>
        <v>10</v>
      </c>
      <c r="H69" s="111">
        <f>VLOOKUP($D69,'RESUMEN-M (1)'!$D$12:$G$94,4,FALSE)</f>
        <v>1</v>
      </c>
      <c r="I69" s="111">
        <f>VLOOKUP($D69,'RESUMEN-M (1)'!$D$12:$K$94,5,FALSE)</f>
        <v>20</v>
      </c>
      <c r="J69" s="111">
        <f>VLOOKUP($D69,'RESUMEN-M (1)'!$D$12:$K$94,6,FALSE)</f>
        <v>1</v>
      </c>
      <c r="K69" s="111">
        <f>VLOOKUP($D69,'RESUMEN-M (1)'!$D$12:$K$94,7,FALSE)</f>
        <v>0</v>
      </c>
      <c r="L69" s="111">
        <f>VLOOKUP($D69,'RESUMEN-M (1)'!$D$12:$K$94,8,FALSE)</f>
        <v>0.25</v>
      </c>
      <c r="M69" s="107">
        <f t="shared" si="5"/>
        <v>32.25</v>
      </c>
      <c r="N69" s="112"/>
      <c r="O69" s="265"/>
      <c r="P69" s="265"/>
      <c r="Q69" s="113">
        <f t="shared" si="6"/>
        <v>53</v>
      </c>
      <c r="R69" s="114">
        <v>54</v>
      </c>
      <c r="S69" s="144" t="e">
        <f t="shared" ca="1" si="7"/>
        <v>#N/A</v>
      </c>
      <c r="T69" s="115" t="e">
        <f t="shared" ca="1" si="4"/>
        <v>#N/A</v>
      </c>
    </row>
    <row r="70" spans="2:20" ht="26.25" customHeight="1" x14ac:dyDescent="0.25">
      <c r="B70" s="108">
        <v>55</v>
      </c>
      <c r="C70" s="141">
        <f>'RESUMEN-M (1)'!C66</f>
        <v>55</v>
      </c>
      <c r="D70" s="193" t="str">
        <f>'RESUMEN-M (1)'!D66</f>
        <v>DBB INGENIERÍA SAS</v>
      </c>
      <c r="E70" s="397">
        <f>VLOOKUP(D70,'METODO DE PONDERACION'!D$41:G$101,2,FALSE)</f>
        <v>434.3</v>
      </c>
      <c r="F70" s="111">
        <f>IF(VLOOKUP(D70,'METODO DE PONDERACION'!D$41:G$101,4,FALSE)&lt;0,0,VLOOKUP(D70,'METODO DE PONDERACION'!D$41:G$101,4,FALSE))</f>
        <v>54.157121743949759</v>
      </c>
      <c r="G70" s="111">
        <f>VLOOKUP($D70,'RESUMEN-M (1)'!$D$12:$G$94,3,FALSE)</f>
        <v>10</v>
      </c>
      <c r="H70" s="111">
        <f>VLOOKUP($D70,'RESUMEN-M (1)'!$D$12:$G$94,4,FALSE)</f>
        <v>1</v>
      </c>
      <c r="I70" s="111">
        <f>VLOOKUP($D70,'RESUMEN-M (1)'!$D$12:$K$94,5,FALSE)</f>
        <v>20</v>
      </c>
      <c r="J70" s="111">
        <f>VLOOKUP($D70,'RESUMEN-M (1)'!$D$12:$K$94,6,FALSE)</f>
        <v>1</v>
      </c>
      <c r="K70" s="111">
        <f>VLOOKUP($D70,'RESUMEN-M (1)'!$D$12:$K$94,7,FALSE)</f>
        <v>0.25</v>
      </c>
      <c r="L70" s="111">
        <f>VLOOKUP($D70,'RESUMEN-M (1)'!$D$12:$K$94,8,FALSE)</f>
        <v>0.25</v>
      </c>
      <c r="M70" s="107">
        <f t="shared" si="5"/>
        <v>86.657121743949759</v>
      </c>
      <c r="N70" s="112"/>
      <c r="O70" s="265"/>
      <c r="P70" s="265"/>
      <c r="Q70" s="113">
        <f t="shared" si="6"/>
        <v>20</v>
      </c>
      <c r="R70" s="114">
        <v>55</v>
      </c>
      <c r="S70" s="144" t="str">
        <f t="shared" ca="1" si="7"/>
        <v>Consorcio INTERING</v>
      </c>
      <c r="T70" s="115">
        <f t="shared" ca="1" si="4"/>
        <v>31.5</v>
      </c>
    </row>
    <row r="71" spans="2:20" ht="26.25" customHeight="1" x14ac:dyDescent="0.25">
      <c r="B71" s="108">
        <v>56</v>
      </c>
      <c r="C71" s="141">
        <f>'RESUMEN-M (1)'!C67</f>
        <v>56</v>
      </c>
      <c r="D71" s="193" t="str">
        <f>'RESUMEN-M (1)'!D67</f>
        <v>LITORAL CONSULTING SAS</v>
      </c>
      <c r="E71" s="397">
        <f>VLOOKUP(D71,'METODO DE PONDERACION'!D$41:G$101,2,FALSE)</f>
        <v>425.6825</v>
      </c>
      <c r="F71" s="111">
        <f>IF(VLOOKUP(D71,'METODO DE PONDERACION'!D$41:G$101,4,FALSE)&lt;0,0,VLOOKUP(D71,'METODO DE PONDERACION'!D$41:G$101,4,FALSE))</f>
        <v>53.082521245150566</v>
      </c>
      <c r="G71" s="111">
        <f>VLOOKUP($D71,'RESUMEN-M (1)'!$D$12:$G$94,3,FALSE)</f>
        <v>10</v>
      </c>
      <c r="H71" s="111">
        <f>VLOOKUP($D71,'RESUMEN-M (1)'!$D$12:$G$94,4,FALSE)</f>
        <v>1</v>
      </c>
      <c r="I71" s="111">
        <f>VLOOKUP($D71,'RESUMEN-M (1)'!$D$12:$K$94,5,FALSE)</f>
        <v>20</v>
      </c>
      <c r="J71" s="111">
        <f>VLOOKUP($D71,'RESUMEN-M (1)'!$D$12:$K$94,6,FALSE)</f>
        <v>1</v>
      </c>
      <c r="K71" s="111">
        <f>VLOOKUP($D71,'RESUMEN-M (1)'!$D$12:$K$94,7,FALSE)</f>
        <v>0.25</v>
      </c>
      <c r="L71" s="111">
        <f>VLOOKUP($D71,'RESUMEN-M (1)'!$D$12:$K$94,8,FALSE)</f>
        <v>0.25</v>
      </c>
      <c r="M71" s="107">
        <f t="shared" si="5"/>
        <v>85.582521245150559</v>
      </c>
      <c r="N71" s="112"/>
      <c r="O71" s="265"/>
      <c r="P71" s="265"/>
      <c r="Q71" s="113">
        <f t="shared" si="6"/>
        <v>23</v>
      </c>
      <c r="R71" s="114">
        <v>56</v>
      </c>
      <c r="S71" s="144" t="e">
        <f t="shared" ca="1" si="7"/>
        <v>#N/A</v>
      </c>
      <c r="T71" s="115" t="e">
        <f t="shared" ca="1" si="4"/>
        <v>#N/A</v>
      </c>
    </row>
    <row r="72" spans="2:20" ht="26.25" customHeight="1" x14ac:dyDescent="0.25">
      <c r="B72" s="108">
        <v>57</v>
      </c>
      <c r="C72" s="141">
        <f>'RESUMEN-M (1)'!C68</f>
        <v>57</v>
      </c>
      <c r="D72" s="193" t="str">
        <f>'RESUMEN-M (1)'!D68</f>
        <v>CONSORCIO HGR - INCON</v>
      </c>
      <c r="E72" s="397">
        <f>VLOOKUP(D72,'METODO DE PONDERACION'!D$41:G$101,2,FALSE)</f>
        <v>532.98</v>
      </c>
      <c r="F72" s="111">
        <f>IF(VLOOKUP(D72,'METODO DE PONDERACION'!D$41:G$101,4,FALSE)&lt;0,0,VLOOKUP(D72,'METODO DE PONDERACION'!D$41:G$101,4,FALSE))</f>
        <v>66.462497690744513</v>
      </c>
      <c r="G72" s="111">
        <f>VLOOKUP($D72,'RESUMEN-M (1)'!$D$12:$G$94,3,FALSE)</f>
        <v>10</v>
      </c>
      <c r="H72" s="111">
        <f>VLOOKUP($D72,'RESUMEN-M (1)'!$D$12:$G$94,4,FALSE)</f>
        <v>1</v>
      </c>
      <c r="I72" s="111">
        <f>VLOOKUP($D72,'RESUMEN-M (1)'!$D$12:$K$94,5,FALSE)</f>
        <v>20</v>
      </c>
      <c r="J72" s="111">
        <f>VLOOKUP($D72,'RESUMEN-M (1)'!$D$12:$K$94,6,FALSE)</f>
        <v>1</v>
      </c>
      <c r="K72" s="111">
        <f>VLOOKUP($D72,'RESUMEN-M (1)'!$D$12:$K$94,7,FALSE)</f>
        <v>0.25</v>
      </c>
      <c r="L72" s="111">
        <f>VLOOKUP($D72,'RESUMEN-M (1)'!$D$12:$K$94,8,FALSE)</f>
        <v>0.25</v>
      </c>
      <c r="M72" s="107">
        <f t="shared" si="5"/>
        <v>98.962497690744513</v>
      </c>
      <c r="N72" s="112"/>
      <c r="O72" s="265"/>
      <c r="P72" s="265"/>
      <c r="Q72" s="113">
        <f t="shared" si="6"/>
        <v>3</v>
      </c>
      <c r="R72" s="114">
        <v>57</v>
      </c>
      <c r="S72" s="144" t="e">
        <f t="shared" ca="1" si="7"/>
        <v>#N/A</v>
      </c>
      <c r="T72" s="115" t="e">
        <f t="shared" ca="1" si="4"/>
        <v>#N/A</v>
      </c>
    </row>
    <row r="73" spans="2:20" ht="26.25" customHeight="1" x14ac:dyDescent="0.25">
      <c r="B73" s="108">
        <v>58</v>
      </c>
      <c r="C73" s="141">
        <f>'RESUMEN-M (1)'!C69</f>
        <v>58</v>
      </c>
      <c r="D73" s="193" t="str">
        <f>'RESUMEN-M (1)'!D69</f>
        <v>INGEOCILCON S.A.S.</v>
      </c>
      <c r="E73" s="397">
        <f>VLOOKUP(D73,'METODO DE PONDERACION'!D$41:G$101,2,FALSE)</f>
        <v>1250.8399999999999</v>
      </c>
      <c r="F73" s="111">
        <f>IF(VLOOKUP(D73,'METODO DE PONDERACION'!D$41:G$101,4,FALSE)&lt;0,0,VLOOKUP(D73,'METODO DE PONDERACION'!D$41:G$101,4,FALSE))</f>
        <v>0</v>
      </c>
      <c r="G73" s="111">
        <f>VLOOKUP($D73,'RESUMEN-M (1)'!$D$12:$G$94,3,FALSE)</f>
        <v>10</v>
      </c>
      <c r="H73" s="111">
        <f>VLOOKUP($D73,'RESUMEN-M (1)'!$D$12:$G$94,4,FALSE)</f>
        <v>1</v>
      </c>
      <c r="I73" s="111">
        <f>VLOOKUP($D73,'RESUMEN-M (1)'!$D$12:$K$94,5,FALSE)</f>
        <v>20</v>
      </c>
      <c r="J73" s="111">
        <f>VLOOKUP($D73,'RESUMEN-M (1)'!$D$12:$K$94,6,FALSE)</f>
        <v>0</v>
      </c>
      <c r="K73" s="111">
        <f>VLOOKUP($D73,'RESUMEN-M (1)'!$D$12:$K$94,7,FALSE)</f>
        <v>0.25</v>
      </c>
      <c r="L73" s="111">
        <f>VLOOKUP($D73,'RESUMEN-M (1)'!$D$12:$K$94,8,FALSE)</f>
        <v>0.25</v>
      </c>
      <c r="M73" s="107">
        <f t="shared" si="5"/>
        <v>31.5</v>
      </c>
      <c r="N73" s="112"/>
      <c r="O73" s="265"/>
      <c r="P73" s="265"/>
      <c r="Q73" s="113">
        <f t="shared" si="6"/>
        <v>55</v>
      </c>
      <c r="R73" s="114">
        <v>58</v>
      </c>
      <c r="S73" s="144" t="e">
        <f t="shared" ca="1" si="7"/>
        <v>#N/A</v>
      </c>
      <c r="T73" s="115" t="e">
        <f t="shared" ca="1" si="4"/>
        <v>#N/A</v>
      </c>
    </row>
    <row r="74" spans="2:20" ht="26.25" customHeight="1" x14ac:dyDescent="0.25">
      <c r="B74" s="108">
        <v>59</v>
      </c>
      <c r="C74" s="141">
        <f>'RESUMEN-M (1)'!C70</f>
        <v>59</v>
      </c>
      <c r="D74" s="193" t="str">
        <f>'RESUMEN-M (1)'!D70</f>
        <v>CONSORCIO VÍAS PROTEV</v>
      </c>
      <c r="E74" s="397">
        <f>VLOOKUP(D74,'METODO DE PONDERACION'!D$41:G$101,2,FALSE)</f>
        <v>468.2</v>
      </c>
      <c r="F74" s="111">
        <f>IF(VLOOKUP(D74,'METODO DE PONDERACION'!D$41:G$101,4,FALSE)&lt;0,0,VLOOKUP(D74,'METODO DE PONDERACION'!D$41:G$101,4,FALSE))</f>
        <v>58.38444485497876</v>
      </c>
      <c r="G74" s="111">
        <f>VLOOKUP($D74,'RESUMEN-M (1)'!$D$12:$G$94,3,FALSE)</f>
        <v>10</v>
      </c>
      <c r="H74" s="111">
        <f>VLOOKUP($D74,'RESUMEN-M (1)'!$D$12:$G$94,4,FALSE)</f>
        <v>1</v>
      </c>
      <c r="I74" s="111">
        <f>VLOOKUP($D74,'RESUMEN-M (1)'!$D$12:$K$94,5,FALSE)</f>
        <v>20</v>
      </c>
      <c r="J74" s="111">
        <f>VLOOKUP($D74,'RESUMEN-M (1)'!$D$12:$K$94,6,FALSE)</f>
        <v>1</v>
      </c>
      <c r="K74" s="111">
        <f>VLOOKUP($D74,'RESUMEN-M (1)'!$D$12:$K$94,7,FALSE)</f>
        <v>0.25</v>
      </c>
      <c r="L74" s="111">
        <f>VLOOKUP($D74,'RESUMEN-M (1)'!$D$12:$K$94,8,FALSE)</f>
        <v>0.25</v>
      </c>
      <c r="M74" s="107">
        <f t="shared" si="5"/>
        <v>90.884444854978767</v>
      </c>
      <c r="N74" s="112"/>
      <c r="O74" s="265"/>
      <c r="P74" s="265"/>
      <c r="Q74" s="113">
        <f t="shared" si="6"/>
        <v>15</v>
      </c>
      <c r="R74" s="114">
        <v>59</v>
      </c>
      <c r="S74" s="144" t="str">
        <f t="shared" ca="1" si="7"/>
        <v>CONSORCIO INTER CONSTR
UCCION VIAL</v>
      </c>
      <c r="T74" s="115">
        <f t="shared" ca="1" si="4"/>
        <v>0</v>
      </c>
    </row>
    <row r="75" spans="2:20" ht="26.25" customHeight="1" x14ac:dyDescent="0.25">
      <c r="B75" s="108">
        <v>60</v>
      </c>
      <c r="C75" s="141">
        <f>'RESUMEN-M (1)'!C71</f>
        <v>60</v>
      </c>
      <c r="D75" s="193" t="str">
        <f>'RESUMEN-M (1)'!D71</f>
        <v>GER&amp;PRO S.A.S</v>
      </c>
      <c r="E75" s="397">
        <f>VLOOKUP(D75,'METODO DE PONDERACION'!D$41:G$101,2,FALSE)</f>
        <v>400.94</v>
      </c>
      <c r="F75" s="111">
        <f>IF(VLOOKUP(D75,'METODO DE PONDERACION'!D$41:G$101,4,FALSE)&lt;0,0,VLOOKUP(D75,'METODO DE PONDERACION'!D$41:G$101,4,FALSE))</f>
        <v>49.997136523184928</v>
      </c>
      <c r="G75" s="111">
        <f>VLOOKUP($D75,'RESUMEN-M (1)'!$D$12:$G$94,3,FALSE)</f>
        <v>10</v>
      </c>
      <c r="H75" s="111">
        <f>VLOOKUP($D75,'RESUMEN-M (1)'!$D$12:$G$94,4,FALSE)</f>
        <v>1</v>
      </c>
      <c r="I75" s="111">
        <f>VLOOKUP($D75,'RESUMEN-M (1)'!$D$12:$K$94,5,FALSE)</f>
        <v>20</v>
      </c>
      <c r="J75" s="111">
        <f>VLOOKUP($D75,'RESUMEN-M (1)'!$D$12:$K$94,6,FALSE)</f>
        <v>0</v>
      </c>
      <c r="K75" s="111">
        <f>VLOOKUP($D75,'RESUMEN-M (1)'!$D$12:$K$94,7,FALSE)</f>
        <v>0</v>
      </c>
      <c r="L75" s="111">
        <f>VLOOKUP($D75,'RESUMEN-M (1)'!$D$12:$K$94,8,FALSE)</f>
        <v>0.25</v>
      </c>
      <c r="M75" s="107">
        <f t="shared" si="5"/>
        <v>81.247136523184935</v>
      </c>
      <c r="N75" s="112"/>
      <c r="O75" s="265"/>
      <c r="P75" s="265"/>
      <c r="Q75" s="113">
        <f t="shared" si="6"/>
        <v>28</v>
      </c>
      <c r="R75" s="114">
        <v>60</v>
      </c>
      <c r="S75" s="144" t="e">
        <f t="shared" ca="1" si="7"/>
        <v>#N/A</v>
      </c>
      <c r="T75" s="115" t="e">
        <f t="shared" ca="1" si="4"/>
        <v>#N/A</v>
      </c>
    </row>
    <row r="76" spans="2:20" ht="26.25" customHeight="1" x14ac:dyDescent="0.25">
      <c r="B76" s="108">
        <v>61</v>
      </c>
      <c r="C76" s="141">
        <f>'RESUMEN-M (1)'!C72</f>
        <v>61</v>
      </c>
      <c r="D76" s="193" t="str">
        <f>'RESUMEN-M (1)'!D72</f>
        <v>INTEGRAL MAGDALENA 78</v>
      </c>
      <c r="E76" s="397">
        <f>VLOOKUP(D76,'METODO DE PONDERACION'!D$41:G$101,2,FALSE)</f>
        <v>231.09</v>
      </c>
      <c r="F76" s="111">
        <f>IF(VLOOKUP(D76,'METODO DE PONDERACION'!D$41:G$101,4,FALSE)&lt;0,0,VLOOKUP(D76,'METODO DE PONDERACION'!D$41:G$101,4,FALSE))</f>
        <v>28.816876039164981</v>
      </c>
      <c r="G76" s="111">
        <f>VLOOKUP($D76,'RESUMEN-M (1)'!$D$12:$G$94,3,FALSE)</f>
        <v>10</v>
      </c>
      <c r="H76" s="111">
        <f>VLOOKUP($D76,'RESUMEN-M (1)'!$D$12:$G$94,4,FALSE)</f>
        <v>1</v>
      </c>
      <c r="I76" s="111">
        <f>VLOOKUP($D76,'RESUMEN-M (1)'!$D$12:$K$94,5,FALSE)</f>
        <v>20</v>
      </c>
      <c r="J76" s="111">
        <f>VLOOKUP($D76,'RESUMEN-M (1)'!$D$12:$K$94,6,FALSE)</f>
        <v>1</v>
      </c>
      <c r="K76" s="111">
        <f>VLOOKUP($D76,'RESUMEN-M (1)'!$D$12:$K$94,7,FALSE)</f>
        <v>0.25</v>
      </c>
      <c r="L76" s="111">
        <f>VLOOKUP($D76,'RESUMEN-M (1)'!$D$12:$K$94,8,FALSE)</f>
        <v>0.25</v>
      </c>
      <c r="M76" s="107">
        <f t="shared" si="5"/>
        <v>61.316876039164981</v>
      </c>
      <c r="N76" s="112"/>
      <c r="O76" s="265"/>
      <c r="P76" s="265"/>
      <c r="Q76" s="113">
        <f t="shared" si="6"/>
        <v>43</v>
      </c>
      <c r="R76" s="114">
        <v>61</v>
      </c>
      <c r="S76" s="144" t="e">
        <f t="shared" ca="1" si="7"/>
        <v>#N/A</v>
      </c>
      <c r="T76" s="115" t="e">
        <f t="shared" ca="1" si="4"/>
        <v>#N/A</v>
      </c>
    </row>
  </sheetData>
  <sheetProtection formatCells="0" formatColumns="0" formatRows="0" insertColumns="0" insertRows="0" insertHyperlinks="0" deleteColumns="0" deleteRows="0" sort="0" autoFilter="0" pivotTables="0"/>
  <mergeCells count="8">
    <mergeCell ref="R12:T13"/>
    <mergeCell ref="B12:B13"/>
    <mergeCell ref="C12:C13"/>
    <mergeCell ref="D12:D13"/>
    <mergeCell ref="Q11:Q14"/>
    <mergeCell ref="M12:M13"/>
    <mergeCell ref="N12:N13"/>
    <mergeCell ref="F12:J12"/>
  </mergeCells>
  <phoneticPr fontId="34" type="noConversion"/>
  <conditionalFormatting sqref="B16:L76 N16:N76 Q16:T76">
    <cfRule type="expression" dxfId="6" priority="5" stopIfTrue="1">
      <formula>MOD(ROW(),2)</formula>
    </cfRule>
  </conditionalFormatting>
  <conditionalFormatting sqref="E16:E76">
    <cfRule type="cellIs" dxfId="5" priority="4" stopIfTrue="1" operator="equal">
      <formula>"DESCARTADO"</formula>
    </cfRule>
  </conditionalFormatting>
  <conditionalFormatting sqref="F16:M76">
    <cfRule type="cellIs" dxfId="4" priority="6" stopIfTrue="1" operator="greaterThan">
      <formula>1</formula>
    </cfRule>
    <cfRule type="cellIs" dxfId="3" priority="7" stopIfTrue="1" operator="equal">
      <formula>0</formula>
    </cfRule>
  </conditionalFormatting>
  <pageMargins left="0.7" right="0.7" top="0.75" bottom="0.75" header="0.3" footer="0.3"/>
  <pageSetup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B1:AI80"/>
  <sheetViews>
    <sheetView topLeftCell="A11" workbookViewId="0">
      <selection activeCell="F32" sqref="F32"/>
    </sheetView>
  </sheetViews>
  <sheetFormatPr baseColWidth="10" defaultColWidth="11.44140625" defaultRowHeight="13.2" x14ac:dyDescent="0.25"/>
  <cols>
    <col min="1" max="1" width="2.6640625" style="30" customWidth="1"/>
    <col min="2" max="3" width="6.6640625" style="30" customWidth="1"/>
    <col min="4" max="4" width="29.109375" style="30" customWidth="1"/>
    <col min="5" max="5" width="26.109375" style="30" bestFit="1" customWidth="1"/>
    <col min="6" max="8" width="15.44140625" style="30" customWidth="1"/>
    <col min="9" max="9" width="21.6640625" style="33" customWidth="1"/>
    <col min="10" max="10" width="12.6640625" style="28" hidden="1" customWidth="1"/>
    <col min="11" max="11" width="11.33203125" style="29" hidden="1" customWidth="1"/>
    <col min="12" max="12" width="11.44140625" style="30" hidden="1" customWidth="1"/>
    <col min="13" max="13" width="2.109375" style="30" customWidth="1"/>
    <col min="14" max="14" width="15.109375" style="30" customWidth="1"/>
    <col min="15" max="16384" width="11.44140625" style="30"/>
  </cols>
  <sheetData>
    <row r="1" spans="2:35" ht="17.399999999999999" x14ac:dyDescent="0.25">
      <c r="B1" s="52" t="str">
        <f>'RESUMEN-M (1)'!B1</f>
        <v>INSTITUTO NACIONAL DE VÍAS</v>
      </c>
      <c r="C1" s="52"/>
      <c r="D1" s="27"/>
      <c r="E1" s="27"/>
      <c r="F1" s="27"/>
      <c r="G1" s="27"/>
      <c r="H1" s="27"/>
      <c r="I1" s="27"/>
    </row>
    <row r="2" spans="2:35" ht="15.6" x14ac:dyDescent="0.25">
      <c r="B2" s="54" t="str">
        <f>'RESUMEN-M (1)'!B2</f>
        <v>DIRECCIÓN GENERAL</v>
      </c>
      <c r="C2" s="54"/>
      <c r="D2" s="31"/>
      <c r="E2" s="31"/>
      <c r="F2" s="31"/>
      <c r="G2" s="31"/>
      <c r="H2" s="31"/>
      <c r="I2" s="31"/>
    </row>
    <row r="3" spans="2:35" x14ac:dyDescent="0.25">
      <c r="B3" s="54" t="str">
        <f>'RESUMEN-M (1)'!B3</f>
        <v>DIRECCIÓN TERRITORIAL MAGDALENA</v>
      </c>
      <c r="C3" s="54"/>
      <c r="D3" s="32"/>
      <c r="E3" s="32"/>
      <c r="F3" s="32"/>
      <c r="G3" s="32"/>
      <c r="H3" s="32"/>
      <c r="I3" s="32"/>
    </row>
    <row r="4" spans="2:35" ht="15.6" hidden="1" x14ac:dyDescent="0.25">
      <c r="B4" s="54" t="e">
        <f>'RESUMEN-M (1)'!#REF!</f>
        <v>#REF!</v>
      </c>
      <c r="C4" s="54"/>
      <c r="D4" s="31"/>
      <c r="E4" s="31"/>
      <c r="F4" s="31"/>
      <c r="G4" s="31"/>
      <c r="H4" s="31"/>
      <c r="I4" s="31"/>
    </row>
    <row r="5" spans="2:35" ht="15.6" x14ac:dyDescent="0.25">
      <c r="B5" s="54" t="str">
        <f>'RESUMEN-M (1)'!B4</f>
        <v>CONCURSO DE MÉRITOS ABIERTO No  CMA-DT-MAG-001-2024</v>
      </c>
      <c r="C5" s="54"/>
      <c r="D5" s="31"/>
      <c r="E5" s="31"/>
      <c r="F5" s="31"/>
      <c r="G5" s="31"/>
      <c r="H5" s="31"/>
      <c r="I5" s="31"/>
    </row>
    <row r="6" spans="2:35" ht="39.6" x14ac:dyDescent="0.25">
      <c r="B6" s="54" t="str">
        <f>'RESUMEN-M (1)'!B5</f>
        <v>OBJETO: “INTERVENTORIA TÉCNICA, ADMINISTRATIVA, FINANCIERA Y AMBIENTAL, PARA EL MEJORAMIENTO Y MANTENIMIENTO DE LAS VÍAS: RICAURTE – HATOVIEJO CÓDIGO 78218 EN EL MUNICIPIO DE GUAMAL; Y SAN SEBASTIÁN - LOS GALVIS CÓDIGO 78141, EN EL MUNICIPIO DE SAN SEBASTIÁN DE BUENAVISTA, DEPARTAMENTO DEL MAGDALENA”.</v>
      </c>
      <c r="C6" s="54"/>
      <c r="D6" s="31"/>
      <c r="E6" s="31"/>
      <c r="F6" s="31"/>
      <c r="G6" s="31"/>
      <c r="H6" s="31"/>
      <c r="I6" s="31"/>
    </row>
    <row r="7" spans="2:35" ht="15.6" x14ac:dyDescent="0.25">
      <c r="B7" s="263">
        <f>'RESUMEN-M (1)'!B6</f>
        <v>0</v>
      </c>
      <c r="C7" s="54"/>
      <c r="D7" s="31"/>
      <c r="E7" s="31"/>
      <c r="F7" s="31"/>
      <c r="G7" s="31"/>
      <c r="H7" s="31"/>
      <c r="I7" s="31"/>
    </row>
    <row r="8" spans="2:35" ht="15.6" x14ac:dyDescent="0.25">
      <c r="B8" s="55" t="s">
        <v>84</v>
      </c>
      <c r="C8" s="55"/>
      <c r="D8" s="31"/>
      <c r="E8" s="31"/>
      <c r="F8" s="31"/>
      <c r="G8" s="31"/>
      <c r="H8" s="31"/>
      <c r="I8" s="31"/>
    </row>
    <row r="9" spans="2:35" ht="16.5" customHeight="1" thickBot="1" x14ac:dyDescent="0.3">
      <c r="B9" s="74" t="s">
        <v>85</v>
      </c>
      <c r="C9" s="74"/>
      <c r="D9" s="75"/>
      <c r="E9" s="75"/>
      <c r="F9" s="75"/>
      <c r="G9" s="75"/>
      <c r="H9" s="75"/>
      <c r="I9" s="75"/>
    </row>
    <row r="10" spans="2:35" ht="25.2" thickBot="1" x14ac:dyDescent="0.3">
      <c r="B10" s="468" t="s">
        <v>185</v>
      </c>
      <c r="C10" s="469"/>
      <c r="D10" s="469"/>
      <c r="E10" s="469"/>
      <c r="F10" s="469"/>
      <c r="G10" s="469"/>
      <c r="H10" s="469"/>
      <c r="I10" s="470"/>
    </row>
    <row r="11" spans="2:35" ht="27.75" customHeight="1" thickTop="1" x14ac:dyDescent="0.25">
      <c r="B11" s="471" t="s">
        <v>7</v>
      </c>
      <c r="C11" s="471" t="s">
        <v>87</v>
      </c>
      <c r="D11" s="472" t="s">
        <v>9</v>
      </c>
      <c r="E11" s="292" t="s">
        <v>88</v>
      </c>
      <c r="F11" s="291" t="s">
        <v>130</v>
      </c>
      <c r="G11" s="291"/>
      <c r="H11" s="473" t="s">
        <v>89</v>
      </c>
      <c r="I11" s="471" t="s">
        <v>121</v>
      </c>
      <c r="J11" s="488" t="s">
        <v>125</v>
      </c>
      <c r="K11" s="485" t="s">
        <v>126</v>
      </c>
      <c r="L11" s="485" t="s">
        <v>127</v>
      </c>
      <c r="N11" s="547" t="s">
        <v>186</v>
      </c>
      <c r="AF11" s="30" t="str">
        <f>UPPER(R11)</f>
        <v/>
      </c>
      <c r="AG11" s="30" t="str">
        <f>UPPER(S11)</f>
        <v/>
      </c>
      <c r="AH11" s="30" t="str">
        <f>UPPER(T11)</f>
        <v/>
      </c>
      <c r="AI11" s="30" t="str">
        <f>UPPER(U11)</f>
        <v/>
      </c>
    </row>
    <row r="12" spans="2:35" ht="27.75" customHeight="1" thickBot="1" x14ac:dyDescent="0.3">
      <c r="B12" s="444"/>
      <c r="C12" s="444"/>
      <c r="D12" s="446"/>
      <c r="E12" s="284" t="s">
        <v>91</v>
      </c>
      <c r="F12" s="284" t="s">
        <v>137</v>
      </c>
      <c r="G12" s="284"/>
      <c r="H12" s="427"/>
      <c r="I12" s="444"/>
      <c r="J12" s="489"/>
      <c r="K12" s="486"/>
      <c r="L12" s="486"/>
      <c r="N12" s="548"/>
    </row>
    <row r="13" spans="2:35" ht="10.5" customHeight="1" thickBot="1" x14ac:dyDescent="0.3">
      <c r="B13" s="76"/>
      <c r="C13" s="129"/>
      <c r="D13" s="77" t="s">
        <v>92</v>
      </c>
      <c r="E13" s="78">
        <f>COUNT(E17:E23)</f>
        <v>0</v>
      </c>
      <c r="F13" s="79"/>
      <c r="G13" s="146"/>
      <c r="H13" s="146"/>
      <c r="I13" s="88"/>
      <c r="J13" s="490"/>
      <c r="K13" s="487"/>
      <c r="L13" s="487"/>
    </row>
    <row r="14" spans="2:35" ht="10.5" customHeight="1" thickBot="1" x14ac:dyDescent="0.3">
      <c r="B14" s="80"/>
      <c r="C14" s="130"/>
      <c r="D14" s="86"/>
      <c r="E14" s="81"/>
      <c r="F14" s="82" t="s">
        <v>128</v>
      </c>
      <c r="G14" s="82"/>
      <c r="H14" s="82"/>
      <c r="I14" s="89" t="s">
        <v>93</v>
      </c>
    </row>
    <row r="15" spans="2:35" ht="12" customHeight="1" thickBot="1" x14ac:dyDescent="0.3">
      <c r="B15" s="83"/>
      <c r="C15" s="131"/>
      <c r="D15" s="84" t="s">
        <v>94</v>
      </c>
      <c r="E15" s="85" t="e">
        <f>#REF!</f>
        <v>#REF!</v>
      </c>
      <c r="F15" s="82" t="s">
        <v>129</v>
      </c>
      <c r="G15" s="82"/>
      <c r="H15" s="82"/>
      <c r="I15" s="89" t="s">
        <v>95</v>
      </c>
      <c r="J15" s="34"/>
      <c r="K15" s="35"/>
      <c r="L15" s="35"/>
    </row>
    <row r="16" spans="2:35" ht="13.8" thickBot="1" x14ac:dyDescent="0.3">
      <c r="B16" s="83"/>
      <c r="C16" s="131"/>
      <c r="D16" s="86" t="s">
        <v>187</v>
      </c>
      <c r="E16" s="87" t="e">
        <f>E15*0.9</f>
        <v>#REF!</v>
      </c>
      <c r="F16" s="82"/>
      <c r="G16" s="82"/>
      <c r="H16" s="82"/>
      <c r="I16" s="89"/>
      <c r="J16" s="34"/>
      <c r="K16" s="35"/>
      <c r="L16" s="35"/>
    </row>
    <row r="17" spans="2:14" ht="26.25" customHeight="1" thickBot="1" x14ac:dyDescent="0.3">
      <c r="B17" s="143">
        <v>1</v>
      </c>
      <c r="C17" s="143">
        <f>'RESUMEN-M (1)'!C12</f>
        <v>1</v>
      </c>
      <c r="D17" s="36" t="str">
        <f>'RESUMEN-M (1)'!D12</f>
        <v>CONSORCIO CAP-SAS</v>
      </c>
      <c r="E17" s="37" t="e">
        <f>IF(ISTEXT(#REF!),"DESCARTADO",#REF! )</f>
        <v>#REF!</v>
      </c>
      <c r="F17" s="157" t="e">
        <f>ABS($E$27-E17)</f>
        <v>#REF!</v>
      </c>
      <c r="G17" s="149" t="e">
        <f>IF(F17&gt;0,F17)</f>
        <v>#REF!</v>
      </c>
      <c r="H17" s="164" t="e">
        <f>($E$15-E17)/$E$15</f>
        <v>#REF!</v>
      </c>
      <c r="I17" s="37" t="e">
        <f>IF(E17="DESCARTADO","",IF(E17&lt;$E$33,$E$28*(1-(($E$33-E17)/$E$33)),$E$28*(1-2*(ABS($E$33-E17)/$E$33))))</f>
        <v>#REF!</v>
      </c>
      <c r="J17" s="38" t="e">
        <f>IF(#REF!&lt;&gt;"",#REF!/$E$15,"")</f>
        <v>#REF!</v>
      </c>
      <c r="K17" s="39" t="e">
        <f>IF(#REF!&lt;&gt;"",#REF!/$E$29,"")</f>
        <v>#REF!</v>
      </c>
      <c r="L17" s="39" t="e">
        <f>IF(#REF!&lt;&gt;"",#REF!/#REF!,"")</f>
        <v>#REF!</v>
      </c>
      <c r="N17" s="188" t="e">
        <f>IF(E17&gt;=$E$16,E17,"DESCARTADO")</f>
        <v>#REF!</v>
      </c>
    </row>
    <row r="18" spans="2:14" ht="26.25" customHeight="1" thickBot="1" x14ac:dyDescent="0.3">
      <c r="B18" s="143">
        <v>2</v>
      </c>
      <c r="C18" s="143">
        <f>'RESUMEN-M (1)'!C13</f>
        <v>2</v>
      </c>
      <c r="D18" s="36" t="str">
        <f>'RESUMEN-M (1)'!D13</f>
        <v>BRAIN INGENIERIA VIAL SAS</v>
      </c>
      <c r="E18" s="37"/>
      <c r="F18" s="157" t="e">
        <f>ABS($E$27-E18)</f>
        <v>#REF!</v>
      </c>
      <c r="G18" s="149" t="e">
        <f>IF(F18&gt;0,F18)</f>
        <v>#REF!</v>
      </c>
      <c r="H18" s="164" t="e">
        <f>($E$15-E18)/$E$15</f>
        <v>#REF!</v>
      </c>
      <c r="I18" s="37"/>
      <c r="J18" s="38"/>
      <c r="K18" s="39"/>
      <c r="L18" s="39"/>
      <c r="N18" s="188" t="e">
        <f>IF(E18&gt;=$E$16,E18,"DESCARTADO")</f>
        <v>#REF!</v>
      </c>
    </row>
    <row r="19" spans="2:14" ht="26.25" customHeight="1" thickBot="1" x14ac:dyDescent="0.3">
      <c r="B19" s="143">
        <v>3</v>
      </c>
      <c r="C19" s="143">
        <f>'RESUMEN-M (1)'!C14</f>
        <v>3</v>
      </c>
      <c r="D19" s="36" t="str">
        <f>'RESUMEN-M (1)'!D14</f>
        <v>CONSORCIO INTER CONSTR
UCCION VIAL</v>
      </c>
      <c r="E19" s="37" t="e">
        <f>IF(ISTEXT(#REF!),"DESCARTADO",#REF!)</f>
        <v>#REF!</v>
      </c>
      <c r="F19" s="157" t="e">
        <f>ABS($E$27-E19)</f>
        <v>#REF!</v>
      </c>
      <c r="G19" s="149" t="e">
        <f>IF(F19&gt;0,F19)</f>
        <v>#REF!</v>
      </c>
      <c r="H19" s="164" t="e">
        <f>($E$15-E19)/$E$15</f>
        <v>#REF!</v>
      </c>
      <c r="I19" s="37" t="e">
        <f>IF(E19="DESCARTADO","",IF(E19&lt;$E$33,$E$28*(1-(($E$33-E19)/$E$33)),$E$28*(1-2*(ABS($E$33-E19)/$E$33))))</f>
        <v>#REF!</v>
      </c>
      <c r="J19" s="38"/>
      <c r="K19" s="39"/>
      <c r="L19" s="39"/>
      <c r="N19" s="188" t="e">
        <f>IF(E19&gt;=$E$16,E19,"DESCARTADO")</f>
        <v>#REF!</v>
      </c>
    </row>
    <row r="20" spans="2:14" ht="26.25" customHeight="1" thickBot="1" x14ac:dyDescent="0.3">
      <c r="B20" s="143"/>
      <c r="C20" s="143"/>
      <c r="D20" s="36"/>
      <c r="E20" s="37"/>
      <c r="F20" s="157"/>
      <c r="G20" s="149"/>
      <c r="H20" s="164"/>
      <c r="I20" s="37"/>
      <c r="J20" s="38"/>
      <c r="K20" s="39"/>
      <c r="L20" s="39"/>
      <c r="N20" s="246"/>
    </row>
    <row r="21" spans="2:14" ht="26.25" hidden="1" customHeight="1" x14ac:dyDescent="0.25">
      <c r="B21" s="143"/>
      <c r="C21" s="143"/>
      <c r="D21" s="36"/>
      <c r="E21" s="37"/>
      <c r="F21" s="157"/>
      <c r="G21" s="149"/>
      <c r="H21" s="164"/>
      <c r="I21" s="37"/>
      <c r="J21" s="38"/>
      <c r="K21" s="39"/>
      <c r="L21" s="39"/>
      <c r="N21" s="188"/>
    </row>
    <row r="22" spans="2:14" ht="26.25" hidden="1" customHeight="1" x14ac:dyDescent="0.25">
      <c r="B22" s="143"/>
      <c r="C22" s="143"/>
      <c r="D22" s="36"/>
      <c r="E22" s="37"/>
      <c r="F22" s="157"/>
      <c r="G22" s="149"/>
      <c r="H22" s="164"/>
      <c r="I22" s="37"/>
      <c r="J22" s="38"/>
      <c r="K22" s="39"/>
      <c r="L22" s="39"/>
      <c r="N22" s="37"/>
    </row>
    <row r="23" spans="2:14" ht="26.25" hidden="1" customHeight="1" thickBot="1" x14ac:dyDescent="0.3">
      <c r="B23" s="143"/>
      <c r="C23" s="143"/>
      <c r="D23" s="36"/>
      <c r="E23" s="37"/>
      <c r="F23" s="157"/>
      <c r="G23" s="149"/>
      <c r="H23" s="164"/>
      <c r="I23" s="37"/>
      <c r="J23" s="38"/>
      <c r="K23" s="39"/>
      <c r="L23" s="39"/>
      <c r="N23" s="189"/>
    </row>
    <row r="24" spans="2:14" ht="13.8" hidden="1" thickBot="1" x14ac:dyDescent="0.3">
      <c r="B24" s="40"/>
      <c r="C24" s="132"/>
      <c r="D24" s="41"/>
      <c r="E24" s="42"/>
      <c r="F24" s="51" t="s">
        <v>130</v>
      </c>
      <c r="G24" s="51"/>
      <c r="H24" s="165"/>
      <c r="I24" s="37" t="e">
        <f>IF(E24="DESCARTADO","",IF(E24&lt;$E$33,$E$28*(1-(($E$33-E24)/$E$33)),$E$28*(1-2*(ABS($E$33-E24)/$E$33))))</f>
        <v>#REF!</v>
      </c>
      <c r="J24" s="38"/>
      <c r="K24" s="39"/>
      <c r="L24" s="39"/>
    </row>
    <row r="25" spans="2:14" ht="13.8" hidden="1" thickBot="1" x14ac:dyDescent="0.3">
      <c r="B25" s="43"/>
      <c r="C25" s="133"/>
      <c r="D25" s="44"/>
      <c r="E25" s="45"/>
      <c r="F25" s="165" t="s">
        <v>129</v>
      </c>
      <c r="G25" s="165"/>
      <c r="H25" s="165"/>
      <c r="I25" s="37" t="e">
        <f>IF(E25="DESCARTADO","",IF(E25&lt;$E$33,$E$28*(1-(($E$33-E25)/$E$33)),$E$28*(1-2*(ABS($E$33-E25)/$E$33))))</f>
        <v>#REF!</v>
      </c>
      <c r="J25" s="38"/>
      <c r="K25" s="39"/>
      <c r="L25" s="39"/>
    </row>
    <row r="26" spans="2:14" ht="13.8" thickBot="1" x14ac:dyDescent="0.3">
      <c r="B26" s="423"/>
      <c r="C26" s="424"/>
      <c r="D26" s="424"/>
      <c r="E26" s="425"/>
      <c r="F26" s="549"/>
      <c r="G26" s="550"/>
      <c r="H26" s="550"/>
      <c r="I26" s="550"/>
      <c r="J26" s="38"/>
      <c r="K26" s="39"/>
      <c r="L26" s="39"/>
    </row>
    <row r="27" spans="2:14" x14ac:dyDescent="0.25">
      <c r="B27" s="437" t="s">
        <v>185</v>
      </c>
      <c r="C27" s="438"/>
      <c r="D27" s="491"/>
      <c r="E27" s="46" t="e">
        <f>AVERAGE(E17:E23)</f>
        <v>#REF!</v>
      </c>
      <c r="F27" s="290"/>
      <c r="G27" s="290"/>
      <c r="H27" s="290"/>
      <c r="I27" s="495"/>
      <c r="J27" s="38"/>
      <c r="K27" s="39"/>
      <c r="L27" s="39"/>
    </row>
    <row r="28" spans="2:14" x14ac:dyDescent="0.25">
      <c r="B28" s="475" t="s">
        <v>134</v>
      </c>
      <c r="C28" s="476"/>
      <c r="D28" s="477"/>
      <c r="E28" s="47">
        <v>800</v>
      </c>
      <c r="F28" s="290"/>
      <c r="G28" s="290"/>
      <c r="H28" s="290"/>
      <c r="I28" s="495"/>
      <c r="J28" s="38"/>
      <c r="K28" s="39"/>
      <c r="L28" s="39"/>
    </row>
    <row r="29" spans="2:14" ht="18.75" customHeight="1" x14ac:dyDescent="0.25">
      <c r="B29" s="475" t="s">
        <v>135</v>
      </c>
      <c r="C29" s="476"/>
      <c r="D29" s="477"/>
      <c r="E29" s="48" t="e">
        <f>MAX(E17:E23)</f>
        <v>#REF!</v>
      </c>
      <c r="F29" s="288"/>
      <c r="G29" s="288"/>
      <c r="H29" s="288"/>
      <c r="I29" s="481"/>
      <c r="J29" s="38"/>
      <c r="K29" s="39"/>
      <c r="L29" s="39"/>
    </row>
    <row r="30" spans="2:14" ht="13.8" thickBot="1" x14ac:dyDescent="0.3">
      <c r="B30" s="478" t="s">
        <v>136</v>
      </c>
      <c r="C30" s="479"/>
      <c r="D30" s="480"/>
      <c r="E30" s="49" t="e">
        <f>MIN(E16:E23)</f>
        <v>#REF!</v>
      </c>
      <c r="F30" s="288"/>
      <c r="G30" s="288"/>
      <c r="H30" s="288"/>
      <c r="I30" s="481"/>
      <c r="J30" s="38"/>
      <c r="K30" s="39"/>
      <c r="L30" s="39"/>
    </row>
    <row r="31" spans="2:14" ht="13.5" customHeight="1" x14ac:dyDescent="0.25">
      <c r="B31" s="437"/>
      <c r="C31" s="438"/>
      <c r="D31" s="491"/>
      <c r="E31" s="46"/>
      <c r="F31" s="288"/>
      <c r="G31" s="288"/>
      <c r="H31" s="288"/>
      <c r="I31" s="481"/>
      <c r="J31" s="38"/>
      <c r="K31" s="39"/>
      <c r="L31" s="39"/>
    </row>
    <row r="32" spans="2:14" x14ac:dyDescent="0.25">
      <c r="B32" s="475" t="s">
        <v>188</v>
      </c>
      <c r="C32" s="476"/>
      <c r="D32" s="477"/>
      <c r="E32" s="47" t="e">
        <f>MAX(E17:E23)</f>
        <v>#REF!</v>
      </c>
      <c r="F32" s="288"/>
      <c r="G32" s="288"/>
      <c r="H32" s="288"/>
      <c r="I32" s="481"/>
      <c r="J32" s="38"/>
      <c r="K32" s="39"/>
      <c r="L32" s="39"/>
    </row>
    <row r="33" spans="2:12" ht="13.5" customHeight="1" x14ac:dyDescent="0.25">
      <c r="B33" s="475" t="s">
        <v>185</v>
      </c>
      <c r="C33" s="476"/>
      <c r="D33" s="477"/>
      <c r="E33" s="48" t="e">
        <f>(E32+E27)/2</f>
        <v>#REF!</v>
      </c>
      <c r="F33" s="288"/>
      <c r="G33" s="288"/>
      <c r="H33" s="288"/>
      <c r="I33" s="481"/>
      <c r="J33" s="38"/>
      <c r="K33" s="39"/>
      <c r="L33" s="39"/>
    </row>
    <row r="34" spans="2:12" ht="13.8" thickBot="1" x14ac:dyDescent="0.3">
      <c r="B34" s="478"/>
      <c r="C34" s="479"/>
      <c r="D34" s="480"/>
      <c r="E34" s="49"/>
      <c r="F34" s="288"/>
      <c r="G34" s="288"/>
      <c r="H34" s="288"/>
      <c r="I34" s="481"/>
      <c r="J34" s="38"/>
      <c r="K34" s="39"/>
      <c r="L34" s="39"/>
    </row>
    <row r="35" spans="2:12" ht="13.5" customHeight="1" x14ac:dyDescent="0.25">
      <c r="B35" s="484"/>
      <c r="C35" s="484"/>
      <c r="D35" s="484"/>
      <c r="E35" s="156"/>
      <c r="F35" s="295"/>
      <c r="G35" s="295"/>
      <c r="H35" s="295"/>
      <c r="I35" s="481"/>
      <c r="J35" s="38"/>
      <c r="K35" s="39"/>
      <c r="L35" s="39"/>
    </row>
    <row r="36" spans="2:12" ht="13.5" customHeight="1" x14ac:dyDescent="0.25">
      <c r="B36" s="474"/>
      <c r="C36" s="474"/>
      <c r="D36" s="474"/>
      <c r="E36" s="45"/>
      <c r="F36" s="295"/>
      <c r="G36" s="295"/>
      <c r="H36" s="295"/>
      <c r="I36" s="481"/>
      <c r="J36" s="38"/>
      <c r="K36" s="39"/>
      <c r="L36" s="39"/>
    </row>
    <row r="37" spans="2:12" ht="13.5" customHeight="1" x14ac:dyDescent="0.25">
      <c r="B37" s="474"/>
      <c r="C37" s="474"/>
      <c r="D37" s="474"/>
      <c r="E37" s="168"/>
      <c r="F37" s="496"/>
      <c r="G37" s="287"/>
      <c r="H37" s="287"/>
      <c r="I37" s="481"/>
      <c r="J37" s="38"/>
      <c r="K37" s="39"/>
      <c r="L37" s="39"/>
    </row>
    <row r="38" spans="2:12" ht="16.5" customHeight="1" x14ac:dyDescent="0.25">
      <c r="B38" s="474"/>
      <c r="C38" s="474"/>
      <c r="D38" s="474"/>
      <c r="E38" s="45"/>
      <c r="F38" s="496"/>
      <c r="G38" s="287"/>
      <c r="H38" s="287"/>
      <c r="I38" s="481"/>
      <c r="J38" s="38"/>
      <c r="K38" s="39"/>
      <c r="L38" s="39"/>
    </row>
    <row r="41" spans="2:12" x14ac:dyDescent="0.25">
      <c r="F41" s="50"/>
      <c r="G41" s="50"/>
      <c r="H41" s="50"/>
    </row>
    <row r="57" spans="16:24" x14ac:dyDescent="0.25">
      <c r="P57" s="147"/>
      <c r="Q57" s="147"/>
      <c r="R57" s="147"/>
      <c r="S57" s="147"/>
      <c r="T57" s="147"/>
      <c r="U57" s="147"/>
      <c r="V57" s="147"/>
      <c r="W57" s="147"/>
      <c r="X57" s="147"/>
    </row>
    <row r="58" spans="16:24" x14ac:dyDescent="0.25">
      <c r="P58" s="147"/>
      <c r="Q58" s="147"/>
      <c r="R58" s="147"/>
      <c r="S58" s="147"/>
      <c r="T58" s="147"/>
      <c r="U58" s="147"/>
      <c r="V58" s="147"/>
      <c r="W58" s="147"/>
      <c r="X58" s="147"/>
    </row>
    <row r="59" spans="16:24" x14ac:dyDescent="0.25">
      <c r="P59" s="147"/>
      <c r="Q59" s="147"/>
      <c r="R59" s="147"/>
      <c r="S59" s="147"/>
      <c r="T59" s="147"/>
      <c r="U59" s="147"/>
      <c r="V59" s="147"/>
      <c r="W59" s="147"/>
      <c r="X59" s="147"/>
    </row>
    <row r="60" spans="16:24" x14ac:dyDescent="0.25">
      <c r="P60" s="147"/>
      <c r="Q60" s="147"/>
      <c r="R60" s="147"/>
      <c r="S60" s="147"/>
      <c r="T60" s="147"/>
      <c r="U60" s="147"/>
      <c r="V60" s="147"/>
      <c r="W60" s="147"/>
      <c r="X60" s="147"/>
    </row>
    <row r="61" spans="16:24" x14ac:dyDescent="0.25">
      <c r="P61" s="147"/>
      <c r="Q61" s="147"/>
      <c r="R61" s="147"/>
      <c r="S61" s="147"/>
      <c r="T61" s="147"/>
      <c r="U61" s="147"/>
      <c r="V61" s="147"/>
      <c r="W61" s="147"/>
      <c r="X61" s="147"/>
    </row>
    <row r="62" spans="16:24" x14ac:dyDescent="0.25">
      <c r="P62" s="147"/>
      <c r="Q62" s="147"/>
      <c r="R62" s="147"/>
      <c r="S62" s="147"/>
      <c r="T62" s="147"/>
      <c r="U62" s="147"/>
      <c r="V62" s="147"/>
      <c r="W62" s="147"/>
      <c r="X62" s="147"/>
    </row>
    <row r="63" spans="16:24" x14ac:dyDescent="0.25">
      <c r="P63" s="147"/>
      <c r="Q63" s="147"/>
      <c r="R63" s="147"/>
      <c r="S63" s="147"/>
      <c r="T63" s="147"/>
      <c r="U63" s="147"/>
      <c r="V63" s="147"/>
      <c r="W63" s="147"/>
      <c r="X63" s="147"/>
    </row>
    <row r="64" spans="16:24" x14ac:dyDescent="0.25">
      <c r="P64" s="147"/>
      <c r="Q64" s="147"/>
      <c r="R64" s="147"/>
      <c r="S64" s="147"/>
      <c r="T64" s="147"/>
      <c r="U64" s="147"/>
      <c r="V64" s="147"/>
      <c r="W64" s="147"/>
      <c r="X64" s="147"/>
    </row>
    <row r="65" spans="16:24" x14ac:dyDescent="0.25">
      <c r="P65" s="147"/>
      <c r="Q65" s="147"/>
      <c r="R65" s="147"/>
      <c r="S65" s="147"/>
      <c r="T65" s="147"/>
      <c r="U65" s="147"/>
      <c r="V65" s="147"/>
      <c r="W65" s="147"/>
      <c r="X65" s="147"/>
    </row>
    <row r="66" spans="16:24" x14ac:dyDescent="0.25">
      <c r="P66" s="147"/>
      <c r="Q66" s="147"/>
      <c r="R66" s="147"/>
      <c r="S66" s="147"/>
      <c r="T66" s="147"/>
      <c r="U66" s="147"/>
      <c r="V66" s="147"/>
      <c r="W66" s="147"/>
      <c r="X66" s="147"/>
    </row>
    <row r="67" spans="16:24" x14ac:dyDescent="0.25">
      <c r="P67" s="147"/>
      <c r="Q67" s="147"/>
      <c r="R67" s="147"/>
      <c r="S67" s="147"/>
      <c r="T67" s="147"/>
      <c r="U67" s="147"/>
      <c r="V67" s="147"/>
      <c r="W67" s="147"/>
      <c r="X67" s="147"/>
    </row>
    <row r="68" spans="16:24" x14ac:dyDescent="0.25">
      <c r="P68" s="147"/>
      <c r="Q68" s="147"/>
      <c r="R68" s="147"/>
      <c r="S68" s="147"/>
      <c r="T68" s="147"/>
      <c r="U68" s="147"/>
      <c r="V68" s="147"/>
      <c r="W68" s="147"/>
      <c r="X68" s="147"/>
    </row>
    <row r="69" spans="16:24" x14ac:dyDescent="0.25">
      <c r="P69" s="147"/>
      <c r="Q69" s="147"/>
      <c r="R69" s="147"/>
      <c r="S69" s="147"/>
      <c r="T69" s="147"/>
      <c r="U69" s="147"/>
      <c r="V69" s="147"/>
      <c r="W69" s="147"/>
      <c r="X69" s="147"/>
    </row>
    <row r="70" spans="16:24" x14ac:dyDescent="0.25">
      <c r="P70" s="147"/>
      <c r="Q70" s="147"/>
      <c r="R70" s="147"/>
      <c r="S70" s="147"/>
      <c r="T70" s="147"/>
      <c r="U70" s="147"/>
      <c r="V70" s="147"/>
      <c r="W70" s="147"/>
      <c r="X70" s="147"/>
    </row>
    <row r="71" spans="16:24" x14ac:dyDescent="0.25">
      <c r="P71" s="147"/>
      <c r="Q71" s="147"/>
      <c r="R71" s="147"/>
      <c r="S71" s="147"/>
      <c r="T71" s="147"/>
      <c r="U71" s="147"/>
      <c r="V71" s="147"/>
      <c r="W71" s="147"/>
      <c r="X71" s="147"/>
    </row>
    <row r="72" spans="16:24" x14ac:dyDescent="0.25">
      <c r="P72" s="147"/>
      <c r="Q72" s="147"/>
      <c r="R72" s="147"/>
      <c r="S72" s="147"/>
      <c r="T72" s="147"/>
      <c r="U72" s="147"/>
      <c r="V72" s="147"/>
      <c r="W72" s="147"/>
      <c r="X72" s="147"/>
    </row>
    <row r="73" spans="16:24" x14ac:dyDescent="0.25">
      <c r="P73" s="147"/>
      <c r="Q73" s="147"/>
      <c r="R73" s="147"/>
      <c r="S73" s="147"/>
      <c r="T73" s="147"/>
      <c r="U73" s="147"/>
      <c r="V73" s="147"/>
      <c r="W73" s="147"/>
      <c r="X73" s="147"/>
    </row>
    <row r="74" spans="16:24" x14ac:dyDescent="0.25">
      <c r="P74" s="147"/>
      <c r="Q74" s="147"/>
      <c r="R74" s="147"/>
      <c r="S74" s="147"/>
      <c r="T74" s="147"/>
      <c r="U74" s="147"/>
      <c r="V74" s="147"/>
      <c r="W74" s="147"/>
      <c r="X74" s="147"/>
    </row>
    <row r="75" spans="16:24" x14ac:dyDescent="0.25">
      <c r="P75" s="147"/>
      <c r="Q75" s="147"/>
      <c r="R75" s="147"/>
      <c r="S75" s="147"/>
      <c r="T75" s="147"/>
      <c r="U75" s="147"/>
      <c r="V75" s="147"/>
      <c r="W75" s="147"/>
      <c r="X75" s="147"/>
    </row>
    <row r="76" spans="16:24" x14ac:dyDescent="0.25">
      <c r="P76" s="147"/>
      <c r="Q76" s="147"/>
      <c r="R76" s="147"/>
      <c r="S76" s="147"/>
      <c r="T76" s="147"/>
      <c r="U76" s="147"/>
      <c r="V76" s="147"/>
      <c r="W76" s="147"/>
      <c r="X76" s="147"/>
    </row>
    <row r="77" spans="16:24" x14ac:dyDescent="0.25">
      <c r="P77" s="147"/>
      <c r="Q77" s="147"/>
      <c r="R77" s="147"/>
      <c r="S77" s="147"/>
      <c r="T77" s="147"/>
      <c r="U77" s="147"/>
      <c r="V77" s="147"/>
      <c r="W77" s="147"/>
      <c r="X77" s="147"/>
    </row>
    <row r="78" spans="16:24" x14ac:dyDescent="0.25">
      <c r="P78" s="147"/>
      <c r="Q78" s="147"/>
      <c r="R78" s="147"/>
      <c r="S78" s="147"/>
      <c r="T78" s="147"/>
      <c r="U78" s="147"/>
      <c r="V78" s="147"/>
      <c r="W78" s="147"/>
      <c r="X78" s="147"/>
    </row>
    <row r="79" spans="16:24" x14ac:dyDescent="0.25">
      <c r="P79" s="147"/>
      <c r="Q79" s="147"/>
      <c r="R79" s="147"/>
      <c r="S79" s="147"/>
      <c r="T79" s="147"/>
      <c r="U79" s="147"/>
      <c r="V79" s="147"/>
      <c r="W79" s="147"/>
      <c r="X79" s="147"/>
    </row>
    <row r="80" spans="16:24" x14ac:dyDescent="0.25">
      <c r="P80" s="147"/>
      <c r="Q80" s="147"/>
      <c r="R80" s="147"/>
      <c r="S80" s="147"/>
      <c r="T80" s="147"/>
      <c r="U80" s="147"/>
      <c r="V80" s="147"/>
      <c r="W80" s="147"/>
      <c r="X80" s="147"/>
    </row>
  </sheetData>
  <mergeCells count="31">
    <mergeCell ref="B30:D30"/>
    <mergeCell ref="I29:I30"/>
    <mergeCell ref="B32:D32"/>
    <mergeCell ref="B10:I10"/>
    <mergeCell ref="B11:B12"/>
    <mergeCell ref="C11:C12"/>
    <mergeCell ref="D11:D12"/>
    <mergeCell ref="I11:I12"/>
    <mergeCell ref="B37:D37"/>
    <mergeCell ref="F37:F38"/>
    <mergeCell ref="I37:I38"/>
    <mergeCell ref="B38:D38"/>
    <mergeCell ref="B31:D31"/>
    <mergeCell ref="I33:I34"/>
    <mergeCell ref="I35:I36"/>
    <mergeCell ref="B33:D33"/>
    <mergeCell ref="I31:I32"/>
    <mergeCell ref="B34:D34"/>
    <mergeCell ref="B36:D36"/>
    <mergeCell ref="B35:D35"/>
    <mergeCell ref="N11:N12"/>
    <mergeCell ref="I27:I28"/>
    <mergeCell ref="B28:D28"/>
    <mergeCell ref="B27:D27"/>
    <mergeCell ref="B29:D29"/>
    <mergeCell ref="L11:L13"/>
    <mergeCell ref="H11:H12"/>
    <mergeCell ref="K11:K13"/>
    <mergeCell ref="B26:E26"/>
    <mergeCell ref="F26:I26"/>
    <mergeCell ref="J11:J13"/>
  </mergeCells>
  <phoneticPr fontId="34" type="noConversion"/>
  <conditionalFormatting sqref="B17:I23 N17:N23 I24:I25">
    <cfRule type="expression" dxfId="2" priority="6" stopIfTrue="1">
      <formula>MOD(ROW(),2)</formula>
    </cfRule>
  </conditionalFormatting>
  <conditionalFormatting sqref="E17:E23 N17:N23">
    <cfRule type="cellIs" dxfId="1" priority="4" stopIfTrue="1" operator="equal">
      <formula>"DESCARTADO"</formula>
    </cfRule>
    <cfRule type="cellIs" dxfId="0" priority="5" stopIfTrue="1" operator="equal">
      <formula>"NO ADMISIBLE"</formula>
    </cfRule>
  </conditionalFormatting>
  <pageMargins left="0.7" right="0.7" top="0.75" bottom="0.75" header="0.3" footer="0.3"/>
  <pageSetup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Hoja1"/>
  <dimension ref="A1:C17"/>
  <sheetViews>
    <sheetView workbookViewId="0"/>
  </sheetViews>
  <sheetFormatPr baseColWidth="10" defaultColWidth="11.44140625" defaultRowHeight="13.2" x14ac:dyDescent="0.25"/>
  <cols>
    <col min="2" max="2" width="85.6640625" bestFit="1" customWidth="1"/>
    <col min="3" max="3" width="14.109375" bestFit="1" customWidth="1"/>
  </cols>
  <sheetData>
    <row r="1" spans="1:3" ht="15" thickTop="1" x14ac:dyDescent="0.25">
      <c r="A1" s="65" t="s">
        <v>189</v>
      </c>
      <c r="B1" s="122" t="s">
        <v>190</v>
      </c>
      <c r="C1" s="122" t="s">
        <v>191</v>
      </c>
    </row>
    <row r="2" spans="1:3" x14ac:dyDescent="0.25">
      <c r="A2" s="66">
        <v>1</v>
      </c>
      <c r="B2" s="73" t="s">
        <v>192</v>
      </c>
      <c r="C2" s="123" t="s">
        <v>193</v>
      </c>
    </row>
    <row r="3" spans="1:3" x14ac:dyDescent="0.25">
      <c r="A3" s="67">
        <v>2</v>
      </c>
      <c r="B3" s="68" t="s">
        <v>194</v>
      </c>
      <c r="C3" s="124" t="s">
        <v>195</v>
      </c>
    </row>
    <row r="4" spans="1:3" ht="13.8" thickBot="1" x14ac:dyDescent="0.3">
      <c r="A4" s="66">
        <v>3</v>
      </c>
      <c r="B4" s="68" t="s">
        <v>196</v>
      </c>
      <c r="C4" s="125" t="s">
        <v>197</v>
      </c>
    </row>
    <row r="5" spans="1:3" ht="13.8" thickTop="1" x14ac:dyDescent="0.25">
      <c r="A5" s="67">
        <v>4</v>
      </c>
      <c r="B5" s="68" t="s">
        <v>198</v>
      </c>
    </row>
    <row r="6" spans="1:3" x14ac:dyDescent="0.25">
      <c r="A6" s="66">
        <v>5</v>
      </c>
      <c r="B6" s="68" t="s">
        <v>199</v>
      </c>
    </row>
    <row r="7" spans="1:3" x14ac:dyDescent="0.25">
      <c r="A7" s="67">
        <v>6</v>
      </c>
      <c r="B7" s="68" t="s">
        <v>200</v>
      </c>
    </row>
    <row r="8" spans="1:3" x14ac:dyDescent="0.25">
      <c r="A8" s="66">
        <v>7</v>
      </c>
      <c r="B8" s="68" t="s">
        <v>201</v>
      </c>
    </row>
    <row r="9" spans="1:3" x14ac:dyDescent="0.25">
      <c r="A9" s="67">
        <v>8</v>
      </c>
      <c r="B9" s="68" t="s">
        <v>202</v>
      </c>
    </row>
    <row r="10" spans="1:3" x14ac:dyDescent="0.25">
      <c r="A10" s="71">
        <v>9</v>
      </c>
      <c r="B10" s="72" t="s">
        <v>203</v>
      </c>
    </row>
    <row r="11" spans="1:3" x14ac:dyDescent="0.25">
      <c r="A11" s="71">
        <v>10</v>
      </c>
      <c r="B11" s="72" t="s">
        <v>204</v>
      </c>
    </row>
    <row r="12" spans="1:3" x14ac:dyDescent="0.25">
      <c r="A12" s="71">
        <v>11</v>
      </c>
      <c r="B12" s="72" t="s">
        <v>205</v>
      </c>
    </row>
    <row r="13" spans="1:3" x14ac:dyDescent="0.25">
      <c r="A13" s="71">
        <v>12</v>
      </c>
      <c r="B13" s="72"/>
    </row>
    <row r="14" spans="1:3" x14ac:dyDescent="0.25">
      <c r="A14" s="71">
        <v>13</v>
      </c>
      <c r="B14" s="72"/>
    </row>
    <row r="15" spans="1:3" x14ac:dyDescent="0.25">
      <c r="A15" s="71">
        <v>14</v>
      </c>
      <c r="B15" s="72"/>
    </row>
    <row r="16" spans="1:3" ht="13.8" thickBot="1" x14ac:dyDescent="0.3">
      <c r="A16" s="69">
        <v>15</v>
      </c>
      <c r="B16" s="70"/>
    </row>
    <row r="17" ht="13.8" thickTop="1" x14ac:dyDescent="0.25"/>
  </sheetData>
  <phoneticPr fontId="34" type="noConversion"/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66775E5E7C452745A02302AFA8D24C7A" ma:contentTypeVersion="12" ma:contentTypeDescription="Crear nuevo documento." ma:contentTypeScope="" ma:versionID="d6d25f38715fd21ee2671021fbc50417">
  <xsd:schema xmlns:xsd="http://www.w3.org/2001/XMLSchema" xmlns:xs="http://www.w3.org/2001/XMLSchema" xmlns:p="http://schemas.microsoft.com/office/2006/metadata/properties" xmlns:ns3="652546a0-539f-4b67-9921-798f0d76b8d0" xmlns:ns4="199fbe98-c528-420b-b95b-9b83404422b1" targetNamespace="http://schemas.microsoft.com/office/2006/metadata/properties" ma:root="true" ma:fieldsID="05bdd2266c3bc8361c38c14c211fd396" ns3:_="" ns4:_="">
    <xsd:import namespace="652546a0-539f-4b67-9921-798f0d76b8d0"/>
    <xsd:import namespace="199fbe98-c528-420b-b95b-9b83404422b1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MediaServiceDateTaken" minOccurs="0"/>
                <xsd:element ref="ns4:MediaServiceAutoTags" minOccurs="0"/>
                <xsd:element ref="ns4:MediaServiceGenerationTime" minOccurs="0"/>
                <xsd:element ref="ns4:MediaServiceEventHashCode" minOccurs="0"/>
                <xsd:element ref="ns4:MediaServiceOCR" minOccurs="0"/>
                <xsd:element ref="ns4:MediaServiceAutoKeyPoints" minOccurs="0"/>
                <xsd:element ref="ns4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52546a0-539f-4b67-9921-798f0d76b8d0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Hash de la sugerencia para compartir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99fbe98-c528-420b-b95b-9b83404422b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A70D0B27-5D2A-4F7C-A91E-676DF8FE8ED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52546a0-539f-4b67-9921-798f0d76b8d0"/>
    <ds:schemaRef ds:uri="199fbe98-c528-420b-b95b-9b83404422b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1DDC453-2233-4C6A-8E9D-DDA7A7B034F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E8FDDE7-8AA0-4E7F-BE8F-79666B1DDEDB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10</vt:i4>
      </vt:variant>
      <vt:variant>
        <vt:lpstr>Rangos con nombre</vt:lpstr>
      </vt:variant>
      <vt:variant>
        <vt:i4>8</vt:i4>
      </vt:variant>
    </vt:vector>
  </HeadingPairs>
  <TitlesOfParts>
    <vt:vector size="18" baseType="lpstr">
      <vt:lpstr>RESUMEN-M (1)</vt:lpstr>
      <vt:lpstr>Lista desplegable 1</vt:lpstr>
      <vt:lpstr>MEDIA GEOMETRICA</vt:lpstr>
      <vt:lpstr>ELEGIBILIDAD M GEOMETRICA</vt:lpstr>
      <vt:lpstr>MEDIA ARITMETICA</vt:lpstr>
      <vt:lpstr>ELEGIBILIDAD MEDIA ARITMETICA)</vt:lpstr>
      <vt:lpstr>PROM-CTOS EXP</vt:lpstr>
      <vt:lpstr>METODO DE PONDERACION</vt:lpstr>
      <vt:lpstr>ELEGIBILIDAD</vt:lpstr>
      <vt:lpstr>MEDIA ARITMETICA ALTA</vt:lpstr>
      <vt:lpstr>'ELEGIBILIDAD MEDIA ARITMETICA)'!Área_de_impresión</vt:lpstr>
      <vt:lpstr>'MEDIA ARITMETICA'!Área_de_impresión</vt:lpstr>
      <vt:lpstr>'METODO DE PONDERACION'!Área_de_impresión</vt:lpstr>
      <vt:lpstr>'RESUMEN-M (1)'!Área_de_impresión</vt:lpstr>
      <vt:lpstr>DEPENDENCIAS</vt:lpstr>
      <vt:lpstr>RESULTADO</vt:lpstr>
      <vt:lpstr>'ELEGIBILIDAD MEDIA ARITMETICA)'!Títulos_a_imprimir</vt:lpstr>
      <vt:lpstr>'MEDIA ARITMETICA'!Títulos_a_imprimir</vt:lpstr>
    </vt:vector>
  </TitlesOfParts>
  <Manager/>
  <Company>INSTITUTO NACIONAL DE VIAS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INGENIERO CIVIL GEOTECNISTA</dc:title>
  <dc:subject/>
  <dc:creator>Gustavo Cepeda</dc:creator>
  <cp:keywords/>
  <dc:description/>
  <cp:lastModifiedBy>Jorge Luis Garizao Cantillo</cp:lastModifiedBy>
  <cp:revision/>
  <dcterms:created xsi:type="dcterms:W3CDTF">2003-08-04T15:33:07Z</dcterms:created>
  <dcterms:modified xsi:type="dcterms:W3CDTF">2024-08-08T21:49:38Z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0x01010066775E5E7C452745A02302AFA8D24C7A</vt:lpwstr>
  </property>
</Properties>
</file>