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villadiego\Desktop\PROCESOS DE CONTRATACION SENA 2024\MC-ANT-CTPGA-019-2024 ADECUACIONES CAFETERIA\"/>
    </mc:Choice>
  </mc:AlternateContent>
  <xr:revisionPtr revIDLastSave="0" documentId="13_ncr:1_{EEF4B179-0045-4644-A22C-38C7B961FE50}" xr6:coauthVersionLast="47" xr6:coauthVersionMax="47" xr10:uidLastSave="{00000000-0000-0000-0000-000000000000}"/>
  <bookViews>
    <workbookView xWindow="-120" yWindow="-120" windowWidth="20730" windowHeight="11040" tabRatio="627" xr2:uid="{00000000-000D-0000-FFFF-FFFF00000000}"/>
  </bookViews>
  <sheets>
    <sheet name="PRESUPUESTO_ESTUDIO MERCADO " sheetId="3" r:id="rId1"/>
    <sheet name="APU ELECTRICO" sheetId="9" state="hidden" r:id="rId2"/>
    <sheet name="A.P.U PUERTAS" sheetId="7" state="hidden" r:id="rId3"/>
    <sheet name="A.PU. SANITARIO" sheetId="8" state="hidden" r:id="rId4"/>
    <sheet name="A.P.U. DESDE A-H" sheetId="4" state="hidden" r:id="rId5"/>
    <sheet name="A.P.A" sheetId="6" state="hidden" r:id="rId6"/>
    <sheet name="CUADRILLAS" sheetId="5" state="hidden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5" i="3" l="1"/>
  <c r="K23" i="3"/>
  <c r="L19" i="3"/>
  <c r="J23" i="3"/>
  <c r="F5" i="3"/>
  <c r="E7" i="3"/>
  <c r="F7" i="3" s="1"/>
  <c r="E8" i="3"/>
  <c r="F8" i="3" s="1"/>
  <c r="E9" i="3"/>
  <c r="F9" i="3" s="1"/>
  <c r="E10" i="3"/>
  <c r="F10" i="3" s="1"/>
  <c r="E11" i="3"/>
  <c r="F11" i="3" s="1"/>
  <c r="F12" i="3"/>
  <c r="F13" i="3"/>
  <c r="F14" i="3"/>
  <c r="E16" i="3"/>
  <c r="F16" i="3" s="1"/>
  <c r="F18" i="3"/>
  <c r="F19" i="3" l="1"/>
  <c r="F21" i="3" s="1"/>
  <c r="F23" i="3" s="1"/>
  <c r="F24" i="3" l="1"/>
  <c r="J18" i="3" l="1"/>
  <c r="J16" i="3"/>
  <c r="J8" i="3"/>
  <c r="J9" i="3"/>
  <c r="J10" i="3"/>
  <c r="J11" i="3"/>
  <c r="J12" i="3"/>
  <c r="J13" i="3"/>
  <c r="J14" i="3"/>
  <c r="J7" i="3"/>
  <c r="J5" i="3"/>
  <c r="J19" i="3" l="1"/>
  <c r="J21" i="3" s="1"/>
  <c r="J24" i="3" l="1"/>
  <c r="K16" i="3"/>
  <c r="H11" i="3"/>
  <c r="K11" i="3" s="1"/>
  <c r="H10" i="3"/>
  <c r="K10" i="3" s="1"/>
  <c r="H9" i="3"/>
  <c r="K9" i="3" s="1"/>
  <c r="H18" i="3"/>
  <c r="K18" i="3" s="1"/>
  <c r="H8" i="3"/>
  <c r="K8" i="3" s="1"/>
  <c r="H12" i="3"/>
  <c r="K12" i="3" s="1"/>
  <c r="H13" i="3"/>
  <c r="K13" i="3" s="1"/>
  <c r="H14" i="3"/>
  <c r="K14" i="3" s="1"/>
  <c r="H7" i="3"/>
  <c r="K7" i="3" s="1"/>
  <c r="H5" i="3"/>
  <c r="K5" i="3" s="1"/>
  <c r="J25" i="3" l="1"/>
  <c r="H19" i="3"/>
  <c r="H21" i="3" l="1"/>
  <c r="H23" i="3" s="1"/>
  <c r="K19" i="3"/>
  <c r="B164" i="4"/>
  <c r="H24" i="3" l="1"/>
  <c r="H25" i="3" s="1"/>
  <c r="I9" i="9"/>
  <c r="B2" i="9"/>
  <c r="I493" i="4" l="1"/>
  <c r="A505" i="4"/>
  <c r="B486" i="4"/>
  <c r="F413" i="4" l="1"/>
  <c r="I413" i="4" s="1"/>
  <c r="F412" i="4"/>
  <c r="I412" i="4" s="1"/>
  <c r="B393" i="4"/>
  <c r="I410" i="4"/>
  <c r="I409" i="4"/>
  <c r="I407" i="4"/>
  <c r="I406" i="4"/>
  <c r="I405" i="4"/>
  <c r="I404" i="4"/>
  <c r="I403" i="4"/>
  <c r="I402" i="4"/>
  <c r="I401" i="4"/>
  <c r="I400" i="4"/>
  <c r="G17" i="4"/>
  <c r="I17" i="4" s="1"/>
  <c r="I387" i="4"/>
  <c r="I11" i="7"/>
  <c r="F19" i="7"/>
  <c r="I10" i="7"/>
  <c r="F43" i="8"/>
  <c r="I43" i="8" s="1"/>
  <c r="I27" i="8" s="1"/>
  <c r="A43" i="8"/>
  <c r="I32" i="8"/>
  <c r="B24" i="8"/>
  <c r="I41" i="8"/>
  <c r="I38" i="8"/>
  <c r="I37" i="8"/>
  <c r="I36" i="8"/>
  <c r="I35" i="8"/>
  <c r="I34" i="8"/>
  <c r="I31" i="8"/>
  <c r="F391" i="4"/>
  <c r="F390" i="4"/>
  <c r="B371" i="4"/>
  <c r="I466" i="4"/>
  <c r="I443" i="4"/>
  <c r="B439" i="4"/>
  <c r="F459" i="4"/>
  <c r="F458" i="4"/>
  <c r="F482" i="4"/>
  <c r="F481" i="4"/>
  <c r="I481" i="4" s="1"/>
  <c r="A43" i="4"/>
  <c r="B24" i="4"/>
  <c r="I5" i="4"/>
  <c r="A20" i="4"/>
  <c r="I396" i="4" l="1"/>
  <c r="I414" i="4" s="1"/>
  <c r="H17" i="4"/>
  <c r="I45" i="8"/>
  <c r="F18" i="6" l="1"/>
  <c r="I18" i="6" s="1"/>
  <c r="I5" i="6" s="1"/>
  <c r="H10" i="6"/>
  <c r="I10" i="6" s="1"/>
  <c r="H9" i="6"/>
  <c r="I9" i="6" s="1"/>
  <c r="I6" i="6"/>
  <c r="M170" i="4"/>
  <c r="L173" i="4"/>
  <c r="H286" i="4"/>
  <c r="I207" i="7" l="1"/>
  <c r="I208" i="7"/>
  <c r="I75" i="7"/>
  <c r="I9" i="7"/>
  <c r="H513" i="4"/>
  <c r="H423" i="4"/>
  <c r="H311" i="4"/>
  <c r="A229" i="4"/>
  <c r="H100" i="4"/>
  <c r="H74" i="4"/>
  <c r="C6" i="5" l="1"/>
  <c r="F66" i="8" l="1"/>
  <c r="I66" i="8" s="1"/>
  <c r="F19" i="9"/>
  <c r="I19" i="9" s="1"/>
  <c r="F20" i="9"/>
  <c r="I17" i="9"/>
  <c r="G16" i="9"/>
  <c r="I16" i="9" s="1"/>
  <c r="I14" i="9"/>
  <c r="I13" i="9"/>
  <c r="I12" i="9"/>
  <c r="I11" i="9"/>
  <c r="I10" i="9"/>
  <c r="B48" i="8"/>
  <c r="I64" i="8"/>
  <c r="G63" i="8"/>
  <c r="I63" i="8" s="1"/>
  <c r="I61" i="8"/>
  <c r="I60" i="8"/>
  <c r="I59" i="8"/>
  <c r="I58" i="8"/>
  <c r="I56" i="8"/>
  <c r="I55" i="8"/>
  <c r="B1" i="8"/>
  <c r="B199" i="7"/>
  <c r="F217" i="7"/>
  <c r="I217" i="7" s="1"/>
  <c r="I202" i="7" s="1"/>
  <c r="I215" i="7"/>
  <c r="G214" i="7"/>
  <c r="I214" i="7" s="1"/>
  <c r="I212" i="7"/>
  <c r="I211" i="7"/>
  <c r="I210" i="7"/>
  <c r="I206" i="7"/>
  <c r="F20" i="8"/>
  <c r="I20" i="8" s="1"/>
  <c r="A20" i="8"/>
  <c r="I18" i="8"/>
  <c r="I15" i="8"/>
  <c r="I14" i="8"/>
  <c r="I13" i="8"/>
  <c r="I12" i="8"/>
  <c r="I11" i="8"/>
  <c r="I10" i="8"/>
  <c r="I9" i="8"/>
  <c r="I8" i="8"/>
  <c r="B177" i="7"/>
  <c r="F195" i="7"/>
  <c r="I195" i="7" s="1"/>
  <c r="I180" i="7" s="1"/>
  <c r="I193" i="7"/>
  <c r="G192" i="7"/>
  <c r="I192" i="7" s="1"/>
  <c r="I190" i="7"/>
  <c r="I189" i="7"/>
  <c r="I188" i="7"/>
  <c r="I184" i="7"/>
  <c r="B155" i="7"/>
  <c r="F173" i="7"/>
  <c r="I173" i="7" s="1"/>
  <c r="I158" i="7" s="1"/>
  <c r="I171" i="7"/>
  <c r="G170" i="7"/>
  <c r="I170" i="7" s="1"/>
  <c r="I168" i="7"/>
  <c r="I167" i="7"/>
  <c r="I166" i="7"/>
  <c r="I162" i="7"/>
  <c r="B133" i="7"/>
  <c r="F151" i="7"/>
  <c r="I151" i="7" s="1"/>
  <c r="I136" i="7" s="1"/>
  <c r="I149" i="7"/>
  <c r="G148" i="7"/>
  <c r="I148" i="7" s="1"/>
  <c r="I146" i="7"/>
  <c r="I145" i="7"/>
  <c r="I144" i="7"/>
  <c r="I140" i="7"/>
  <c r="B111" i="7"/>
  <c r="F129" i="7"/>
  <c r="I129" i="7" s="1"/>
  <c r="I114" i="7" s="1"/>
  <c r="I127" i="7"/>
  <c r="G126" i="7"/>
  <c r="H126" i="7" s="1"/>
  <c r="I124" i="7"/>
  <c r="I123" i="7"/>
  <c r="I122" i="7"/>
  <c r="I118" i="7"/>
  <c r="A107" i="7"/>
  <c r="B89" i="7"/>
  <c r="I105" i="7"/>
  <c r="G104" i="7"/>
  <c r="I104" i="7" s="1"/>
  <c r="I102" i="7"/>
  <c r="I101" i="7"/>
  <c r="I100" i="7"/>
  <c r="I96" i="7"/>
  <c r="B67" i="7"/>
  <c r="A85" i="7"/>
  <c r="I83" i="7"/>
  <c r="G82" i="7"/>
  <c r="I82" i="7" s="1"/>
  <c r="I80" i="7"/>
  <c r="I79" i="7"/>
  <c r="I78" i="7"/>
  <c r="I74" i="7"/>
  <c r="A63" i="7"/>
  <c r="B45" i="7"/>
  <c r="I61" i="7"/>
  <c r="G60" i="7"/>
  <c r="I60" i="7" s="1"/>
  <c r="I58" i="7"/>
  <c r="I57" i="7"/>
  <c r="I56" i="7"/>
  <c r="I52" i="7"/>
  <c r="A41" i="7"/>
  <c r="B23" i="7"/>
  <c r="I39" i="7"/>
  <c r="G38" i="7"/>
  <c r="I38" i="7" s="1"/>
  <c r="I36" i="7"/>
  <c r="I35" i="7"/>
  <c r="I34" i="7"/>
  <c r="I30" i="7"/>
  <c r="B1" i="7"/>
  <c r="I17" i="7"/>
  <c r="G16" i="7"/>
  <c r="I16" i="7" s="1"/>
  <c r="I14" i="7"/>
  <c r="I13" i="7"/>
  <c r="I12" i="7"/>
  <c r="I8" i="7"/>
  <c r="F552" i="4"/>
  <c r="I552" i="4" s="1"/>
  <c r="F551" i="4"/>
  <c r="I551" i="4" s="1"/>
  <c r="B532" i="4"/>
  <c r="I545" i="4"/>
  <c r="I544" i="4"/>
  <c r="I543" i="4"/>
  <c r="I542" i="4"/>
  <c r="I541" i="4"/>
  <c r="I540" i="4"/>
  <c r="I539" i="4"/>
  <c r="I536" i="4"/>
  <c r="H60" i="7" l="1"/>
  <c r="H104" i="7"/>
  <c r="H82" i="7"/>
  <c r="I126" i="7"/>
  <c r="I131" i="7" s="1"/>
  <c r="H16" i="7"/>
  <c r="H170" i="7"/>
  <c r="I20" i="9"/>
  <c r="I5" i="9" s="1"/>
  <c r="I21" i="9" s="1"/>
  <c r="H16" i="9"/>
  <c r="I51" i="8"/>
  <c r="I68" i="8" s="1"/>
  <c r="I4" i="8"/>
  <c r="I22" i="8" s="1"/>
  <c r="H63" i="8"/>
  <c r="I219" i="7"/>
  <c r="H214" i="7"/>
  <c r="I197" i="7"/>
  <c r="H192" i="7"/>
  <c r="I175" i="7"/>
  <c r="I153" i="7"/>
  <c r="H148" i="7"/>
  <c r="H38" i="7"/>
  <c r="I535" i="4"/>
  <c r="I553" i="4" s="1"/>
  <c r="A527" i="4" l="1"/>
  <c r="B462" i="4"/>
  <c r="I482" i="4"/>
  <c r="I479" i="4"/>
  <c r="I478" i="4"/>
  <c r="I476" i="4"/>
  <c r="I475" i="4"/>
  <c r="I474" i="4"/>
  <c r="I473" i="4"/>
  <c r="I471" i="4"/>
  <c r="I470" i="4"/>
  <c r="I469" i="4"/>
  <c r="I458" i="4"/>
  <c r="A459" i="4"/>
  <c r="A458" i="4"/>
  <c r="I456" i="4"/>
  <c r="I453" i="4"/>
  <c r="I452" i="4"/>
  <c r="I451" i="4"/>
  <c r="I450" i="4"/>
  <c r="I448" i="4"/>
  <c r="I447" i="4"/>
  <c r="I446" i="4"/>
  <c r="A423" i="4"/>
  <c r="F368" i="4"/>
  <c r="F367" i="4"/>
  <c r="A345" i="4"/>
  <c r="A322" i="4"/>
  <c r="A275" i="4"/>
  <c r="A263" i="4"/>
  <c r="B256" i="4"/>
  <c r="I273" i="4"/>
  <c r="G272" i="4"/>
  <c r="H272" i="4" s="1"/>
  <c r="I270" i="4"/>
  <c r="I269" i="4"/>
  <c r="I268" i="4"/>
  <c r="I267" i="4"/>
  <c r="I266" i="4"/>
  <c r="I265" i="4"/>
  <c r="I264" i="4"/>
  <c r="H260" i="4"/>
  <c r="I260" i="4" s="1"/>
  <c r="A252" i="4"/>
  <c r="I244" i="4"/>
  <c r="I243" i="4"/>
  <c r="I242" i="4"/>
  <c r="I241" i="4"/>
  <c r="A240" i="4"/>
  <c r="B233" i="4"/>
  <c r="I250" i="4"/>
  <c r="G249" i="4"/>
  <c r="I249" i="4" s="1"/>
  <c r="B210" i="4"/>
  <c r="A217" i="4"/>
  <c r="I227" i="4"/>
  <c r="G226" i="4"/>
  <c r="H226" i="4" s="1"/>
  <c r="I224" i="4"/>
  <c r="I223" i="4"/>
  <c r="I222" i="4"/>
  <c r="I221" i="4"/>
  <c r="I220" i="4"/>
  <c r="I219" i="4"/>
  <c r="I218" i="4"/>
  <c r="H214" i="4"/>
  <c r="I214" i="4" s="1"/>
  <c r="I465" i="4" l="1"/>
  <c r="I483" i="4" s="1"/>
  <c r="I459" i="4"/>
  <c r="I442" i="4" s="1"/>
  <c r="I455" i="4"/>
  <c r="I226" i="4"/>
  <c r="I272" i="4"/>
  <c r="H249" i="4"/>
  <c r="A206" i="4"/>
  <c r="A65" i="6"/>
  <c r="A42" i="6"/>
  <c r="A110" i="6"/>
  <c r="I460" i="4" l="1"/>
  <c r="A135" i="4"/>
  <c r="C13" i="5"/>
  <c r="D13" i="5" s="1"/>
  <c r="A112" i="4"/>
  <c r="A89" i="4"/>
  <c r="A66" i="4"/>
  <c r="F345" i="4" l="1"/>
  <c r="F322" i="4"/>
  <c r="F206" i="4"/>
  <c r="F135" i="4"/>
  <c r="B302" i="4" l="1"/>
  <c r="B509" i="4"/>
  <c r="I513" i="4"/>
  <c r="I516" i="4"/>
  <c r="I517" i="4"/>
  <c r="I520" i="4"/>
  <c r="I521" i="4"/>
  <c r="I522" i="4"/>
  <c r="G524" i="4"/>
  <c r="I524" i="4" s="1"/>
  <c r="I525" i="4"/>
  <c r="I495" i="4"/>
  <c r="I490" i="4"/>
  <c r="I494" i="4"/>
  <c r="I496" i="4"/>
  <c r="I497" i="4"/>
  <c r="I498" i="4"/>
  <c r="I499" i="4"/>
  <c r="I500" i="4"/>
  <c r="G502" i="4"/>
  <c r="I502" i="4" s="1"/>
  <c r="I503" i="4"/>
  <c r="I10" i="4"/>
  <c r="I18" i="4"/>
  <c r="I31" i="4"/>
  <c r="I32" i="4"/>
  <c r="I33" i="4"/>
  <c r="I34" i="4"/>
  <c r="I35" i="4"/>
  <c r="I36" i="4"/>
  <c r="I37" i="4"/>
  <c r="I38" i="4"/>
  <c r="I51" i="4"/>
  <c r="I54" i="4"/>
  <c r="I55" i="4"/>
  <c r="I56" i="4"/>
  <c r="I57" i="4"/>
  <c r="I58" i="4"/>
  <c r="I59" i="4"/>
  <c r="I60" i="4"/>
  <c r="I61" i="4"/>
  <c r="G63" i="4"/>
  <c r="I63" i="4" s="1"/>
  <c r="I64" i="4"/>
  <c r="I74" i="4"/>
  <c r="I77" i="4"/>
  <c r="I78" i="4"/>
  <c r="I79" i="4"/>
  <c r="I80" i="4"/>
  <c r="I81" i="4"/>
  <c r="I82" i="4"/>
  <c r="I83" i="4"/>
  <c r="I84" i="4"/>
  <c r="G86" i="4"/>
  <c r="I86" i="4" s="1"/>
  <c r="I87" i="4"/>
  <c r="I97" i="4"/>
  <c r="I101" i="4"/>
  <c r="I102" i="4"/>
  <c r="I103" i="4"/>
  <c r="I104" i="4"/>
  <c r="I105" i="4"/>
  <c r="I106" i="4"/>
  <c r="I107" i="4"/>
  <c r="G109" i="4"/>
  <c r="I109" i="4" s="1"/>
  <c r="I110" i="4"/>
  <c r="I135" i="4"/>
  <c r="I119" i="4" s="1"/>
  <c r="I123" i="4"/>
  <c r="H125" i="4"/>
  <c r="G125" i="4"/>
  <c r="I126" i="4"/>
  <c r="I127" i="4"/>
  <c r="I128" i="4"/>
  <c r="I129" i="4"/>
  <c r="I130" i="4"/>
  <c r="G132" i="4"/>
  <c r="I132" i="4" s="1"/>
  <c r="I133" i="4"/>
  <c r="I149" i="4"/>
  <c r="I150" i="4"/>
  <c r="I151" i="4"/>
  <c r="I152" i="4"/>
  <c r="I153" i="4"/>
  <c r="I154" i="4"/>
  <c r="G156" i="4"/>
  <c r="I156" i="4" s="1"/>
  <c r="I157" i="4"/>
  <c r="I174" i="4"/>
  <c r="I175" i="4"/>
  <c r="I176" i="4"/>
  <c r="I177" i="4"/>
  <c r="I178" i="4"/>
  <c r="G180" i="4"/>
  <c r="I180" i="4" s="1"/>
  <c r="I181" i="4"/>
  <c r="I206" i="4"/>
  <c r="I190" i="4" s="1"/>
  <c r="H191" i="4"/>
  <c r="I191" i="4" s="1"/>
  <c r="I196" i="4"/>
  <c r="I197" i="4"/>
  <c r="I198" i="4"/>
  <c r="I199" i="4"/>
  <c r="I200" i="4"/>
  <c r="I201" i="4"/>
  <c r="G203" i="4"/>
  <c r="I203" i="4" s="1"/>
  <c r="I204" i="4"/>
  <c r="I285" i="4"/>
  <c r="I286" i="4"/>
  <c r="I287" i="4"/>
  <c r="I288" i="4"/>
  <c r="I289" i="4"/>
  <c r="I290" i="4"/>
  <c r="I291" i="4"/>
  <c r="I292" i="4"/>
  <c r="G294" i="4"/>
  <c r="H294" i="4" s="1"/>
  <c r="I295" i="4"/>
  <c r="I322" i="4"/>
  <c r="I305" i="4" s="1"/>
  <c r="I310" i="4"/>
  <c r="I312" i="4"/>
  <c r="I313" i="4"/>
  <c r="I314" i="4"/>
  <c r="I315" i="4"/>
  <c r="I316" i="4"/>
  <c r="I317" i="4"/>
  <c r="E319" i="4"/>
  <c r="G319" i="4"/>
  <c r="H319" i="4" s="1"/>
  <c r="I320" i="4"/>
  <c r="I345" i="4"/>
  <c r="I329" i="4" s="1"/>
  <c r="H330" i="4"/>
  <c r="I330" i="4" s="1"/>
  <c r="I334" i="4"/>
  <c r="I335" i="4"/>
  <c r="I336" i="4"/>
  <c r="I337" i="4"/>
  <c r="I338" i="4"/>
  <c r="I339" i="4"/>
  <c r="I340" i="4"/>
  <c r="G342" i="4"/>
  <c r="I342" i="4" s="1"/>
  <c r="I343" i="4"/>
  <c r="I367" i="4"/>
  <c r="H352" i="4"/>
  <c r="I352" i="4" s="1"/>
  <c r="I355" i="4"/>
  <c r="I356" i="4"/>
  <c r="I357" i="4"/>
  <c r="I358" i="4"/>
  <c r="I359" i="4"/>
  <c r="I360" i="4"/>
  <c r="I361" i="4"/>
  <c r="I362" i="4"/>
  <c r="E364" i="4"/>
  <c r="G364" i="4"/>
  <c r="H364" i="4" s="1"/>
  <c r="I365" i="4"/>
  <c r="I390" i="4"/>
  <c r="I378" i="4"/>
  <c r="I379" i="4"/>
  <c r="I380" i="4"/>
  <c r="I381" i="4"/>
  <c r="I382" i="4"/>
  <c r="I383" i="4"/>
  <c r="I384" i="4"/>
  <c r="I385" i="4"/>
  <c r="I388" i="4"/>
  <c r="I426" i="4"/>
  <c r="I427" i="4"/>
  <c r="I428" i="4"/>
  <c r="I429" i="4"/>
  <c r="I430" i="4"/>
  <c r="G432" i="4"/>
  <c r="H432" i="4" s="1"/>
  <c r="I433" i="4"/>
  <c r="A435" i="4"/>
  <c r="B416" i="4"/>
  <c r="A368" i="4"/>
  <c r="A367" i="4"/>
  <c r="B348" i="4"/>
  <c r="A333" i="4"/>
  <c r="B326" i="4"/>
  <c r="A311" i="4"/>
  <c r="A297" i="4"/>
  <c r="B278" i="4"/>
  <c r="A194" i="4"/>
  <c r="B187" i="4"/>
  <c r="A183" i="4"/>
  <c r="A171" i="4"/>
  <c r="A159" i="4"/>
  <c r="B140" i="4"/>
  <c r="A147" i="4"/>
  <c r="A88" i="6"/>
  <c r="A124" i="4"/>
  <c r="B116" i="4"/>
  <c r="A100" i="4"/>
  <c r="I31" i="6"/>
  <c r="A18" i="6"/>
  <c r="H95" i="6"/>
  <c r="I95" i="6" s="1"/>
  <c r="I98" i="6"/>
  <c r="I99" i="6"/>
  <c r="E107" i="6"/>
  <c r="G107" i="6"/>
  <c r="H107" i="6" s="1"/>
  <c r="E108" i="6"/>
  <c r="G108" i="6"/>
  <c r="H108" i="6" s="1"/>
  <c r="I73" i="6"/>
  <c r="I76" i="6"/>
  <c r="I77" i="6"/>
  <c r="H50" i="6"/>
  <c r="I50" i="6" s="1"/>
  <c r="I53" i="6"/>
  <c r="I54" i="6"/>
  <c r="I55" i="6"/>
  <c r="E62" i="6"/>
  <c r="G62" i="6"/>
  <c r="H62" i="6" s="1"/>
  <c r="E63" i="6"/>
  <c r="G63" i="6"/>
  <c r="H63" i="6" s="1"/>
  <c r="I26" i="6"/>
  <c r="I29" i="6"/>
  <c r="I30" i="6"/>
  <c r="B93" i="4"/>
  <c r="B70" i="4"/>
  <c r="B47" i="4"/>
  <c r="C12" i="5"/>
  <c r="D12" i="5" s="1"/>
  <c r="I20" i="4" s="1"/>
  <c r="I4" i="4" s="1"/>
  <c r="B1" i="4"/>
  <c r="D26" i="5"/>
  <c r="D25" i="5"/>
  <c r="D24" i="5"/>
  <c r="D23" i="5"/>
  <c r="D22" i="5"/>
  <c r="D21" i="5"/>
  <c r="D20" i="5"/>
  <c r="D19" i="5"/>
  <c r="D18" i="5"/>
  <c r="D17" i="5"/>
  <c r="D16" i="5"/>
  <c r="C11" i="5"/>
  <c r="D11" i="5" s="1"/>
  <c r="C10" i="5"/>
  <c r="D10" i="5" s="1"/>
  <c r="F183" i="4" s="1"/>
  <c r="I183" i="4" s="1"/>
  <c r="I167" i="4" s="1"/>
  <c r="C9" i="5"/>
  <c r="D9" i="5" s="1"/>
  <c r="F20" i="4" s="1"/>
  <c r="C8" i="5"/>
  <c r="D8" i="5" s="1"/>
  <c r="C7" i="5"/>
  <c r="D7" i="5" s="1"/>
  <c r="D6" i="5"/>
  <c r="F505" i="4" l="1"/>
  <c r="I505" i="4" s="1"/>
  <c r="I489" i="4" s="1"/>
  <c r="I507" i="4" s="1"/>
  <c r="F43" i="4"/>
  <c r="I62" i="6"/>
  <c r="I108" i="6"/>
  <c r="I107" i="6"/>
  <c r="I63" i="6"/>
  <c r="F88" i="6"/>
  <c r="I88" i="6" s="1"/>
  <c r="I72" i="6" s="1"/>
  <c r="I90" i="6" s="1"/>
  <c r="G311" i="4" s="1"/>
  <c r="I311" i="4" s="1"/>
  <c r="F229" i="4"/>
  <c r="I229" i="4" s="1"/>
  <c r="I213" i="4" s="1"/>
  <c r="F159" i="4"/>
  <c r="I159" i="4" s="1"/>
  <c r="I143" i="4" s="1"/>
  <c r="F297" i="4"/>
  <c r="I297" i="4" s="1"/>
  <c r="I281" i="4" s="1"/>
  <c r="F527" i="4"/>
  <c r="I527" i="4" s="1"/>
  <c r="I512" i="4" s="1"/>
  <c r="I529" i="4" s="1"/>
  <c r="F275" i="4"/>
  <c r="I275" i="4" s="1"/>
  <c r="I259" i="4" s="1"/>
  <c r="F42" i="6"/>
  <c r="I42" i="6" s="1"/>
  <c r="I25" i="6" s="1"/>
  <c r="I44" i="6" s="1"/>
  <c r="F65" i="6"/>
  <c r="I65" i="6" s="1"/>
  <c r="I49" i="6" s="1"/>
  <c r="F110" i="6"/>
  <c r="I110" i="6" s="1"/>
  <c r="I94" i="6" s="1"/>
  <c r="I20" i="6"/>
  <c r="F41" i="7"/>
  <c r="I41" i="7" s="1"/>
  <c r="I26" i="7" s="1"/>
  <c r="I43" i="7" s="1"/>
  <c r="F63" i="7"/>
  <c r="I63" i="7" s="1"/>
  <c r="I48" i="7" s="1"/>
  <c r="I65" i="7" s="1"/>
  <c r="F85" i="7"/>
  <c r="I85" i="7" s="1"/>
  <c r="I70" i="7" s="1"/>
  <c r="I87" i="7" s="1"/>
  <c r="I19" i="7"/>
  <c r="I4" i="7" s="1"/>
  <c r="I21" i="7" s="1"/>
  <c r="F107" i="7"/>
  <c r="I107" i="7" s="1"/>
  <c r="I92" i="7" s="1"/>
  <c r="I109" i="7" s="1"/>
  <c r="F252" i="4"/>
  <c r="I252" i="4" s="1"/>
  <c r="I236" i="4" s="1"/>
  <c r="F66" i="4"/>
  <c r="I66" i="4" s="1"/>
  <c r="I50" i="4" s="1"/>
  <c r="I68" i="4" s="1"/>
  <c r="F89" i="4"/>
  <c r="I89" i="4" s="1"/>
  <c r="I73" i="4" s="1"/>
  <c r="I91" i="4" s="1"/>
  <c r="F112" i="4"/>
  <c r="I112" i="4" s="1"/>
  <c r="I96" i="4" s="1"/>
  <c r="F435" i="4"/>
  <c r="I435" i="4" s="1"/>
  <c r="I419" i="4" s="1"/>
  <c r="I43" i="4"/>
  <c r="I27" i="4" s="1"/>
  <c r="I45" i="4" s="1"/>
  <c r="H132" i="4"/>
  <c r="I125" i="4"/>
  <c r="H180" i="4"/>
  <c r="H156" i="4"/>
  <c r="I294" i="4"/>
  <c r="I391" i="4"/>
  <c r="I374" i="4" s="1"/>
  <c r="I392" i="4" s="1"/>
  <c r="I368" i="4"/>
  <c r="I351" i="4" s="1"/>
  <c r="H502" i="4"/>
  <c r="H524" i="4"/>
  <c r="I432" i="4"/>
  <c r="I22" i="4"/>
  <c r="H192" i="4"/>
  <c r="I192" i="4" s="1"/>
  <c r="H63" i="4"/>
  <c r="H86" i="4"/>
  <c r="H109" i="4"/>
  <c r="H203" i="4"/>
  <c r="H342" i="4"/>
  <c r="I319" i="4"/>
  <c r="I67" i="6" l="1"/>
  <c r="I112" i="6"/>
  <c r="I299" i="4"/>
  <c r="G333" i="4"/>
  <c r="I333" i="4" s="1"/>
  <c r="I347" i="4" s="1"/>
  <c r="G124" i="4"/>
  <c r="I124" i="4" s="1"/>
  <c r="I137" i="4" s="1"/>
  <c r="G100" i="4"/>
  <c r="I100" i="4" s="1"/>
  <c r="I114" i="4" s="1"/>
  <c r="G423" i="4"/>
  <c r="I423" i="4" s="1"/>
  <c r="I437" i="4" s="1"/>
  <c r="I369" i="4"/>
  <c r="G263" i="4"/>
  <c r="I263" i="4" s="1"/>
  <c r="I277" i="4" s="1"/>
  <c r="G240" i="4"/>
  <c r="I240" i="4" s="1"/>
  <c r="I254" i="4" s="1"/>
  <c r="G217" i="4"/>
  <c r="I217" i="4" s="1"/>
  <c r="I231" i="4" s="1"/>
  <c r="I324" i="4"/>
  <c r="G171" i="4"/>
  <c r="I171" i="4" s="1"/>
  <c r="I185" i="4" s="1"/>
  <c r="G194" i="4"/>
  <c r="I194" i="4" s="1"/>
  <c r="I208" i="4" s="1"/>
  <c r="G147" i="4"/>
  <c r="I147" i="4" s="1"/>
  <c r="I161" i="4" s="1"/>
  <c r="K21" i="3" l="1"/>
  <c r="F25" i="3" l="1"/>
  <c r="K24" i="3"/>
</calcChain>
</file>

<file path=xl/sharedStrings.xml><?xml version="1.0" encoding="utf-8"?>
<sst xmlns="http://schemas.openxmlformats.org/spreadsheetml/2006/main" count="1554" uniqueCount="226">
  <si>
    <t>PRESUPUESTO PARA ADECUACION DE CAFETERIA CTPGA</t>
  </si>
  <si>
    <t>ITEM</t>
  </si>
  <si>
    <t>DESCRIPCION</t>
  </si>
  <si>
    <t xml:space="preserve">H&amp;V 
Construcciones &amp; Consultoría 
NIT: 900.700.737-8 </t>
  </si>
  <si>
    <t>VAMA 
SOLUCIONES S.A.S
NIT: 901722305-8</t>
  </si>
  <si>
    <t>Cotización ingeniero Civil 
Victor Sampayo - MP: 54202-271756 NTS
cc: 1052.962.040</t>
  </si>
  <si>
    <t xml:space="preserve">VALOR 
PROMEDIO </t>
  </si>
  <si>
    <t>CAFETERIA CTPGA</t>
  </si>
  <si>
    <t>UND</t>
  </si>
  <si>
    <t>CANT</t>
  </si>
  <si>
    <t>Vr. UNIT</t>
  </si>
  <si>
    <t>Vr. TOTAL</t>
  </si>
  <si>
    <t>Vr. TOTAL PROM</t>
  </si>
  <si>
    <t>A</t>
  </si>
  <si>
    <t>ACTIVIDADES PRELIMINARES</t>
  </si>
  <si>
    <t>Desmonte y mantenimiento de estructura en acero inoxidable o campana, reajuste de la misma para volverla a instalar (cocina)</t>
  </si>
  <si>
    <t>UNIDAD</t>
  </si>
  <si>
    <t>B</t>
  </si>
  <si>
    <t>PISOS Y ACABADOS</t>
  </si>
  <si>
    <t>Suministro  e instalacion de CERAMICA ANTIDESLIZANTE 40x60 negro,  incluye pegante ceramico tipo pegacor o similar, molduras, boca puertas y demas elementos necesarios para su correcta instalacion y funcionamiento</t>
  </si>
  <si>
    <t>M2</t>
  </si>
  <si>
    <t>Suministros y construccion de piso  de nivelacion en concreto 3000psi con e:0.04 según diseño, formaleta y demas elementos necesarios para su correcta construccion. Acabado allanado</t>
  </si>
  <si>
    <t>Suministro  e instalacion de CERAMICA para paredes de la cocina a 2.4 m de altura, incluye pegante ceramico tipo pegacor o similar, molduras, boca puertas y demas elementos necesarios para su correcta instalacion y funcionamiento</t>
  </si>
  <si>
    <t>Suministro  y aplicación de pintura acrilica, Vinilo Tipo 1 de primera calidad sobre muros revocados y/o estucados, tres manos o las necesarias para obtener una superficie pareja y homogénea. Incluye suministro y transporte de los materiales, tapa poros, adecuación de la superficie a intervenir hasta obtener una superficie pareja y homogénea, color a definir</t>
  </si>
  <si>
    <t>Suministro y construccion de muros, revoque y filos con mortero 1:4 sobre muros y filos. Incluye suministro y transporte de los materiales, fajas, ranuras, filetes y todos los demás elementos necesarios para su correcta construcción.</t>
  </si>
  <si>
    <t>Suministro  e instalaciòn de cielo falso en pvc , enpotrado en estructura metalica con omegas, vigas y angulo perimetral  en toda el area de la cocina. Incluye todos los accesorios necesarios para su correcta instalacion..</t>
  </si>
  <si>
    <t>Recorte y adecuacion de la tapa del pozo de agua potable, incluye todos los elementos necesarios para su adecuacion.</t>
  </si>
  <si>
    <t xml:space="preserve">Mantenimiento preventico y correctivo de canales, bajantes  y goteras con cinta tipo sika presentes en la zona de cafeteria, incluye todos los elementos necesarios para su ejecucion.  </t>
  </si>
  <si>
    <t>C</t>
  </si>
  <si>
    <t>ELECTRICO</t>
  </si>
  <si>
    <t>Sumistro e instalacion de luces tipo ojos de buey de 6", incluye, suiches, cablaedo, tuberia galvanizada y todos los accesorios para su correcta instalacion</t>
  </si>
  <si>
    <t>D</t>
  </si>
  <si>
    <t>CARPINTERIA METALICA Y MADERA</t>
  </si>
  <si>
    <t xml:space="preserve">Suministro, Transporte e Instalación de lavaplatos en acero inoxidable con dos posetas  de 3 metros de largo, con soporte en estructura galvanizada y un entrepaño, incluye griferia y todos los elementos necesarios para su correcta instalaciòn. </t>
  </si>
  <si>
    <t>UNDAD</t>
  </si>
  <si>
    <t>TOTAL COSTO DIRECTO</t>
  </si>
  <si>
    <t>COSTOS DIRECTOS</t>
  </si>
  <si>
    <t>COSTOS INDIRECTOS</t>
  </si>
  <si>
    <t>UTILIDAD 5 %</t>
  </si>
  <si>
    <t>COSTO TOTAL</t>
  </si>
  <si>
    <t>ITEM:</t>
  </si>
  <si>
    <t>A.P.U_H-03</t>
  </si>
  <si>
    <t>UNIDAD:</t>
  </si>
  <si>
    <t>Und</t>
  </si>
  <si>
    <t>EQUIPOS Y HERRAMIENTAS</t>
  </si>
  <si>
    <t>Vr. / DIA</t>
  </si>
  <si>
    <t>REND.</t>
  </si>
  <si>
    <t>V-UNIT.</t>
  </si>
  <si>
    <t>Hta menor</t>
  </si>
  <si>
    <t>MATERIALES</t>
  </si>
  <si>
    <t>UN.</t>
  </si>
  <si>
    <t>P-UNIT.</t>
  </si>
  <si>
    <t>CANT.</t>
  </si>
  <si>
    <t>V-UNIT</t>
  </si>
  <si>
    <t>ojos de buey</t>
  </si>
  <si>
    <t>Unidad</t>
  </si>
  <si>
    <t>Caja empalme emt</t>
  </si>
  <si>
    <t>Alamre CU aislamiento PVC THWN 12</t>
  </si>
  <si>
    <t>ml</t>
  </si>
  <si>
    <t>Interruptor doble tipo luminex o similar</t>
  </si>
  <si>
    <t>Tuberia EMT 3/4 pulg  y accesorios</t>
  </si>
  <si>
    <t>TRANSPORTE</t>
  </si>
  <si>
    <t>Vol (M3)</t>
  </si>
  <si>
    <t>DIST.</t>
  </si>
  <si>
    <t>M3-KM</t>
  </si>
  <si>
    <t>TARIFA</t>
  </si>
  <si>
    <t>Materiales</t>
  </si>
  <si>
    <t>Agregados</t>
  </si>
  <si>
    <t>MANO DE OBRA</t>
  </si>
  <si>
    <t>JORNAL+PRESTAC.</t>
  </si>
  <si>
    <t>OFICIAL ELECTRICO</t>
  </si>
  <si>
    <t>AYUDANTE RASO</t>
  </si>
  <si>
    <t>A.P.U_G-01</t>
  </si>
  <si>
    <t>angulo metalico de 2"</t>
  </si>
  <si>
    <t>unidad</t>
  </si>
  <si>
    <t xml:space="preserve">pintura </t>
  </si>
  <si>
    <t>chazos</t>
  </si>
  <si>
    <t>melamina de 2.2*0.6</t>
  </si>
  <si>
    <t>HORNAMENTADOR</t>
  </si>
  <si>
    <t xml:space="preserve">puerta ventana en aluminio y vidrio 5 mm </t>
  </si>
  <si>
    <t>m2</t>
  </si>
  <si>
    <t xml:space="preserve">puerta ventana en aluminio y vidrio 4 mm </t>
  </si>
  <si>
    <t>puerta en madera de 0.7 x 2.5 m</t>
  </si>
  <si>
    <t>marco en madera pintado</t>
  </si>
  <si>
    <t>puerta ventana proyectante en aluminio y vidrio natural</t>
  </si>
  <si>
    <t>puerta garage en alumino con motor electrico</t>
  </si>
  <si>
    <t>1 SOLDADOR + 1 AYUDANTE</t>
  </si>
  <si>
    <t>ML</t>
  </si>
  <si>
    <t xml:space="preserve">pasamanos en vidrio natural y acero inoxidable vidrio templado </t>
  </si>
  <si>
    <t>1 OFICIAL + 1 AYUDANTE</t>
  </si>
  <si>
    <t>closet en madera maciza (madera de excelente calida) de 2.5 m de alto</t>
  </si>
  <si>
    <t>1 EVANISTA+ 1 AYUDANTE</t>
  </si>
  <si>
    <t>DIVCIONES DE BAÑO EN ACRILICO</t>
  </si>
  <si>
    <t>estufa integral</t>
  </si>
  <si>
    <t>meson en acero inoxidable</t>
  </si>
  <si>
    <t>gabinetes en madera</t>
  </si>
  <si>
    <t>A.P.U_J-01</t>
  </si>
  <si>
    <t>Sanitario San giorgio alongado dual Blanco CORONA</t>
  </si>
  <si>
    <t>Cemento blanco tipo 1</t>
  </si>
  <si>
    <t>Kg</t>
  </si>
  <si>
    <t xml:space="preserve">Valvula regulacion 1/2 pulg metalica GRIVAL </t>
  </si>
  <si>
    <t>Orinal Arrecife entrada superior</t>
  </si>
  <si>
    <t>silicona</t>
  </si>
  <si>
    <t xml:space="preserve">Lavamanos </t>
  </si>
  <si>
    <t>PLOMERO</t>
  </si>
  <si>
    <t>A.P.U_A-03</t>
  </si>
  <si>
    <t>demoledor</t>
  </si>
  <si>
    <t>A.P.U_B-01</t>
  </si>
  <si>
    <t xml:space="preserve">accesorios </t>
  </si>
  <si>
    <t>Material Sobrante</t>
  </si>
  <si>
    <t>A.P.U_B-02</t>
  </si>
  <si>
    <t>M3</t>
  </si>
  <si>
    <t>Materiale sobrante</t>
  </si>
  <si>
    <t>A.P.U_B-03</t>
  </si>
  <si>
    <t>Compactador mecanico tipo canguro</t>
  </si>
  <si>
    <t>material de prestamo</t>
  </si>
  <si>
    <t>m3</t>
  </si>
  <si>
    <t>A.P.U_C-01</t>
  </si>
  <si>
    <t>A.P.U_C-02</t>
  </si>
  <si>
    <t>Ml</t>
  </si>
  <si>
    <t>Bloque de hormigon de 0.15x0.20x0.40mts</t>
  </si>
  <si>
    <t>Solucion asfaltica de Sika (Igol Denso)</t>
  </si>
  <si>
    <t>A.P.U_D-01</t>
  </si>
  <si>
    <t>A.P.U_D-03</t>
  </si>
  <si>
    <t>A.P.U_D-04</t>
  </si>
  <si>
    <t>Vibrador electrico</t>
  </si>
  <si>
    <t>Formaleta metalica</t>
  </si>
  <si>
    <t>A.P.U_D-07</t>
  </si>
  <si>
    <t>Polietileno transparente</t>
  </si>
  <si>
    <t>Caseton en madera recuperable h:0.30mts</t>
  </si>
  <si>
    <t>Can madera comun  hasta 2.80mts</t>
  </si>
  <si>
    <t>dia</t>
  </si>
  <si>
    <t>Telera en madera 0.45x1.35mts</t>
  </si>
  <si>
    <t>Telera en madera 0.90x1.35mts</t>
  </si>
  <si>
    <t>Correas metalicas 3mts</t>
  </si>
  <si>
    <t>Taco metalico largo hasta 4.50mts</t>
  </si>
  <si>
    <t>A.P.U_D-09</t>
  </si>
  <si>
    <t>A.P.U_E-01</t>
  </si>
  <si>
    <t>Acero de refuerzo corrugado 6000psi</t>
  </si>
  <si>
    <t>kg</t>
  </si>
  <si>
    <t>Alambre negro recocido # 18</t>
  </si>
  <si>
    <t>A.P.U_F-01</t>
  </si>
  <si>
    <t>bloque 0.14x0.20x0.40mts</t>
  </si>
  <si>
    <t>disco segmentado diamantado de 9"</t>
  </si>
  <si>
    <t>A.P.U_F-02</t>
  </si>
  <si>
    <t>Andamio tramo completo 1.5x1.5</t>
  </si>
  <si>
    <t>A.P.U_F-03</t>
  </si>
  <si>
    <t>Estucor estuco plastico</t>
  </si>
  <si>
    <t>Lija de agua # 200</t>
  </si>
  <si>
    <t>A.P.U_F-04</t>
  </si>
  <si>
    <t>Pintura vinilica tipo 1 de viniltex o similar</t>
  </si>
  <si>
    <t>Galon</t>
  </si>
  <si>
    <t>OFICICIAL OBRA BLANCA</t>
  </si>
  <si>
    <t>AYUDANTE ENTENDIDO</t>
  </si>
  <si>
    <t>A.P.U_G-02</t>
  </si>
  <si>
    <t>cortadora de ceramica</t>
  </si>
  <si>
    <t>enchape ceramico esmalte</t>
  </si>
  <si>
    <t>Pegacor blanco corona o similar</t>
  </si>
  <si>
    <t>Boquilla blanca Concolor de Corona o similar</t>
  </si>
  <si>
    <t>ceramica  40x60</t>
  </si>
  <si>
    <t>OFICIAL OBRA BLANCA</t>
  </si>
  <si>
    <t>Andamio tramo completo 1.5x1.5 con tablon</t>
  </si>
  <si>
    <t>lamina pvc 30 cm</t>
  </si>
  <si>
    <t>omega</t>
  </si>
  <si>
    <t>viga</t>
  </si>
  <si>
    <t>angulo</t>
  </si>
  <si>
    <t>tornillo de ensamble</t>
  </si>
  <si>
    <t xml:space="preserve">
Teja Perfil 7 #8 Eternit
Eternit
</t>
  </si>
  <si>
    <t>Amarre Teja Tapa Plástica 26cm Cal 18</t>
  </si>
  <si>
    <t xml:space="preserve">Omega 32x22x0.46mm 3.05m NTC5680
</t>
  </si>
  <si>
    <t>m</t>
  </si>
  <si>
    <t xml:space="preserve">1220 x 2440 x 11 mm celing board Gyplac
</t>
  </si>
  <si>
    <t>Tornillo Panel Drywall Pta Aguda 6X1 100un Fixser</t>
  </si>
  <si>
    <t xml:space="preserve"> estuco plastico corona</t>
  </si>
  <si>
    <t xml:space="preserve">
Vigueta 1-1/2 x 3/4" x 0.38mm x 2.44m
Matecsa
</t>
  </si>
  <si>
    <t>APA PREPARACION CONCRETO 3000PSI EN OBRA</t>
  </si>
  <si>
    <t>Concretadora</t>
  </si>
  <si>
    <t>Cemento gris</t>
  </si>
  <si>
    <t>Saco</t>
  </si>
  <si>
    <t>Material MIXTO</t>
  </si>
  <si>
    <t>APA PREPARACION CONCRETO 2500PSI EN OBRA</t>
  </si>
  <si>
    <t>A.P.A.02</t>
  </si>
  <si>
    <t>Grava</t>
  </si>
  <si>
    <t>arena</t>
  </si>
  <si>
    <t>APA PREPARACION CONCRETO 2000PSI EN OBRA</t>
  </si>
  <si>
    <t>A.P.A.03</t>
  </si>
  <si>
    <t>Material de playa mixto</t>
  </si>
  <si>
    <t>Agua</t>
  </si>
  <si>
    <t>Lt</t>
  </si>
  <si>
    <t>APA PREPARACION MORTERO 1:4 EN OBRA</t>
  </si>
  <si>
    <t>A.P.A.04</t>
  </si>
  <si>
    <t>Material de playa Arena de pega y reboque</t>
  </si>
  <si>
    <t>APA PREPARACION MORTERO 1:5 EN OBRA</t>
  </si>
  <si>
    <t>A.P.A.05</t>
  </si>
  <si>
    <t>Material de playa arena de pega y reboque</t>
  </si>
  <si>
    <t>PROPUESTA CUADRO DE SALARIO</t>
  </si>
  <si>
    <t xml:space="preserve">DESCRIPCION </t>
  </si>
  <si>
    <t>CUADRILLAS</t>
  </si>
  <si>
    <t>COSTO DIRECTO</t>
  </si>
  <si>
    <t>COSTO + PRESTACIONES</t>
  </si>
  <si>
    <t>1 AYUDANTE</t>
  </si>
  <si>
    <t>CUADRILLA 1</t>
  </si>
  <si>
    <t>2 AYUDANTES</t>
  </si>
  <si>
    <t>CUADRILLA 2</t>
  </si>
  <si>
    <t xml:space="preserve">CUADRILLA 3 </t>
  </si>
  <si>
    <t>1 OFICIAL + 2 AYUDANTES</t>
  </si>
  <si>
    <t xml:space="preserve">CUADRILLA 4 </t>
  </si>
  <si>
    <t>1 OFICIAL + 4 AYUDANTES</t>
  </si>
  <si>
    <t>CUADRILLA 5</t>
  </si>
  <si>
    <t>1 OFICIAL + 6 AYUDANTES</t>
  </si>
  <si>
    <t>CUADRILLA 6</t>
  </si>
  <si>
    <t>1TOPOGRAFO + 1CADENERO I + 1 CADENERO II</t>
  </si>
  <si>
    <t>CUADRILLA 7</t>
  </si>
  <si>
    <t>2 OFICIAL + 2 AYUDANTES</t>
  </si>
  <si>
    <t>CUADRILLA 8</t>
  </si>
  <si>
    <t>SALARIO BASICO (DIA)</t>
  </si>
  <si>
    <t>% PREST.</t>
  </si>
  <si>
    <t>SALARIO (MES)</t>
  </si>
  <si>
    <t>OFICIAL OBRA GRIS</t>
  </si>
  <si>
    <t>OFICIAL PLOMERIA</t>
  </si>
  <si>
    <t>TOPOGRAFO 1</t>
  </si>
  <si>
    <t>CADENERO 1</t>
  </si>
  <si>
    <t>CADENERO 2</t>
  </si>
  <si>
    <t>TECNOLOGO CIVIL</t>
  </si>
  <si>
    <t>INGENIERO CIVIL</t>
  </si>
  <si>
    <t>ADMINISTRACION 20 %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</si>
</sst>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 * #,##0.00_ ;_ * \-#,##0.00_ ;_ * &quot;-&quot;??_ ;_ @_ "/>
    <numFmt numFmtId="166" formatCode="_ * #,##0_ ;_ * \-#,##0_ ;_ * &quot;-&quot;??_ ;_ @_ "/>
    <numFmt numFmtId="167" formatCode="_ * #,##0.0_ ;_ * \-#,##0.0_ ;_ * &quot;-&quot;??_ ;_ @_ "/>
    <numFmt numFmtId="168" formatCode="[$$-240A]\ #,##0.00"/>
    <numFmt numFmtId="169" formatCode="_(&quot;$&quot;\ * #,##0_);_(&quot;$&quot;\ * \(#,##0\);_(&quot;$&quot;\ * &quot;-&quot;??_);_(@_)"/>
    <numFmt numFmtId="170" formatCode="#,##0.000"/>
    <numFmt numFmtId="171" formatCode="_([$$-240A]\ * #,##0.00_);_([$$-240A]\ * \(#,##0.00\);_([$$-240A]\ * &quot;-&quot;??_);_(@_)"/>
    <numFmt numFmtId="172" formatCode="_-[$$-240A]\ * #,##0.00_-;\-[$$-240A]\ * #,##0.00_-;_-[$$-240A]\ * &quot;-&quot;??_-;_-@_-"/>
    <numFmt numFmtId="173" formatCode="_-* #,##0.00\ _€_-;\-* #,##0.00\ _€_-;_-* &quot;-&quot;??\ _€_-;_-@_-"/>
    <numFmt numFmtId="174" formatCode="_-* #,##0.0\ _€_-;\-* #,##0.0\ _€_-;_-* &quot;-&quot;?\ _€_-;_-@_-"/>
    <numFmt numFmtId="175" formatCode="_ * #,##0.000_ ;_ * \-#,##0.000_ ;_ * &quot;-&quot;??_ ;_ @_ "/>
    <numFmt numFmtId="176" formatCode="0.0%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indexed="8"/>
      <name val="Arial Narrow"/>
      <family val="2"/>
    </font>
    <font>
      <sz val="11"/>
      <color indexed="8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10"/>
      <name val="Arial"/>
      <family val="2"/>
    </font>
    <font>
      <b/>
      <sz val="11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0"/>
      <color theme="1"/>
      <name val="Arial Narrow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Arial Narrow"/>
      <family val="2"/>
    </font>
    <font>
      <b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1" fillId="0" borderId="0" applyFont="0" applyFill="0" applyBorder="0" applyAlignment="0" applyProtection="0"/>
  </cellStyleXfs>
  <cellXfs count="224">
    <xf numFmtId="0" fontId="0" fillId="0" borderId="0" xfId="0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1" xfId="0" applyFont="1" applyBorder="1"/>
    <xf numFmtId="0" fontId="4" fillId="0" borderId="1" xfId="0" applyFont="1" applyBorder="1"/>
    <xf numFmtId="0" fontId="7" fillId="0" borderId="1" xfId="0" applyFont="1" applyBorder="1" applyAlignment="1">
      <alignment horizontal="left"/>
    </xf>
    <xf numFmtId="165" fontId="8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5" fontId="9" fillId="0" borderId="1" xfId="0" applyNumberFormat="1" applyFont="1" applyBorder="1" applyAlignment="1">
      <alignment horizontal="center"/>
    </xf>
    <xf numFmtId="0" fontId="10" fillId="0" borderId="1" xfId="0" applyFont="1" applyBorder="1"/>
    <xf numFmtId="165" fontId="10" fillId="0" borderId="1" xfId="0" applyNumberFormat="1" applyFont="1" applyBorder="1" applyAlignment="1">
      <alignment horizontal="center"/>
    </xf>
    <xf numFmtId="165" fontId="10" fillId="0" borderId="1" xfId="2" applyNumberFormat="1" applyFont="1" applyBorder="1"/>
    <xf numFmtId="166" fontId="10" fillId="0" borderId="1" xfId="2" applyNumberFormat="1" applyFont="1" applyBorder="1" applyAlignment="1">
      <alignment horizontal="center"/>
    </xf>
    <xf numFmtId="166" fontId="10" fillId="0" borderId="1" xfId="0" applyNumberFormat="1" applyFont="1" applyBorder="1" applyAlignment="1">
      <alignment horizontal="center"/>
    </xf>
    <xf numFmtId="4" fontId="10" fillId="0" borderId="1" xfId="2" applyNumberFormat="1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66" fontId="10" fillId="0" borderId="1" xfId="2" applyNumberFormat="1" applyFont="1" applyBorder="1"/>
    <xf numFmtId="0" fontId="9" fillId="0" borderId="1" xfId="0" applyFont="1" applyBorder="1" applyAlignment="1">
      <alignment horizontal="centerContinuous"/>
    </xf>
    <xf numFmtId="43" fontId="10" fillId="0" borderId="1" xfId="2" applyNumberFormat="1" applyFont="1" applyBorder="1"/>
    <xf numFmtId="0" fontId="9" fillId="0" borderId="13" xfId="0" applyFont="1" applyBorder="1" applyAlignment="1">
      <alignment horizontal="center"/>
    </xf>
    <xf numFmtId="165" fontId="9" fillId="0" borderId="13" xfId="0" applyNumberFormat="1" applyFont="1" applyBorder="1" applyAlignment="1">
      <alignment horizontal="center"/>
    </xf>
    <xf numFmtId="170" fontId="10" fillId="0" borderId="1" xfId="2" applyNumberFormat="1" applyFont="1" applyBorder="1" applyAlignment="1">
      <alignment horizontal="center"/>
    </xf>
    <xf numFmtId="167" fontId="7" fillId="0" borderId="1" xfId="0" applyNumberFormat="1" applyFont="1" applyBorder="1" applyAlignment="1">
      <alignment horizontal="left"/>
    </xf>
    <xf numFmtId="0" fontId="8" fillId="0" borderId="1" xfId="0" applyFont="1" applyBorder="1"/>
    <xf numFmtId="167" fontId="8" fillId="0" borderId="1" xfId="0" applyNumberFormat="1" applyFont="1" applyBorder="1" applyAlignment="1">
      <alignment horizontal="centerContinuous"/>
    </xf>
    <xf numFmtId="166" fontId="7" fillId="0" borderId="1" xfId="0" applyNumberFormat="1" applyFont="1" applyBorder="1" applyAlignment="1">
      <alignment horizontal="right"/>
    </xf>
    <xf numFmtId="167" fontId="10" fillId="0" borderId="1" xfId="2" applyNumberFormat="1" applyFont="1" applyBorder="1"/>
    <xf numFmtId="165" fontId="10" fillId="0" borderId="1" xfId="2" applyNumberFormat="1" applyFont="1" applyBorder="1" applyAlignment="1">
      <alignment horizontal="center"/>
    </xf>
    <xf numFmtId="165" fontId="7" fillId="0" borderId="1" xfId="0" applyNumberFormat="1" applyFont="1" applyBorder="1" applyAlignment="1">
      <alignment horizontal="right"/>
    </xf>
    <xf numFmtId="165" fontId="10" fillId="0" borderId="14" xfId="2" applyNumberFormat="1" applyFont="1" applyBorder="1"/>
    <xf numFmtId="166" fontId="10" fillId="0" borderId="14" xfId="2" applyNumberFormat="1" applyFont="1" applyBorder="1"/>
    <xf numFmtId="0" fontId="14" fillId="0" borderId="0" xfId="0" applyFont="1"/>
    <xf numFmtId="0" fontId="14" fillId="0" borderId="1" xfId="0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168" fontId="16" fillId="0" borderId="1" xfId="0" applyNumberFormat="1" applyFont="1" applyBorder="1" applyAlignment="1">
      <alignment horizontal="right"/>
    </xf>
    <xf numFmtId="168" fontId="16" fillId="0" borderId="1" xfId="0" applyNumberFormat="1" applyFont="1" applyBorder="1" applyAlignment="1">
      <alignment horizontal="right" vertical="center"/>
    </xf>
    <xf numFmtId="168" fontId="17" fillId="0" borderId="1" xfId="0" applyNumberFormat="1" applyFont="1" applyBorder="1"/>
    <xf numFmtId="0" fontId="14" fillId="0" borderId="1" xfId="0" applyFont="1" applyBorder="1"/>
    <xf numFmtId="168" fontId="14" fillId="0" borderId="1" xfId="0" applyNumberFormat="1" applyFont="1" applyBorder="1"/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171" fontId="16" fillId="0" borderId="1" xfId="0" applyNumberFormat="1" applyFont="1" applyBorder="1" applyAlignment="1">
      <alignment horizontal="center" vertical="center"/>
    </xf>
    <xf numFmtId="9" fontId="16" fillId="0" borderId="1" xfId="0" applyNumberFormat="1" applyFont="1" applyBorder="1" applyAlignment="1">
      <alignment horizontal="center" vertical="center"/>
    </xf>
    <xf numFmtId="171" fontId="16" fillId="0" borderId="1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167" fontId="7" fillId="2" borderId="3" xfId="0" applyNumberFormat="1" applyFont="1" applyFill="1" applyBorder="1" applyAlignment="1">
      <alignment horizontal="left"/>
    </xf>
    <xf numFmtId="0" fontId="8" fillId="2" borderId="3" xfId="0" applyFont="1" applyFill="1" applyBorder="1"/>
    <xf numFmtId="167" fontId="8" fillId="2" borderId="3" xfId="0" applyNumberFormat="1" applyFont="1" applyFill="1" applyBorder="1" applyAlignment="1">
      <alignment horizontal="centerContinuous"/>
    </xf>
    <xf numFmtId="165" fontId="7" fillId="2" borderId="4" xfId="0" applyNumberFormat="1" applyFont="1" applyFill="1" applyBorder="1" applyAlignment="1">
      <alignment horizontal="right"/>
    </xf>
    <xf numFmtId="0" fontId="0" fillId="2" borderId="0" xfId="0" applyFill="1"/>
    <xf numFmtId="0" fontId="7" fillId="0" borderId="13" xfId="0" applyFont="1" applyBorder="1"/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172" fontId="3" fillId="0" borderId="6" xfId="0" applyNumberFormat="1" applyFont="1" applyBorder="1" applyAlignment="1">
      <alignment vertical="center"/>
    </xf>
    <xf numFmtId="172" fontId="4" fillId="2" borderId="1" xfId="0" applyNumberFormat="1" applyFont="1" applyFill="1" applyBorder="1" applyAlignment="1">
      <alignment vertical="center"/>
    </xf>
    <xf numFmtId="172" fontId="6" fillId="3" borderId="1" xfId="1" applyNumberFormat="1" applyFont="1" applyFill="1" applyBorder="1" applyAlignment="1">
      <alignment vertical="center"/>
    </xf>
    <xf numFmtId="172" fontId="0" fillId="0" borderId="0" xfId="0" applyNumberFormat="1"/>
    <xf numFmtId="166" fontId="0" fillId="0" borderId="0" xfId="0" applyNumberFormat="1"/>
    <xf numFmtId="173" fontId="0" fillId="0" borderId="0" xfId="0" applyNumberFormat="1"/>
    <xf numFmtId="174" fontId="0" fillId="0" borderId="0" xfId="0" applyNumberFormat="1"/>
    <xf numFmtId="167" fontId="7" fillId="0" borderId="3" xfId="0" applyNumberFormat="1" applyFont="1" applyBorder="1" applyAlignment="1">
      <alignment horizontal="left"/>
    </xf>
    <xf numFmtId="0" fontId="8" fillId="0" borderId="3" xfId="0" applyFont="1" applyBorder="1"/>
    <xf numFmtId="167" fontId="8" fillId="0" borderId="3" xfId="0" applyNumberFormat="1" applyFont="1" applyBorder="1" applyAlignment="1">
      <alignment horizontal="centerContinuous"/>
    </xf>
    <xf numFmtId="165" fontId="7" fillId="0" borderId="4" xfId="0" applyNumberFormat="1" applyFont="1" applyBorder="1" applyAlignment="1">
      <alignment horizontal="right"/>
    </xf>
    <xf numFmtId="0" fontId="0" fillId="0" borderId="1" xfId="0" applyBorder="1"/>
    <xf numFmtId="165" fontId="0" fillId="0" borderId="1" xfId="0" applyNumberFormat="1" applyBorder="1"/>
    <xf numFmtId="166" fontId="0" fillId="0" borderId="1" xfId="0" applyNumberFormat="1" applyBorder="1"/>
    <xf numFmtId="4" fontId="0" fillId="0" borderId="1" xfId="0" applyNumberFormat="1" applyBorder="1"/>
    <xf numFmtId="167" fontId="0" fillId="0" borderId="1" xfId="0" applyNumberFormat="1" applyBorder="1"/>
    <xf numFmtId="0" fontId="0" fillId="0" borderId="1" xfId="0" applyBorder="1" applyAlignment="1">
      <alignment horizontal="center"/>
    </xf>
    <xf numFmtId="43" fontId="0" fillId="0" borderId="1" xfId="0" applyNumberFormat="1" applyBorder="1"/>
    <xf numFmtId="0" fontId="0" fillId="4" borderId="0" xfId="0" applyFill="1"/>
    <xf numFmtId="0" fontId="10" fillId="0" borderId="1" xfId="0" applyFont="1" applyBorder="1" applyAlignment="1">
      <alignment horizontal="center" vertical="center"/>
    </xf>
    <xf numFmtId="166" fontId="10" fillId="0" borderId="1" xfId="2" applyNumberFormat="1" applyFont="1" applyBorder="1" applyAlignment="1">
      <alignment vertical="center"/>
    </xf>
    <xf numFmtId="165" fontId="10" fillId="0" borderId="1" xfId="2" applyNumberFormat="1" applyFont="1" applyBorder="1" applyAlignment="1">
      <alignment vertical="center"/>
    </xf>
    <xf numFmtId="175" fontId="10" fillId="0" borderId="1" xfId="2" applyNumberFormat="1" applyFont="1" applyBorder="1"/>
    <xf numFmtId="166" fontId="7" fillId="0" borderId="4" xfId="0" applyNumberFormat="1" applyFont="1" applyBorder="1" applyAlignment="1">
      <alignment horizontal="right"/>
    </xf>
    <xf numFmtId="2" fontId="6" fillId="2" borderId="1" xfId="0" applyNumberFormat="1" applyFont="1" applyFill="1" applyBorder="1" applyAlignment="1">
      <alignment horizontal="center" vertical="center"/>
    </xf>
    <xf numFmtId="172" fontId="6" fillId="2" borderId="1" xfId="1" applyNumberFormat="1" applyFont="1" applyFill="1" applyBorder="1" applyAlignment="1">
      <alignment vertical="center"/>
    </xf>
    <xf numFmtId="172" fontId="3" fillId="0" borderId="7" xfId="0" applyNumberFormat="1" applyFont="1" applyBorder="1" applyAlignment="1">
      <alignment horizontal="left" vertical="center"/>
    </xf>
    <xf numFmtId="172" fontId="19" fillId="0" borderId="9" xfId="1" applyNumberFormat="1" applyFont="1" applyBorder="1" applyAlignment="1">
      <alignment horizontal="left" vertical="center"/>
    </xf>
    <xf numFmtId="172" fontId="2" fillId="0" borderId="0" xfId="0" applyNumberFormat="1" applyFont="1" applyAlignment="1">
      <alignment horizontal="left"/>
    </xf>
    <xf numFmtId="165" fontId="7" fillId="0" borderId="1" xfId="0" applyNumberFormat="1" applyFont="1" applyBorder="1" applyAlignment="1">
      <alignment horizontal="center"/>
    </xf>
    <xf numFmtId="165" fontId="10" fillId="0" borderId="1" xfId="2" applyNumberFormat="1" applyFont="1" applyFill="1" applyBorder="1"/>
    <xf numFmtId="166" fontId="10" fillId="0" borderId="1" xfId="2" applyNumberFormat="1" applyFont="1" applyFill="1" applyBorder="1" applyAlignment="1">
      <alignment horizontal="center"/>
    </xf>
    <xf numFmtId="4" fontId="10" fillId="0" borderId="1" xfId="2" applyNumberFormat="1" applyFont="1" applyFill="1" applyBorder="1" applyAlignment="1">
      <alignment horizontal="center"/>
    </xf>
    <xf numFmtId="166" fontId="10" fillId="0" borderId="1" xfId="2" applyNumberFormat="1" applyFont="1" applyFill="1" applyBorder="1"/>
    <xf numFmtId="172" fontId="10" fillId="0" borderId="1" xfId="1" applyNumberFormat="1" applyFont="1" applyFill="1" applyBorder="1" applyAlignment="1">
      <alignment horizontal="center"/>
    </xf>
    <xf numFmtId="172" fontId="10" fillId="0" borderId="1" xfId="1" applyNumberFormat="1" applyFont="1" applyFill="1" applyBorder="1"/>
    <xf numFmtId="165" fontId="10" fillId="0" borderId="1" xfId="2" applyNumberFormat="1" applyFont="1" applyFill="1" applyBorder="1" applyAlignment="1">
      <alignment horizontal="left" vertical="top"/>
    </xf>
    <xf numFmtId="176" fontId="0" fillId="0" borderId="0" xfId="0" applyNumberFormat="1"/>
    <xf numFmtId="172" fontId="5" fillId="2" borderId="9" xfId="0" applyNumberFormat="1" applyFont="1" applyFill="1" applyBorder="1" applyAlignment="1">
      <alignment horizontal="left" vertical="center"/>
    </xf>
    <xf numFmtId="0" fontId="19" fillId="2" borderId="8" xfId="0" applyFont="1" applyFill="1" applyBorder="1" applyAlignment="1">
      <alignment horizontal="center" vertical="center"/>
    </xf>
    <xf numFmtId="172" fontId="19" fillId="2" borderId="9" xfId="1" applyNumberFormat="1" applyFont="1" applyFill="1" applyBorder="1" applyAlignment="1">
      <alignment horizontal="left" vertical="center"/>
    </xf>
    <xf numFmtId="167" fontId="10" fillId="0" borderId="1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173" fontId="2" fillId="0" borderId="9" xfId="0" applyNumberFormat="1" applyFont="1" applyBorder="1"/>
    <xf numFmtId="0" fontId="4" fillId="0" borderId="8" xfId="0" applyFont="1" applyBorder="1" applyAlignment="1">
      <alignment horizontal="center" vertical="center"/>
    </xf>
    <xf numFmtId="172" fontId="6" fillId="3" borderId="1" xfId="0" applyNumberFormat="1" applyFont="1" applyFill="1" applyBorder="1" applyAlignment="1">
      <alignment vertical="center"/>
    </xf>
    <xf numFmtId="172" fontId="19" fillId="0" borderId="9" xfId="0" applyNumberFormat="1" applyFont="1" applyBorder="1" applyAlignment="1">
      <alignment horizontal="left" vertical="center"/>
    </xf>
    <xf numFmtId="0" fontId="19" fillId="2" borderId="1" xfId="0" applyFont="1" applyFill="1" applyBorder="1" applyAlignment="1">
      <alignment vertical="center"/>
    </xf>
    <xf numFmtId="0" fontId="19" fillId="2" borderId="9" xfId="0" applyFont="1" applyFill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172" fontId="2" fillId="0" borderId="16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173" fontId="2" fillId="0" borderId="9" xfId="0" applyNumberFormat="1" applyFont="1" applyBorder="1" applyAlignment="1">
      <alignment vertical="center"/>
    </xf>
    <xf numFmtId="172" fontId="22" fillId="3" borderId="1" xfId="1" applyNumberFormat="1" applyFont="1" applyFill="1" applyBorder="1" applyAlignment="1">
      <alignment vertical="center"/>
    </xf>
    <xf numFmtId="172" fontId="5" fillId="3" borderId="9" xfId="0" applyNumberFormat="1" applyFont="1" applyFill="1" applyBorder="1" applyAlignment="1">
      <alignment horizontal="left" vertical="center"/>
    </xf>
    <xf numFmtId="172" fontId="3" fillId="2" borderId="9" xfId="1" applyNumberFormat="1" applyFont="1" applyFill="1" applyBorder="1" applyAlignment="1">
      <alignment horizontal="left" vertical="center"/>
    </xf>
    <xf numFmtId="173" fontId="3" fillId="2" borderId="9" xfId="0" applyNumberFormat="1" applyFont="1" applyFill="1" applyBorder="1" applyAlignment="1">
      <alignment vertical="center"/>
    </xf>
    <xf numFmtId="0" fontId="23" fillId="9" borderId="19" xfId="0" applyFont="1" applyFill="1" applyBorder="1" applyAlignment="1">
      <alignment horizontal="center" vertical="center" wrapText="1"/>
    </xf>
    <xf numFmtId="169" fontId="19" fillId="2" borderId="3" xfId="0" applyNumberFormat="1" applyFont="1" applyFill="1" applyBorder="1" applyAlignment="1">
      <alignment vertical="center"/>
    </xf>
    <xf numFmtId="169" fontId="19" fillId="2" borderId="23" xfId="0" applyNumberFormat="1" applyFont="1" applyFill="1" applyBorder="1" applyAlignment="1">
      <alignment vertical="center"/>
    </xf>
    <xf numFmtId="169" fontId="5" fillId="2" borderId="1" xfId="0" applyNumberFormat="1" applyFont="1" applyFill="1" applyBorder="1" applyAlignment="1">
      <alignment vertical="center"/>
    </xf>
    <xf numFmtId="172" fontId="0" fillId="0" borderId="0" xfId="0" applyNumberFormat="1" applyAlignment="1">
      <alignment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3" fillId="8" borderId="18" xfId="0" applyFont="1" applyFill="1" applyBorder="1" applyAlignment="1">
      <alignment horizontal="center" vertical="center" wrapText="1"/>
    </xf>
    <xf numFmtId="0" fontId="23" fillId="8" borderId="19" xfId="0" applyFont="1" applyFill="1" applyBorder="1" applyAlignment="1">
      <alignment horizontal="center" vertical="center"/>
    </xf>
    <xf numFmtId="0" fontId="23" fillId="7" borderId="21" xfId="0" applyFont="1" applyFill="1" applyBorder="1" applyAlignment="1">
      <alignment horizontal="center" vertical="center" wrapText="1"/>
    </xf>
    <xf numFmtId="0" fontId="23" fillId="7" borderId="19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0" fillId="0" borderId="1" xfId="0" applyFont="1" applyBorder="1"/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justify" vertical="top" wrapText="1"/>
    </xf>
    <xf numFmtId="0" fontId="8" fillId="0" borderId="3" xfId="0" applyFont="1" applyBorder="1" applyAlignment="1">
      <alignment horizontal="justify" vertical="top" wrapText="1"/>
    </xf>
    <xf numFmtId="0" fontId="8" fillId="0" borderId="4" xfId="0" applyFont="1" applyBorder="1" applyAlignment="1">
      <alignment horizontal="justify" vertical="top" wrapText="1"/>
    </xf>
    <xf numFmtId="0" fontId="0" fillId="0" borderId="1" xfId="0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65" fontId="10" fillId="0" borderId="1" xfId="0" applyNumberFormat="1" applyFont="1" applyBorder="1"/>
    <xf numFmtId="0" fontId="9" fillId="0" borderId="1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165" fontId="10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wrapText="1"/>
    </xf>
    <xf numFmtId="0" fontId="10" fillId="0" borderId="2" xfId="0" applyFont="1" applyBorder="1"/>
    <xf numFmtId="0" fontId="10" fillId="0" borderId="3" xfId="0" applyFont="1" applyBorder="1"/>
    <xf numFmtId="0" fontId="10" fillId="0" borderId="4" xfId="0" applyFont="1" applyBorder="1"/>
    <xf numFmtId="165" fontId="10" fillId="0" borderId="1" xfId="0" applyNumberFormat="1" applyFont="1" applyBorder="1" applyAlignment="1">
      <alignment horizontal="center"/>
    </xf>
    <xf numFmtId="0" fontId="10" fillId="0" borderId="2" xfId="0" applyFont="1" applyBorder="1" applyAlignment="1">
      <alignment wrapText="1"/>
    </xf>
    <xf numFmtId="0" fontId="10" fillId="0" borderId="3" xfId="0" applyFont="1" applyBorder="1" applyAlignment="1">
      <alignment wrapText="1"/>
    </xf>
    <xf numFmtId="0" fontId="10" fillId="0" borderId="4" xfId="0" applyFont="1" applyBorder="1" applyAlignment="1">
      <alignment wrapText="1"/>
    </xf>
    <xf numFmtId="0" fontId="8" fillId="6" borderId="2" xfId="0" applyFont="1" applyFill="1" applyBorder="1" applyAlignment="1">
      <alignment horizontal="justify" vertical="top" wrapText="1"/>
    </xf>
    <xf numFmtId="0" fontId="8" fillId="6" borderId="3" xfId="0" applyFont="1" applyFill="1" applyBorder="1" applyAlignment="1">
      <alignment horizontal="justify" vertical="top" wrapText="1"/>
    </xf>
    <xf numFmtId="0" fontId="8" fillId="6" borderId="4" xfId="0" applyFont="1" applyFill="1" applyBorder="1" applyAlignment="1">
      <alignment horizontal="justify" vertical="top" wrapText="1"/>
    </xf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165" fontId="10" fillId="0" borderId="14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justify" vertical="top" wrapText="1"/>
    </xf>
    <xf numFmtId="0" fontId="9" fillId="0" borderId="2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8" fillId="0" borderId="11" xfId="0" applyFont="1" applyBorder="1" applyAlignment="1">
      <alignment horizontal="justify" vertical="top" wrapText="1"/>
    </xf>
    <xf numFmtId="0" fontId="8" fillId="0" borderId="10" xfId="0" applyFont="1" applyBorder="1" applyAlignment="1">
      <alignment horizontal="justify" vertical="top" wrapText="1"/>
    </xf>
    <xf numFmtId="0" fontId="8" fillId="0" borderId="12" xfId="0" applyFont="1" applyBorder="1" applyAlignment="1">
      <alignment horizontal="justify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21" fillId="0" borderId="2" xfId="0" applyFont="1" applyBorder="1" applyAlignment="1">
      <alignment horizontal="left" vertical="top" wrapText="1"/>
    </xf>
    <xf numFmtId="0" fontId="21" fillId="0" borderId="3" xfId="0" applyFont="1" applyBorder="1" applyAlignment="1">
      <alignment horizontal="left" vertical="top"/>
    </xf>
    <xf numFmtId="0" fontId="21" fillId="0" borderId="4" xfId="0" applyFont="1" applyBorder="1" applyAlignment="1">
      <alignment horizontal="left" vertical="top"/>
    </xf>
    <xf numFmtId="165" fontId="10" fillId="0" borderId="2" xfId="0" applyNumberFormat="1" applyFont="1" applyBorder="1" applyAlignment="1">
      <alignment horizontal="center"/>
    </xf>
    <xf numFmtId="165" fontId="10" fillId="0" borderId="4" xfId="0" applyNumberFormat="1" applyFont="1" applyBorder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2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0" fillId="5" borderId="10" xfId="0" applyFill="1" applyBorder="1" applyAlignment="1">
      <alignment horizontal="center"/>
    </xf>
    <xf numFmtId="172" fontId="10" fillId="0" borderId="1" xfId="1" applyNumberFormat="1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10" fillId="0" borderId="2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3" fillId="0" borderId="1" xfId="0" applyFont="1" applyBorder="1" applyAlignment="1">
      <alignment horizontal="center"/>
    </xf>
  </cellXfs>
  <cellStyles count="3">
    <cellStyle name="Millares_formatos APU AYAPEL 3" xfId="2" xr:uid="{FEA7168D-FB77-453E-89A6-98511B8557BF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showGridLines="0" tabSelected="1" topLeftCell="E1" zoomScale="103" zoomScaleNormal="85" workbookViewId="0">
      <selection activeCell="K1" sqref="K1"/>
    </sheetView>
  </sheetViews>
  <sheetFormatPr baseColWidth="10" defaultColWidth="11.42578125" defaultRowHeight="15" x14ac:dyDescent="0.25"/>
  <cols>
    <col min="2" max="2" width="41.5703125" customWidth="1"/>
    <col min="4" max="4" width="11.42578125" style="9"/>
    <col min="5" max="5" width="12.5703125" style="72" bestFit="1" customWidth="1"/>
    <col min="6" max="6" width="23.85546875" style="97" customWidth="1"/>
    <col min="7" max="7" width="16.7109375" customWidth="1"/>
    <col min="8" max="8" width="19.5703125" customWidth="1"/>
    <col min="9" max="9" width="13.42578125" customWidth="1"/>
    <col min="10" max="10" width="19.42578125" customWidth="1"/>
    <col min="11" max="11" width="25.85546875" customWidth="1"/>
    <col min="12" max="12" width="15.5703125" bestFit="1" customWidth="1"/>
  </cols>
  <sheetData>
    <row r="1" spans="1:11" ht="30" customHeight="1" thickBot="1" x14ac:dyDescent="0.3">
      <c r="A1" s="132" t="s">
        <v>0</v>
      </c>
      <c r="B1" s="133"/>
      <c r="C1" s="133"/>
      <c r="D1" s="133"/>
      <c r="E1" s="133"/>
      <c r="F1" s="134"/>
    </row>
    <row r="2" spans="1:11" ht="62.25" customHeight="1" thickBot="1" x14ac:dyDescent="0.3">
      <c r="A2" s="1" t="s">
        <v>1</v>
      </c>
      <c r="B2" s="145" t="s">
        <v>2</v>
      </c>
      <c r="C2" s="146"/>
      <c r="D2" s="147"/>
      <c r="E2" s="143" t="s">
        <v>3</v>
      </c>
      <c r="F2" s="144"/>
      <c r="G2" s="141" t="s">
        <v>4</v>
      </c>
      <c r="H2" s="142"/>
      <c r="I2" s="139" t="s">
        <v>5</v>
      </c>
      <c r="J2" s="140"/>
      <c r="K2" s="127" t="s">
        <v>6</v>
      </c>
    </row>
    <row r="3" spans="1:11" ht="20.25" customHeight="1" x14ac:dyDescent="0.25">
      <c r="A3" s="151" t="s">
        <v>7</v>
      </c>
      <c r="B3" s="152"/>
      <c r="C3" s="2" t="s">
        <v>8</v>
      </c>
      <c r="D3" s="2" t="s">
        <v>9</v>
      </c>
      <c r="E3" s="69" t="s">
        <v>10</v>
      </c>
      <c r="F3" s="95" t="s">
        <v>11</v>
      </c>
      <c r="G3" s="69" t="s">
        <v>10</v>
      </c>
      <c r="H3" s="95" t="s">
        <v>11</v>
      </c>
      <c r="I3" s="69" t="s">
        <v>10</v>
      </c>
      <c r="J3" s="95" t="s">
        <v>11</v>
      </c>
      <c r="K3" s="95" t="s">
        <v>12</v>
      </c>
    </row>
    <row r="4" spans="1:11" ht="16.5" x14ac:dyDescent="0.25">
      <c r="A4" s="3" t="s">
        <v>13</v>
      </c>
      <c r="B4" s="4" t="s">
        <v>14</v>
      </c>
      <c r="C4" s="57"/>
      <c r="D4" s="58"/>
      <c r="E4" s="70"/>
      <c r="F4" s="107"/>
      <c r="G4" s="70"/>
      <c r="H4" s="107"/>
      <c r="I4" s="107"/>
      <c r="J4" s="107"/>
      <c r="K4" s="107"/>
    </row>
    <row r="5" spans="1:11" ht="38.25" x14ac:dyDescent="0.25">
      <c r="A5" s="8">
        <v>1</v>
      </c>
      <c r="B5" s="5" t="s">
        <v>15</v>
      </c>
      <c r="C5" s="6" t="s">
        <v>16</v>
      </c>
      <c r="D5" s="51">
        <v>1</v>
      </c>
      <c r="E5" s="114">
        <v>478906</v>
      </c>
      <c r="F5" s="115">
        <f>D5*E5</f>
        <v>478906</v>
      </c>
      <c r="G5" s="114">
        <v>478906</v>
      </c>
      <c r="H5" s="115">
        <f>G5*D5</f>
        <v>478906</v>
      </c>
      <c r="I5" s="115">
        <v>478906</v>
      </c>
      <c r="J5" s="115">
        <f>I5*D5</f>
        <v>478906</v>
      </c>
      <c r="K5" s="124">
        <f>AVERAGE(F5,H5,J5)</f>
        <v>478906</v>
      </c>
    </row>
    <row r="6" spans="1:11" ht="16.5" x14ac:dyDescent="0.25">
      <c r="A6" s="3" t="s">
        <v>17</v>
      </c>
      <c r="B6" s="4" t="s">
        <v>18</v>
      </c>
      <c r="C6" s="130"/>
      <c r="D6" s="4"/>
      <c r="E6" s="128"/>
      <c r="F6" s="129"/>
      <c r="G6" s="116"/>
      <c r="H6" s="117"/>
      <c r="I6" s="117"/>
      <c r="J6" s="117"/>
      <c r="K6" s="117"/>
    </row>
    <row r="7" spans="1:11" ht="63.75" x14ac:dyDescent="0.25">
      <c r="A7" s="8">
        <v>1</v>
      </c>
      <c r="B7" s="5" t="s">
        <v>19</v>
      </c>
      <c r="C7" s="6" t="s">
        <v>20</v>
      </c>
      <c r="D7" s="7">
        <v>34</v>
      </c>
      <c r="E7" s="71">
        <f>'A.P.U. DESDE A-H'!I483</f>
        <v>116255</v>
      </c>
      <c r="F7" s="96">
        <f t="shared" ref="F7:F14" si="0">+D7*E7</f>
        <v>3952670</v>
      </c>
      <c r="G7" s="123">
        <v>116255</v>
      </c>
      <c r="H7" s="115">
        <f>G7*D7</f>
        <v>3952670</v>
      </c>
      <c r="I7" s="71">
        <v>116255</v>
      </c>
      <c r="J7" s="115">
        <f>I7*D7</f>
        <v>3952670</v>
      </c>
      <c r="K7" s="124">
        <f t="shared" ref="K7:K18" si="1">AVERAGE(F7,H7,J7)</f>
        <v>3952670</v>
      </c>
    </row>
    <row r="8" spans="1:11" ht="51" x14ac:dyDescent="0.25">
      <c r="A8" s="8">
        <v>2</v>
      </c>
      <c r="B8" s="5" t="s">
        <v>21</v>
      </c>
      <c r="C8" s="6" t="s">
        <v>20</v>
      </c>
      <c r="D8" s="7">
        <v>35</v>
      </c>
      <c r="E8" s="71">
        <f>'A.P.U. DESDE A-H'!I185</f>
        <v>60233</v>
      </c>
      <c r="F8" s="96">
        <f t="shared" si="0"/>
        <v>2108155</v>
      </c>
      <c r="G8" s="71">
        <v>60233</v>
      </c>
      <c r="H8" s="115">
        <f t="shared" ref="H8:H18" si="2">G8*D8</f>
        <v>2108155</v>
      </c>
      <c r="I8" s="71">
        <v>60233</v>
      </c>
      <c r="J8" s="115">
        <f t="shared" ref="J8:J18" si="3">I8*D8</f>
        <v>2108155</v>
      </c>
      <c r="K8" s="124">
        <f t="shared" si="1"/>
        <v>2108155</v>
      </c>
    </row>
    <row r="9" spans="1:11" ht="63.75" x14ac:dyDescent="0.25">
      <c r="A9" s="8">
        <v>3</v>
      </c>
      <c r="B9" s="5" t="s">
        <v>22</v>
      </c>
      <c r="C9" s="6" t="s">
        <v>20</v>
      </c>
      <c r="D9" s="7">
        <v>27</v>
      </c>
      <c r="E9" s="71">
        <f>'A.P.U. DESDE A-H'!I460</f>
        <v>116735</v>
      </c>
      <c r="F9" s="96">
        <f t="shared" si="0"/>
        <v>3151845</v>
      </c>
      <c r="G9" s="71">
        <v>116735</v>
      </c>
      <c r="H9" s="115">
        <f t="shared" si="2"/>
        <v>3151845</v>
      </c>
      <c r="I9" s="71">
        <v>116735</v>
      </c>
      <c r="J9" s="115">
        <f t="shared" si="3"/>
        <v>3151845</v>
      </c>
      <c r="K9" s="124">
        <f t="shared" si="1"/>
        <v>3151845</v>
      </c>
    </row>
    <row r="10" spans="1:11" ht="89.25" x14ac:dyDescent="0.25">
      <c r="A10" s="8">
        <v>4</v>
      </c>
      <c r="B10" s="5" t="s">
        <v>23</v>
      </c>
      <c r="C10" s="6" t="s">
        <v>20</v>
      </c>
      <c r="D10" s="7">
        <v>70</v>
      </c>
      <c r="E10" s="71">
        <f>'A.P.U. DESDE A-H'!I392</f>
        <v>14547</v>
      </c>
      <c r="F10" s="96">
        <f t="shared" si="0"/>
        <v>1018290</v>
      </c>
      <c r="G10" s="71">
        <v>14547</v>
      </c>
      <c r="H10" s="115">
        <f t="shared" si="2"/>
        <v>1018290</v>
      </c>
      <c r="I10" s="71">
        <v>14547</v>
      </c>
      <c r="J10" s="115">
        <f t="shared" si="3"/>
        <v>1018290</v>
      </c>
      <c r="K10" s="124">
        <f t="shared" si="1"/>
        <v>1018290</v>
      </c>
    </row>
    <row r="11" spans="1:11" ht="63.75" x14ac:dyDescent="0.25">
      <c r="A11" s="8">
        <v>5</v>
      </c>
      <c r="B11" s="5" t="s">
        <v>24</v>
      </c>
      <c r="C11" s="6" t="s">
        <v>20</v>
      </c>
      <c r="D11" s="7">
        <v>28</v>
      </c>
      <c r="E11" s="71">
        <f>'A.P.U. DESDE A-H'!I347</f>
        <v>45283</v>
      </c>
      <c r="F11" s="96">
        <f t="shared" si="0"/>
        <v>1267924</v>
      </c>
      <c r="G11" s="71">
        <v>45283</v>
      </c>
      <c r="H11" s="115">
        <f t="shared" si="2"/>
        <v>1267924</v>
      </c>
      <c r="I11" s="71">
        <v>45283</v>
      </c>
      <c r="J11" s="115">
        <f t="shared" si="3"/>
        <v>1267924</v>
      </c>
      <c r="K11" s="124">
        <f t="shared" si="1"/>
        <v>1267924</v>
      </c>
    </row>
    <row r="12" spans="1:11" ht="51" x14ac:dyDescent="0.25">
      <c r="A12" s="8">
        <v>6</v>
      </c>
      <c r="B12" s="5" t="s">
        <v>25</v>
      </c>
      <c r="C12" s="6" t="s">
        <v>20</v>
      </c>
      <c r="D12" s="7">
        <v>52</v>
      </c>
      <c r="E12" s="71">
        <v>135862.5</v>
      </c>
      <c r="F12" s="96">
        <f t="shared" si="0"/>
        <v>7064850</v>
      </c>
      <c r="G12" s="71">
        <v>135989</v>
      </c>
      <c r="H12" s="115">
        <f t="shared" si="2"/>
        <v>7071428</v>
      </c>
      <c r="I12" s="71">
        <v>135989</v>
      </c>
      <c r="J12" s="115">
        <f t="shared" si="3"/>
        <v>7071428</v>
      </c>
      <c r="K12" s="124">
        <f t="shared" si="1"/>
        <v>7069235.333333333</v>
      </c>
    </row>
    <row r="13" spans="1:11" ht="38.25" x14ac:dyDescent="0.25">
      <c r="A13" s="8">
        <v>7</v>
      </c>
      <c r="B13" s="5" t="s">
        <v>26</v>
      </c>
      <c r="C13" s="6" t="s">
        <v>16</v>
      </c>
      <c r="D13" s="7">
        <v>1</v>
      </c>
      <c r="E13" s="71">
        <v>250000</v>
      </c>
      <c r="F13" s="96">
        <f t="shared" si="0"/>
        <v>250000</v>
      </c>
      <c r="G13" s="71">
        <v>250000</v>
      </c>
      <c r="H13" s="115">
        <f t="shared" si="2"/>
        <v>250000</v>
      </c>
      <c r="I13" s="71">
        <v>250000</v>
      </c>
      <c r="J13" s="115">
        <f t="shared" si="3"/>
        <v>250000</v>
      </c>
      <c r="K13" s="124">
        <f t="shared" si="1"/>
        <v>250000</v>
      </c>
    </row>
    <row r="14" spans="1:11" ht="51" x14ac:dyDescent="0.25">
      <c r="A14" s="8">
        <v>8</v>
      </c>
      <c r="B14" s="5" t="s">
        <v>27</v>
      </c>
      <c r="C14" s="6" t="s">
        <v>16</v>
      </c>
      <c r="D14" s="7">
        <v>1</v>
      </c>
      <c r="E14" s="71">
        <v>900000</v>
      </c>
      <c r="F14" s="96">
        <f t="shared" si="0"/>
        <v>900000</v>
      </c>
      <c r="G14" s="71">
        <v>900000</v>
      </c>
      <c r="H14" s="115">
        <f t="shared" si="2"/>
        <v>900000</v>
      </c>
      <c r="I14" s="71">
        <v>900000</v>
      </c>
      <c r="J14" s="115">
        <f t="shared" si="3"/>
        <v>900000</v>
      </c>
      <c r="K14" s="124">
        <f t="shared" si="1"/>
        <v>900000</v>
      </c>
    </row>
    <row r="15" spans="1:11" ht="16.5" x14ac:dyDescent="0.25">
      <c r="A15" s="108" t="s">
        <v>28</v>
      </c>
      <c r="B15" s="4" t="s">
        <v>29</v>
      </c>
      <c r="C15" s="57"/>
      <c r="D15" s="93"/>
      <c r="E15" s="94"/>
      <c r="F15" s="109"/>
      <c r="G15" s="94"/>
      <c r="H15" s="109"/>
      <c r="I15" s="109"/>
      <c r="J15" s="109"/>
      <c r="K15" s="109"/>
    </row>
    <row r="16" spans="1:11" ht="38.25" x14ac:dyDescent="0.25">
      <c r="A16" s="8">
        <v>1</v>
      </c>
      <c r="B16" s="5" t="s">
        <v>30</v>
      </c>
      <c r="C16" s="6" t="s">
        <v>16</v>
      </c>
      <c r="D16" s="7">
        <v>12</v>
      </c>
      <c r="E16" s="71">
        <f>'APU ELECTRICO'!I21</f>
        <v>129500</v>
      </c>
      <c r="F16" s="96">
        <f>D16*E16</f>
        <v>1554000</v>
      </c>
      <c r="G16" s="71">
        <v>130048.17</v>
      </c>
      <c r="H16" s="115">
        <v>1560578</v>
      </c>
      <c r="I16" s="71">
        <v>129500</v>
      </c>
      <c r="J16" s="115">
        <f t="shared" si="3"/>
        <v>1554000</v>
      </c>
      <c r="K16" s="124">
        <f t="shared" si="1"/>
        <v>1556192.6666666667</v>
      </c>
    </row>
    <row r="17" spans="1:12" ht="16.5" x14ac:dyDescent="0.25">
      <c r="A17" s="108" t="s">
        <v>31</v>
      </c>
      <c r="B17" s="4" t="s">
        <v>32</v>
      </c>
      <c r="C17" s="57"/>
      <c r="D17" s="93"/>
      <c r="E17" s="94"/>
      <c r="F17" s="109"/>
      <c r="G17" s="94"/>
      <c r="H17" s="109"/>
      <c r="I17" s="109"/>
      <c r="J17" s="109"/>
      <c r="K17" s="109"/>
    </row>
    <row r="18" spans="1:12" ht="63.75" x14ac:dyDescent="0.25">
      <c r="A18" s="8">
        <v>1</v>
      </c>
      <c r="B18" s="5" t="s">
        <v>33</v>
      </c>
      <c r="C18" s="6" t="s">
        <v>34</v>
      </c>
      <c r="D18" s="7">
        <v>1</v>
      </c>
      <c r="E18" s="71">
        <v>3500000</v>
      </c>
      <c r="F18" s="96">
        <f t="shared" ref="F18" si="4">D18*E18</f>
        <v>3500000</v>
      </c>
      <c r="G18" s="71">
        <v>3500000</v>
      </c>
      <c r="H18" s="115">
        <f t="shared" si="2"/>
        <v>3500000</v>
      </c>
      <c r="I18" s="71">
        <v>3500000</v>
      </c>
      <c r="J18" s="115">
        <f t="shared" si="3"/>
        <v>3500000</v>
      </c>
      <c r="K18" s="124">
        <f t="shared" si="1"/>
        <v>3500000</v>
      </c>
    </row>
    <row r="19" spans="1:12" s="121" customFormat="1" ht="21.75" customHeight="1" thickBot="1" x14ac:dyDescent="0.3">
      <c r="A19" s="118"/>
      <c r="B19" s="119"/>
      <c r="C19" s="136" t="s">
        <v>35</v>
      </c>
      <c r="D19" s="137"/>
      <c r="E19" s="138"/>
      <c r="F19" s="120">
        <f>SUM(F5:F18)</f>
        <v>25246640</v>
      </c>
      <c r="H19" s="120">
        <f>SUM(H5:H18)</f>
        <v>25259796</v>
      </c>
      <c r="J19" s="120">
        <f>SUM(J5:J18)</f>
        <v>25253218</v>
      </c>
      <c r="K19" s="125">
        <f>AVERAGE(F19,H19,J19)</f>
        <v>25253218</v>
      </c>
      <c r="L19" s="131">
        <f>SUM(K18,K16,K14,K13,K12,K11,K10,K9,K8,K7,K5)</f>
        <v>25253218</v>
      </c>
    </row>
    <row r="20" spans="1:12" ht="15" customHeight="1" x14ac:dyDescent="0.25">
      <c r="A20" s="135"/>
      <c r="B20" s="135"/>
      <c r="C20" s="135"/>
      <c r="D20" s="135"/>
      <c r="E20" s="135"/>
      <c r="F20" s="135"/>
    </row>
    <row r="21" spans="1:12" ht="15" customHeight="1" x14ac:dyDescent="0.25">
      <c r="A21" s="111"/>
      <c r="B21" s="153" t="s">
        <v>36</v>
      </c>
      <c r="C21" s="154"/>
      <c r="D21" s="154"/>
      <c r="E21" s="155"/>
      <c r="F21" s="112">
        <f>F19</f>
        <v>25246640</v>
      </c>
      <c r="H21" s="112">
        <f>H19</f>
        <v>25259796</v>
      </c>
      <c r="I21" s="112"/>
      <c r="J21" s="112">
        <f>J19</f>
        <v>25253218</v>
      </c>
      <c r="K21" s="112">
        <f>K19</f>
        <v>25253218</v>
      </c>
    </row>
    <row r="22" spans="1:12" ht="15" customHeight="1" x14ac:dyDescent="0.25">
      <c r="A22" s="111"/>
      <c r="B22" s="153" t="s">
        <v>37</v>
      </c>
      <c r="C22" s="154"/>
      <c r="D22" s="154"/>
      <c r="E22" s="155"/>
      <c r="F22" s="112"/>
      <c r="H22" s="112"/>
      <c r="I22" s="112"/>
      <c r="J22" s="112"/>
      <c r="K22" s="112"/>
    </row>
    <row r="23" spans="1:12" ht="15" customHeight="1" x14ac:dyDescent="0.25">
      <c r="A23" s="113"/>
      <c r="B23" s="156" t="s">
        <v>225</v>
      </c>
      <c r="C23" s="157"/>
      <c r="D23" s="157"/>
      <c r="E23" s="158"/>
      <c r="F23" s="112">
        <f>F21*0.2</f>
        <v>5049328</v>
      </c>
      <c r="H23" s="112">
        <f>H21*0.2</f>
        <v>5051959.2</v>
      </c>
      <c r="I23" s="112"/>
      <c r="J23" s="112">
        <f>J21*0.2</f>
        <v>5050643.6000000006</v>
      </c>
      <c r="K23" s="112">
        <f>K21*0.2</f>
        <v>5050643.6000000006</v>
      </c>
    </row>
    <row r="24" spans="1:12" ht="15" customHeight="1" x14ac:dyDescent="0.25">
      <c r="A24" s="113"/>
      <c r="B24" s="156" t="s">
        <v>38</v>
      </c>
      <c r="C24" s="157"/>
      <c r="D24" s="157"/>
      <c r="E24" s="158"/>
      <c r="F24" s="112">
        <f>F21*0.05</f>
        <v>1262332</v>
      </c>
      <c r="H24" s="112">
        <f>H21*0.05</f>
        <v>1262989.8</v>
      </c>
      <c r="I24" s="112"/>
      <c r="J24" s="112">
        <f>J21*0.05</f>
        <v>1262660.9000000001</v>
      </c>
      <c r="K24" s="112">
        <f>K21*0.05</f>
        <v>1262660.9000000001</v>
      </c>
    </row>
    <row r="25" spans="1:12" s="121" customFormat="1" ht="19.5" customHeight="1" x14ac:dyDescent="0.25">
      <c r="A25" s="113"/>
      <c r="B25" s="148" t="s">
        <v>39</v>
      </c>
      <c r="C25" s="149"/>
      <c r="D25" s="149"/>
      <c r="E25" s="150"/>
      <c r="F25" s="122">
        <f>SUM(F21:F24)</f>
        <v>31558300</v>
      </c>
      <c r="H25" s="122">
        <f>SUM(H21:H24)</f>
        <v>31574745</v>
      </c>
      <c r="I25" s="122"/>
      <c r="J25" s="122">
        <f>SUM(J21:J24)</f>
        <v>31566522.5</v>
      </c>
      <c r="K25" s="126">
        <f>SUM(K21:K24)</f>
        <v>31566522.5</v>
      </c>
    </row>
    <row r="26" spans="1:12" x14ac:dyDescent="0.25">
      <c r="D26"/>
      <c r="E26"/>
      <c r="F26"/>
    </row>
    <row r="27" spans="1:12" x14ac:dyDescent="0.25">
      <c r="D27"/>
      <c r="E27"/>
      <c r="F27"/>
    </row>
  </sheetData>
  <mergeCells count="13">
    <mergeCell ref="B25:E25"/>
    <mergeCell ref="A3:B3"/>
    <mergeCell ref="B21:E21"/>
    <mergeCell ref="B22:E22"/>
    <mergeCell ref="B23:E23"/>
    <mergeCell ref="B24:E24"/>
    <mergeCell ref="A1:F1"/>
    <mergeCell ref="A20:F20"/>
    <mergeCell ref="C19:E19"/>
    <mergeCell ref="I2:J2"/>
    <mergeCell ref="G2:H2"/>
    <mergeCell ref="E2:F2"/>
    <mergeCell ref="B2:D2"/>
  </mergeCells>
  <phoneticPr fontId="2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77396-DEA6-4E0B-9C72-D1F3F6DC77B1}">
  <dimension ref="A1:I21"/>
  <sheetViews>
    <sheetView workbookViewId="0">
      <selection activeCell="I35" sqref="I35"/>
    </sheetView>
  </sheetViews>
  <sheetFormatPr baseColWidth="10" defaultColWidth="11.42578125" defaultRowHeight="15" x14ac:dyDescent="0.25"/>
  <sheetData>
    <row r="1" spans="1:9" ht="16.5" x14ac:dyDescent="0.3">
      <c r="A1" s="160"/>
      <c r="B1" s="161"/>
      <c r="C1" s="161"/>
      <c r="D1" s="161"/>
      <c r="E1" s="161"/>
      <c r="F1" s="161"/>
      <c r="G1" s="161"/>
      <c r="H1" s="161"/>
      <c r="I1" s="162"/>
    </row>
    <row r="2" spans="1:9" ht="16.5" x14ac:dyDescent="0.3">
      <c r="A2" s="10" t="s">
        <v>40</v>
      </c>
      <c r="B2" s="163" t="str">
        <f>'PRESUPUESTO_ESTUDIO MERCADO '!B16</f>
        <v>Sumistro e instalacion de luces tipo ojos de buey de 6", incluye, suiches, cablaedo, tuberia galvanizada y todos los accesorios para su correcta instalacion</v>
      </c>
      <c r="C2" s="164"/>
      <c r="D2" s="164"/>
      <c r="E2" s="164"/>
      <c r="F2" s="164"/>
      <c r="G2" s="164"/>
      <c r="H2" s="164"/>
      <c r="I2" s="165"/>
    </row>
    <row r="3" spans="1:9" ht="16.5" x14ac:dyDescent="0.3">
      <c r="A3" s="11" t="s">
        <v>41</v>
      </c>
      <c r="B3" s="166"/>
      <c r="C3" s="166"/>
      <c r="D3" s="166"/>
      <c r="E3" s="166"/>
      <c r="F3" s="166"/>
      <c r="G3" s="166"/>
      <c r="H3" s="12" t="s">
        <v>42</v>
      </c>
      <c r="I3" s="13" t="s">
        <v>43</v>
      </c>
    </row>
    <row r="4" spans="1:9" ht="16.5" x14ac:dyDescent="0.3">
      <c r="A4" s="167" t="s">
        <v>44</v>
      </c>
      <c r="B4" s="167"/>
      <c r="C4" s="167"/>
      <c r="D4" s="167"/>
      <c r="E4" s="167"/>
      <c r="F4" s="14" t="s">
        <v>9</v>
      </c>
      <c r="G4" s="14" t="s">
        <v>45</v>
      </c>
      <c r="H4" s="14" t="s">
        <v>46</v>
      </c>
      <c r="I4" s="15" t="s">
        <v>47</v>
      </c>
    </row>
    <row r="5" spans="1:9" x14ac:dyDescent="0.25">
      <c r="A5" s="159" t="s">
        <v>48</v>
      </c>
      <c r="B5" s="159"/>
      <c r="C5" s="159"/>
      <c r="D5" s="159"/>
      <c r="E5" s="159"/>
      <c r="F5" s="17"/>
      <c r="G5" s="17"/>
      <c r="H5" s="18"/>
      <c r="I5" s="19">
        <f>ROUND((SUM(I19:I20)*0.05),0)</f>
        <v>2186</v>
      </c>
    </row>
    <row r="6" spans="1:9" x14ac:dyDescent="0.25">
      <c r="A6" s="159"/>
      <c r="B6" s="159"/>
      <c r="C6" s="159"/>
      <c r="D6" s="159"/>
      <c r="E6" s="159"/>
      <c r="F6" s="17"/>
      <c r="G6" s="17"/>
      <c r="H6" s="21"/>
      <c r="I6" s="19"/>
    </row>
    <row r="7" spans="1:9" x14ac:dyDescent="0.25">
      <c r="A7" s="159"/>
      <c r="B7" s="159"/>
      <c r="C7" s="159"/>
      <c r="D7" s="159"/>
      <c r="E7" s="159"/>
      <c r="F7" s="17"/>
      <c r="G7" s="17"/>
      <c r="H7" s="21"/>
      <c r="I7" s="19"/>
    </row>
    <row r="8" spans="1:9" ht="16.5" x14ac:dyDescent="0.3">
      <c r="A8" s="167" t="s">
        <v>49</v>
      </c>
      <c r="B8" s="167"/>
      <c r="C8" s="167"/>
      <c r="D8" s="167"/>
      <c r="E8" s="167"/>
      <c r="F8" s="14" t="s">
        <v>50</v>
      </c>
      <c r="G8" s="22" t="s">
        <v>51</v>
      </c>
      <c r="H8" s="22" t="s">
        <v>52</v>
      </c>
      <c r="I8" s="15" t="s">
        <v>53</v>
      </c>
    </row>
    <row r="9" spans="1:9" x14ac:dyDescent="0.25">
      <c r="A9" s="159" t="s">
        <v>54</v>
      </c>
      <c r="B9" s="159"/>
      <c r="C9" s="159"/>
      <c r="D9" s="159"/>
      <c r="E9" s="159"/>
      <c r="F9" s="23" t="s">
        <v>55</v>
      </c>
      <c r="G9" s="24">
        <v>14000</v>
      </c>
      <c r="H9" s="18">
        <v>1</v>
      </c>
      <c r="I9" s="24">
        <f>+H9*G9</f>
        <v>14000</v>
      </c>
    </row>
    <row r="10" spans="1:9" x14ac:dyDescent="0.25">
      <c r="A10" s="159" t="s">
        <v>56</v>
      </c>
      <c r="B10" s="159"/>
      <c r="C10" s="159"/>
      <c r="D10" s="159"/>
      <c r="E10" s="159"/>
      <c r="F10" s="23" t="s">
        <v>43</v>
      </c>
      <c r="G10" s="24">
        <v>12000</v>
      </c>
      <c r="H10" s="18">
        <v>1</v>
      </c>
      <c r="I10" s="24">
        <f>+H10*G10</f>
        <v>12000</v>
      </c>
    </row>
    <row r="11" spans="1:9" x14ac:dyDescent="0.25">
      <c r="A11" s="159" t="s">
        <v>57</v>
      </c>
      <c r="B11" s="159"/>
      <c r="C11" s="159"/>
      <c r="D11" s="159"/>
      <c r="E11" s="159"/>
      <c r="F11" s="23" t="s">
        <v>58</v>
      </c>
      <c r="G11" s="18">
        <v>15000</v>
      </c>
      <c r="H11" s="18">
        <v>3</v>
      </c>
      <c r="I11" s="24">
        <f>+G11*H11</f>
        <v>45000</v>
      </c>
    </row>
    <row r="12" spans="1:9" x14ac:dyDescent="0.25">
      <c r="A12" s="159" t="s">
        <v>59</v>
      </c>
      <c r="B12" s="159"/>
      <c r="C12" s="159"/>
      <c r="D12" s="159"/>
      <c r="E12" s="159"/>
      <c r="F12" s="23" t="s">
        <v>43</v>
      </c>
      <c r="G12" s="18">
        <v>9000</v>
      </c>
      <c r="H12" s="18">
        <v>1</v>
      </c>
      <c r="I12" s="24">
        <f t="shared" ref="I12:I14" si="0">+G12*H12</f>
        <v>9000</v>
      </c>
    </row>
    <row r="13" spans="1:9" x14ac:dyDescent="0.25">
      <c r="A13" s="159" t="s">
        <v>60</v>
      </c>
      <c r="B13" s="159"/>
      <c r="C13" s="159"/>
      <c r="D13" s="159"/>
      <c r="E13" s="159"/>
      <c r="F13" s="23" t="s">
        <v>58</v>
      </c>
      <c r="G13" s="18">
        <v>1200</v>
      </c>
      <c r="H13" s="18">
        <v>3</v>
      </c>
      <c r="I13" s="24">
        <f t="shared" si="0"/>
        <v>3600</v>
      </c>
    </row>
    <row r="14" spans="1:9" x14ac:dyDescent="0.25">
      <c r="A14" s="159"/>
      <c r="B14" s="159"/>
      <c r="C14" s="159"/>
      <c r="D14" s="159"/>
      <c r="E14" s="159"/>
      <c r="F14" s="23"/>
      <c r="G14" s="18"/>
      <c r="H14" s="18"/>
      <c r="I14" s="24">
        <f t="shared" si="0"/>
        <v>0</v>
      </c>
    </row>
    <row r="15" spans="1:9" ht="16.5" x14ac:dyDescent="0.3">
      <c r="A15" s="167" t="s">
        <v>61</v>
      </c>
      <c r="B15" s="167"/>
      <c r="C15" s="167"/>
      <c r="D15" s="167"/>
      <c r="E15" s="25" t="s">
        <v>62</v>
      </c>
      <c r="F15" s="14" t="s">
        <v>63</v>
      </c>
      <c r="G15" s="14" t="s">
        <v>64</v>
      </c>
      <c r="H15" s="14" t="s">
        <v>65</v>
      </c>
      <c r="I15" s="15" t="s">
        <v>53</v>
      </c>
    </row>
    <row r="16" spans="1:9" x14ac:dyDescent="0.25">
      <c r="A16" s="159" t="s">
        <v>66</v>
      </c>
      <c r="B16" s="159"/>
      <c r="C16" s="159"/>
      <c r="D16" s="159"/>
      <c r="E16" s="26"/>
      <c r="F16" s="26">
        <v>6</v>
      </c>
      <c r="G16" s="26">
        <f>35000/F16</f>
        <v>5833.333333333333</v>
      </c>
      <c r="H16" s="26">
        <f>+G16*6</f>
        <v>35000</v>
      </c>
      <c r="I16" s="18">
        <f>+E16*G16</f>
        <v>0</v>
      </c>
    </row>
    <row r="17" spans="1:9" x14ac:dyDescent="0.25">
      <c r="A17" s="159" t="s">
        <v>67</v>
      </c>
      <c r="B17" s="159"/>
      <c r="C17" s="159"/>
      <c r="D17" s="159"/>
      <c r="E17" s="26"/>
      <c r="F17" s="26"/>
      <c r="G17" s="26"/>
      <c r="H17" s="26"/>
      <c r="I17" s="18">
        <f>+E17*G17</f>
        <v>0</v>
      </c>
    </row>
    <row r="18" spans="1:9" ht="16.5" x14ac:dyDescent="0.3">
      <c r="A18" s="167" t="s">
        <v>68</v>
      </c>
      <c r="B18" s="167"/>
      <c r="C18" s="167"/>
      <c r="D18" s="167"/>
      <c r="E18" s="14" t="s">
        <v>52</v>
      </c>
      <c r="F18" s="170" t="s">
        <v>69</v>
      </c>
      <c r="G18" s="171"/>
      <c r="H18" s="27" t="s">
        <v>46</v>
      </c>
      <c r="I18" s="28" t="s">
        <v>53</v>
      </c>
    </row>
    <row r="19" spans="1:9" x14ac:dyDescent="0.25">
      <c r="A19" s="168" t="s">
        <v>70</v>
      </c>
      <c r="B19" s="168"/>
      <c r="C19" s="168"/>
      <c r="D19" s="168"/>
      <c r="E19" s="18">
        <v>1</v>
      </c>
      <c r="F19" s="172">
        <f>60000*1.7</f>
        <v>102000</v>
      </c>
      <c r="G19" s="172"/>
      <c r="H19" s="21">
        <v>3.5</v>
      </c>
      <c r="I19" s="24">
        <f>+(E19*F19)/H19</f>
        <v>29142.857142857141</v>
      </c>
    </row>
    <row r="20" spans="1:9" x14ac:dyDescent="0.25">
      <c r="A20" s="168" t="s">
        <v>71</v>
      </c>
      <c r="B20" s="168"/>
      <c r="C20" s="168"/>
      <c r="D20" s="168"/>
      <c r="E20" s="18">
        <v>1</v>
      </c>
      <c r="F20" s="169">
        <f>30000*1.7</f>
        <v>51000</v>
      </c>
      <c r="G20" s="169"/>
      <c r="H20" s="21">
        <v>3.5</v>
      </c>
      <c r="I20" s="24">
        <f>+(E20*F20)/H20</f>
        <v>14571.428571428571</v>
      </c>
    </row>
    <row r="21" spans="1:9" ht="16.5" x14ac:dyDescent="0.3">
      <c r="F21" s="30" t="s">
        <v>35</v>
      </c>
      <c r="G21" s="31"/>
      <c r="H21" s="32"/>
      <c r="I21" s="33">
        <f>ROUND((SUM(I5:I20)),0)</f>
        <v>129500</v>
      </c>
    </row>
  </sheetData>
  <mergeCells count="23">
    <mergeCell ref="A20:D20"/>
    <mergeCell ref="F20:G20"/>
    <mergeCell ref="A16:D16"/>
    <mergeCell ref="A17:D17"/>
    <mergeCell ref="A18:D18"/>
    <mergeCell ref="F18:G18"/>
    <mergeCell ref="A19:D19"/>
    <mergeCell ref="F19:G19"/>
    <mergeCell ref="A15:D15"/>
    <mergeCell ref="A6:E6"/>
    <mergeCell ref="A7:E7"/>
    <mergeCell ref="A8:E8"/>
    <mergeCell ref="A9:E9"/>
    <mergeCell ref="A10:E10"/>
    <mergeCell ref="A11:E11"/>
    <mergeCell ref="A12:E12"/>
    <mergeCell ref="A13:E13"/>
    <mergeCell ref="A14:E14"/>
    <mergeCell ref="A5:E5"/>
    <mergeCell ref="A1:I1"/>
    <mergeCell ref="B2:I2"/>
    <mergeCell ref="B3:G3"/>
    <mergeCell ref="A4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FA123-1785-440C-9587-005F2313C8FA}">
  <dimension ref="A1:I219"/>
  <sheetViews>
    <sheetView topLeftCell="A43" workbookViewId="0">
      <selection activeCell="H60" sqref="H60"/>
    </sheetView>
  </sheetViews>
  <sheetFormatPr baseColWidth="10" defaultColWidth="11.42578125" defaultRowHeight="15" x14ac:dyDescent="0.25"/>
  <cols>
    <col min="7" max="7" width="11.7109375" bestFit="1" customWidth="1"/>
    <col min="9" max="9" width="14.140625" customWidth="1"/>
  </cols>
  <sheetData>
    <row r="1" spans="1:9" ht="16.5" x14ac:dyDescent="0.3">
      <c r="A1" s="10" t="s">
        <v>40</v>
      </c>
      <c r="B1" s="163" t="e">
        <f>'PRESUPUESTO_ESTUDIO MERCADO '!#REF!</f>
        <v>#REF!</v>
      </c>
      <c r="C1" s="164"/>
      <c r="D1" s="164"/>
      <c r="E1" s="164"/>
      <c r="F1" s="164"/>
      <c r="G1" s="164"/>
      <c r="H1" s="164"/>
      <c r="I1" s="165"/>
    </row>
    <row r="2" spans="1:9" ht="16.5" x14ac:dyDescent="0.3">
      <c r="A2" s="11" t="s">
        <v>72</v>
      </c>
      <c r="B2" s="166"/>
      <c r="C2" s="166"/>
      <c r="D2" s="166"/>
      <c r="E2" s="166"/>
      <c r="F2" s="166"/>
      <c r="G2" s="166"/>
      <c r="H2" s="12" t="s">
        <v>42</v>
      </c>
      <c r="I2" s="13" t="s">
        <v>16</v>
      </c>
    </row>
    <row r="3" spans="1:9" ht="16.5" x14ac:dyDescent="0.3">
      <c r="A3" s="167" t="s">
        <v>44</v>
      </c>
      <c r="B3" s="167"/>
      <c r="C3" s="167"/>
      <c r="D3" s="167"/>
      <c r="E3" s="167"/>
      <c r="F3" s="14" t="s">
        <v>9</v>
      </c>
      <c r="G3" s="14" t="s">
        <v>45</v>
      </c>
      <c r="H3" s="14" t="s">
        <v>46</v>
      </c>
      <c r="I3" s="15" t="s">
        <v>47</v>
      </c>
    </row>
    <row r="4" spans="1:9" x14ac:dyDescent="0.25">
      <c r="A4" s="159" t="s">
        <v>48</v>
      </c>
      <c r="B4" s="159"/>
      <c r="C4" s="159"/>
      <c r="D4" s="159"/>
      <c r="E4" s="159"/>
      <c r="F4" s="17"/>
      <c r="G4" s="17"/>
      <c r="H4" s="18"/>
      <c r="I4" s="19">
        <f>ROUND((SUM(I19:I20)*0.05),0)</f>
        <v>10929</v>
      </c>
    </row>
    <row r="5" spans="1:9" x14ac:dyDescent="0.25">
      <c r="A5" s="159"/>
      <c r="B5" s="159"/>
      <c r="C5" s="159"/>
      <c r="D5" s="159"/>
      <c r="E5" s="159"/>
      <c r="F5" s="17"/>
      <c r="G5" s="17"/>
      <c r="H5" s="21"/>
      <c r="I5" s="19"/>
    </row>
    <row r="6" spans="1:9" x14ac:dyDescent="0.25">
      <c r="A6" s="174"/>
      <c r="B6" s="175"/>
      <c r="C6" s="175"/>
      <c r="D6" s="175"/>
      <c r="E6" s="176"/>
      <c r="F6" s="17"/>
      <c r="G6" s="17"/>
      <c r="H6" s="21"/>
      <c r="I6" s="19"/>
    </row>
    <row r="7" spans="1:9" ht="16.5" x14ac:dyDescent="0.3">
      <c r="A7" s="167" t="s">
        <v>49</v>
      </c>
      <c r="B7" s="167"/>
      <c r="C7" s="167"/>
      <c r="D7" s="167"/>
      <c r="E7" s="167"/>
      <c r="F7" s="14" t="s">
        <v>50</v>
      </c>
      <c r="G7" s="22" t="s">
        <v>51</v>
      </c>
      <c r="H7" s="22" t="s">
        <v>52</v>
      </c>
      <c r="I7" s="15" t="s">
        <v>53</v>
      </c>
    </row>
    <row r="8" spans="1:9" x14ac:dyDescent="0.25">
      <c r="A8" s="173" t="s">
        <v>73</v>
      </c>
      <c r="B8" s="159"/>
      <c r="C8" s="159"/>
      <c r="D8" s="159"/>
      <c r="E8" s="159"/>
      <c r="F8" s="23" t="s">
        <v>74</v>
      </c>
      <c r="G8" s="24">
        <v>100000</v>
      </c>
      <c r="H8" s="18">
        <v>1.5</v>
      </c>
      <c r="I8" s="24">
        <f>+H8*G8</f>
        <v>150000</v>
      </c>
    </row>
    <row r="9" spans="1:9" x14ac:dyDescent="0.25">
      <c r="A9" s="174" t="s">
        <v>75</v>
      </c>
      <c r="B9" s="175"/>
      <c r="C9" s="175"/>
      <c r="D9" s="175"/>
      <c r="E9" s="176"/>
      <c r="F9" s="23" t="s">
        <v>74</v>
      </c>
      <c r="G9" s="18">
        <v>90000</v>
      </c>
      <c r="H9" s="18">
        <v>0.3</v>
      </c>
      <c r="I9" s="24">
        <f>+H9*G9</f>
        <v>27000</v>
      </c>
    </row>
    <row r="10" spans="1:9" x14ac:dyDescent="0.25">
      <c r="A10" s="174" t="s">
        <v>76</v>
      </c>
      <c r="B10" s="175"/>
      <c r="C10" s="175"/>
      <c r="D10" s="175"/>
      <c r="E10" s="176"/>
      <c r="F10" s="23" t="s">
        <v>74</v>
      </c>
      <c r="G10" s="18">
        <v>3500</v>
      </c>
      <c r="H10" s="18">
        <v>12</v>
      </c>
      <c r="I10" s="24">
        <f>+H10*G10</f>
        <v>42000</v>
      </c>
    </row>
    <row r="11" spans="1:9" x14ac:dyDescent="0.25">
      <c r="A11" s="159" t="s">
        <v>77</v>
      </c>
      <c r="B11" s="159"/>
      <c r="C11" s="159"/>
      <c r="D11" s="159"/>
      <c r="E11" s="159"/>
      <c r="F11" s="23" t="s">
        <v>74</v>
      </c>
      <c r="G11" s="18">
        <v>80000</v>
      </c>
      <c r="H11" s="18">
        <v>1</v>
      </c>
      <c r="I11" s="24">
        <f>+H11*G11</f>
        <v>80000</v>
      </c>
    </row>
    <row r="12" spans="1:9" x14ac:dyDescent="0.25">
      <c r="A12" s="174"/>
      <c r="B12" s="175"/>
      <c r="C12" s="175"/>
      <c r="D12" s="175"/>
      <c r="E12" s="176"/>
      <c r="F12" s="23"/>
      <c r="G12" s="18"/>
      <c r="H12" s="18"/>
      <c r="I12" s="24">
        <f t="shared" ref="I12:I14" si="0">+G12*H12</f>
        <v>0</v>
      </c>
    </row>
    <row r="13" spans="1:9" x14ac:dyDescent="0.25">
      <c r="A13" s="159"/>
      <c r="B13" s="159"/>
      <c r="C13" s="159"/>
      <c r="D13" s="159"/>
      <c r="E13" s="159"/>
      <c r="F13" s="23"/>
      <c r="G13" s="18"/>
      <c r="H13" s="18"/>
      <c r="I13" s="24">
        <f t="shared" si="0"/>
        <v>0</v>
      </c>
    </row>
    <row r="14" spans="1:9" x14ac:dyDescent="0.25">
      <c r="A14" s="159"/>
      <c r="B14" s="159"/>
      <c r="C14" s="159"/>
      <c r="D14" s="159"/>
      <c r="E14" s="159"/>
      <c r="F14" s="23"/>
      <c r="G14" s="18"/>
      <c r="H14" s="18"/>
      <c r="I14" s="24">
        <f t="shared" si="0"/>
        <v>0</v>
      </c>
    </row>
    <row r="15" spans="1:9" ht="16.5" x14ac:dyDescent="0.3">
      <c r="A15" s="167" t="s">
        <v>61</v>
      </c>
      <c r="B15" s="167"/>
      <c r="C15" s="167"/>
      <c r="D15" s="167"/>
      <c r="E15" s="25" t="s">
        <v>62</v>
      </c>
      <c r="F15" s="14" t="s">
        <v>63</v>
      </c>
      <c r="G15" s="14" t="s">
        <v>64</v>
      </c>
      <c r="H15" s="14" t="s">
        <v>65</v>
      </c>
      <c r="I15" s="15" t="s">
        <v>53</v>
      </c>
    </row>
    <row r="16" spans="1:9" x14ac:dyDescent="0.25">
      <c r="A16" s="159" t="s">
        <v>66</v>
      </c>
      <c r="B16" s="159"/>
      <c r="C16" s="159"/>
      <c r="D16" s="159"/>
      <c r="E16" s="26"/>
      <c r="F16" s="26">
        <v>6</v>
      </c>
      <c r="G16" s="26">
        <f>35000/F16</f>
        <v>5833.333333333333</v>
      </c>
      <c r="H16" s="26">
        <f>+G16*6</f>
        <v>35000</v>
      </c>
      <c r="I16" s="18">
        <f>+E16*G16</f>
        <v>0</v>
      </c>
    </row>
    <row r="17" spans="1:9" x14ac:dyDescent="0.25">
      <c r="A17" s="159" t="s">
        <v>67</v>
      </c>
      <c r="B17" s="159"/>
      <c r="C17" s="159"/>
      <c r="D17" s="159"/>
      <c r="E17" s="26"/>
      <c r="F17" s="26"/>
      <c r="G17" s="26"/>
      <c r="H17" s="26"/>
      <c r="I17" s="18">
        <f>+E17*G17</f>
        <v>0</v>
      </c>
    </row>
    <row r="18" spans="1:9" ht="16.5" x14ac:dyDescent="0.3">
      <c r="A18" s="167" t="s">
        <v>68</v>
      </c>
      <c r="B18" s="167"/>
      <c r="C18" s="167"/>
      <c r="D18" s="167"/>
      <c r="E18" s="14" t="s">
        <v>52</v>
      </c>
      <c r="F18" s="170" t="s">
        <v>69</v>
      </c>
      <c r="G18" s="171"/>
      <c r="H18" s="27" t="s">
        <v>46</v>
      </c>
      <c r="I18" s="28" t="s">
        <v>53</v>
      </c>
    </row>
    <row r="19" spans="1:9" x14ac:dyDescent="0.25">
      <c r="A19" s="168" t="s">
        <v>78</v>
      </c>
      <c r="B19" s="168"/>
      <c r="C19" s="168"/>
      <c r="D19" s="168"/>
      <c r="E19" s="18">
        <v>1</v>
      </c>
      <c r="F19" s="177">
        <f>90000*1.7</f>
        <v>153000</v>
      </c>
      <c r="G19" s="177"/>
      <c r="H19" s="21">
        <v>0.7</v>
      </c>
      <c r="I19" s="24">
        <f>+E19*F19/H19</f>
        <v>218571.42857142858</v>
      </c>
    </row>
    <row r="20" spans="1:9" x14ac:dyDescent="0.25">
      <c r="A20" s="168"/>
      <c r="B20" s="168"/>
      <c r="C20" s="168"/>
      <c r="D20" s="168"/>
      <c r="E20" s="18"/>
      <c r="F20" s="177"/>
      <c r="G20" s="177"/>
      <c r="H20" s="21"/>
      <c r="I20" s="24"/>
    </row>
    <row r="21" spans="1:9" ht="16.5" x14ac:dyDescent="0.3">
      <c r="A21" s="160"/>
      <c r="B21" s="161"/>
      <c r="C21" s="161"/>
      <c r="D21" s="161"/>
      <c r="E21" s="162"/>
      <c r="F21" s="30" t="s">
        <v>35</v>
      </c>
      <c r="G21" s="31"/>
      <c r="H21" s="32"/>
      <c r="I21" s="36">
        <f>ROUND((SUM(I4:I20)),0)</f>
        <v>528500</v>
      </c>
    </row>
    <row r="22" spans="1:9" x14ac:dyDescent="0.25">
      <c r="A22" s="87"/>
      <c r="B22" s="87"/>
      <c r="C22" s="87"/>
      <c r="D22" s="87"/>
      <c r="E22" s="87"/>
      <c r="F22" s="87"/>
      <c r="G22" s="87"/>
      <c r="H22" s="87"/>
      <c r="I22" s="87"/>
    </row>
    <row r="23" spans="1:9" ht="16.5" x14ac:dyDescent="0.3">
      <c r="A23" s="10" t="s">
        <v>40</v>
      </c>
      <c r="B23" s="163" t="e">
        <f>'PRESUPUESTO_ESTUDIO MERCADO '!#REF!</f>
        <v>#REF!</v>
      </c>
      <c r="C23" s="164"/>
      <c r="D23" s="164"/>
      <c r="E23" s="164"/>
      <c r="F23" s="164"/>
      <c r="G23" s="164"/>
      <c r="H23" s="164"/>
      <c r="I23" s="165"/>
    </row>
    <row r="24" spans="1:9" ht="16.5" x14ac:dyDescent="0.3">
      <c r="A24" s="11" t="s">
        <v>72</v>
      </c>
      <c r="B24" s="166"/>
      <c r="C24" s="166"/>
      <c r="D24" s="166"/>
      <c r="E24" s="166"/>
      <c r="F24" s="166"/>
      <c r="G24" s="166"/>
      <c r="H24" s="12" t="s">
        <v>42</v>
      </c>
      <c r="I24" s="13" t="s">
        <v>20</v>
      </c>
    </row>
    <row r="25" spans="1:9" ht="16.5" x14ac:dyDescent="0.3">
      <c r="A25" s="167" t="s">
        <v>44</v>
      </c>
      <c r="B25" s="167"/>
      <c r="C25" s="167"/>
      <c r="D25" s="167"/>
      <c r="E25" s="167"/>
      <c r="F25" s="14" t="s">
        <v>9</v>
      </c>
      <c r="G25" s="14" t="s">
        <v>45</v>
      </c>
      <c r="H25" s="14" t="s">
        <v>46</v>
      </c>
      <c r="I25" s="15" t="s">
        <v>47</v>
      </c>
    </row>
    <row r="26" spans="1:9" x14ac:dyDescent="0.25">
      <c r="A26" s="159" t="s">
        <v>48</v>
      </c>
      <c r="B26" s="159"/>
      <c r="C26" s="159"/>
      <c r="D26" s="159"/>
      <c r="E26" s="159"/>
      <c r="F26" s="17"/>
      <c r="G26" s="17"/>
      <c r="H26" s="18"/>
      <c r="I26" s="19">
        <f>ROUND((SUM(I41:I42)*0.05),0)</f>
        <v>531</v>
      </c>
    </row>
    <row r="27" spans="1:9" x14ac:dyDescent="0.25">
      <c r="A27" s="159"/>
      <c r="B27" s="159"/>
      <c r="C27" s="159"/>
      <c r="D27" s="159"/>
      <c r="E27" s="159"/>
      <c r="F27" s="17"/>
      <c r="G27" s="17"/>
      <c r="H27" s="21"/>
      <c r="I27" s="19"/>
    </row>
    <row r="28" spans="1:9" x14ac:dyDescent="0.25">
      <c r="A28" s="174"/>
      <c r="B28" s="175"/>
      <c r="C28" s="175"/>
      <c r="D28" s="175"/>
      <c r="E28" s="176"/>
      <c r="F28" s="17"/>
      <c r="G28" s="17"/>
      <c r="H28" s="21"/>
      <c r="I28" s="19"/>
    </row>
    <row r="29" spans="1:9" ht="16.5" x14ac:dyDescent="0.3">
      <c r="A29" s="167" t="s">
        <v>49</v>
      </c>
      <c r="B29" s="167"/>
      <c r="C29" s="167"/>
      <c r="D29" s="167"/>
      <c r="E29" s="167"/>
      <c r="F29" s="14" t="s">
        <v>50</v>
      </c>
      <c r="G29" s="22" t="s">
        <v>51</v>
      </c>
      <c r="H29" s="22" t="s">
        <v>52</v>
      </c>
      <c r="I29" s="15" t="s">
        <v>53</v>
      </c>
    </row>
    <row r="30" spans="1:9" ht="15" customHeight="1" x14ac:dyDescent="0.25">
      <c r="A30" s="173" t="s">
        <v>79</v>
      </c>
      <c r="B30" s="159"/>
      <c r="C30" s="159"/>
      <c r="D30" s="159"/>
      <c r="E30" s="159"/>
      <c r="F30" s="23" t="s">
        <v>80</v>
      </c>
      <c r="G30" s="24">
        <v>260000</v>
      </c>
      <c r="H30" s="18">
        <v>1.05</v>
      </c>
      <c r="I30" s="24">
        <f>+H30*G30</f>
        <v>273000</v>
      </c>
    </row>
    <row r="31" spans="1:9" x14ac:dyDescent="0.25">
      <c r="A31" s="174"/>
      <c r="B31" s="175"/>
      <c r="C31" s="175"/>
      <c r="D31" s="175"/>
      <c r="E31" s="176"/>
      <c r="F31" s="23"/>
      <c r="G31" s="18"/>
      <c r="H31" s="18"/>
      <c r="I31" s="24"/>
    </row>
    <row r="32" spans="1:9" x14ac:dyDescent="0.25">
      <c r="A32" s="174"/>
      <c r="B32" s="175"/>
      <c r="C32" s="175"/>
      <c r="D32" s="175"/>
      <c r="E32" s="176"/>
      <c r="F32" s="23"/>
      <c r="G32" s="18"/>
      <c r="H32" s="18"/>
      <c r="I32" s="24"/>
    </row>
    <row r="33" spans="1:9" x14ac:dyDescent="0.25">
      <c r="A33" s="159"/>
      <c r="B33" s="159"/>
      <c r="C33" s="159"/>
      <c r="D33" s="159"/>
      <c r="E33" s="159"/>
      <c r="F33" s="23"/>
      <c r="G33" s="18"/>
      <c r="H33" s="18"/>
      <c r="I33" s="24"/>
    </row>
    <row r="34" spans="1:9" x14ac:dyDescent="0.25">
      <c r="A34" s="174"/>
      <c r="B34" s="175"/>
      <c r="C34" s="175"/>
      <c r="D34" s="175"/>
      <c r="E34" s="176"/>
      <c r="F34" s="23"/>
      <c r="G34" s="18"/>
      <c r="H34" s="18"/>
      <c r="I34" s="24">
        <f t="shared" ref="I34:I36" si="1">+G34*H34</f>
        <v>0</v>
      </c>
    </row>
    <row r="35" spans="1:9" x14ac:dyDescent="0.25">
      <c r="A35" s="159"/>
      <c r="B35" s="159"/>
      <c r="C35" s="159"/>
      <c r="D35" s="159"/>
      <c r="E35" s="159"/>
      <c r="F35" s="23"/>
      <c r="G35" s="18"/>
      <c r="H35" s="18"/>
      <c r="I35" s="24">
        <f t="shared" si="1"/>
        <v>0</v>
      </c>
    </row>
    <row r="36" spans="1:9" x14ac:dyDescent="0.25">
      <c r="A36" s="159"/>
      <c r="B36" s="159"/>
      <c r="C36" s="159"/>
      <c r="D36" s="159"/>
      <c r="E36" s="159"/>
      <c r="F36" s="23"/>
      <c r="G36" s="18"/>
      <c r="H36" s="18"/>
      <c r="I36" s="24">
        <f t="shared" si="1"/>
        <v>0</v>
      </c>
    </row>
    <row r="37" spans="1:9" ht="16.5" x14ac:dyDescent="0.3">
      <c r="A37" s="167" t="s">
        <v>61</v>
      </c>
      <c r="B37" s="167"/>
      <c r="C37" s="167"/>
      <c r="D37" s="167"/>
      <c r="E37" s="25" t="s">
        <v>62</v>
      </c>
      <c r="F37" s="14" t="s">
        <v>63</v>
      </c>
      <c r="G37" s="14" t="s">
        <v>64</v>
      </c>
      <c r="H37" s="14" t="s">
        <v>65</v>
      </c>
      <c r="I37" s="15" t="s">
        <v>53</v>
      </c>
    </row>
    <row r="38" spans="1:9" x14ac:dyDescent="0.25">
      <c r="A38" s="159" t="s">
        <v>66</v>
      </c>
      <c r="B38" s="159"/>
      <c r="C38" s="159"/>
      <c r="D38" s="159"/>
      <c r="E38" s="26"/>
      <c r="F38" s="26">
        <v>6</v>
      </c>
      <c r="G38" s="26">
        <f>35000/F38</f>
        <v>5833.333333333333</v>
      </c>
      <c r="H38" s="26">
        <f>+G38*6</f>
        <v>35000</v>
      </c>
      <c r="I38" s="18">
        <f>+E38*G38</f>
        <v>0</v>
      </c>
    </row>
    <row r="39" spans="1:9" x14ac:dyDescent="0.25">
      <c r="A39" s="159" t="s">
        <v>67</v>
      </c>
      <c r="B39" s="159"/>
      <c r="C39" s="159"/>
      <c r="D39" s="159"/>
      <c r="E39" s="26"/>
      <c r="F39" s="26"/>
      <c r="G39" s="26"/>
      <c r="H39" s="26"/>
      <c r="I39" s="18">
        <f>+E39*G39</f>
        <v>0</v>
      </c>
    </row>
    <row r="40" spans="1:9" ht="16.5" x14ac:dyDescent="0.3">
      <c r="A40" s="167" t="s">
        <v>68</v>
      </c>
      <c r="B40" s="167"/>
      <c r="C40" s="167"/>
      <c r="D40" s="167"/>
      <c r="E40" s="14" t="s">
        <v>52</v>
      </c>
      <c r="F40" s="170" t="s">
        <v>69</v>
      </c>
      <c r="G40" s="171"/>
      <c r="H40" s="27" t="s">
        <v>46</v>
      </c>
      <c r="I40" s="28" t="s">
        <v>53</v>
      </c>
    </row>
    <row r="41" spans="1:9" x14ac:dyDescent="0.25">
      <c r="A41" s="168" t="str">
        <f>CUADRILLAS!A8</f>
        <v>1 OFICIAL + 1 AYUDANTE</v>
      </c>
      <c r="B41" s="168"/>
      <c r="C41" s="168"/>
      <c r="D41" s="168"/>
      <c r="E41" s="18">
        <v>1</v>
      </c>
      <c r="F41" s="177">
        <f>CUADRILLAS!D8</f>
        <v>212500</v>
      </c>
      <c r="G41" s="177"/>
      <c r="H41" s="21">
        <v>20</v>
      </c>
      <c r="I41" s="24">
        <f>+E41*F41/H41</f>
        <v>10625</v>
      </c>
    </row>
    <row r="42" spans="1:9" x14ac:dyDescent="0.25">
      <c r="A42" s="168"/>
      <c r="B42" s="168"/>
      <c r="C42" s="168"/>
      <c r="D42" s="168"/>
      <c r="E42" s="18"/>
      <c r="F42" s="177"/>
      <c r="G42" s="177"/>
      <c r="H42" s="21"/>
      <c r="I42" s="24"/>
    </row>
    <row r="43" spans="1:9" ht="16.5" x14ac:dyDescent="0.3">
      <c r="A43" s="160"/>
      <c r="B43" s="161"/>
      <c r="C43" s="161"/>
      <c r="D43" s="161"/>
      <c r="E43" s="162"/>
      <c r="F43" s="30" t="s">
        <v>35</v>
      </c>
      <c r="G43" s="31"/>
      <c r="H43" s="32"/>
      <c r="I43" s="36">
        <f>ROUND((SUM(I26:I42)),0)</f>
        <v>284156</v>
      </c>
    </row>
    <row r="45" spans="1:9" ht="16.5" x14ac:dyDescent="0.3">
      <c r="A45" s="10" t="s">
        <v>40</v>
      </c>
      <c r="B45" s="163" t="e">
        <f>'PRESUPUESTO_ESTUDIO MERCADO '!#REF!</f>
        <v>#REF!</v>
      </c>
      <c r="C45" s="164"/>
      <c r="D45" s="164"/>
      <c r="E45" s="164"/>
      <c r="F45" s="164"/>
      <c r="G45" s="164"/>
      <c r="H45" s="164"/>
      <c r="I45" s="165"/>
    </row>
    <row r="46" spans="1:9" ht="16.5" x14ac:dyDescent="0.3">
      <c r="A46" s="11" t="s">
        <v>72</v>
      </c>
      <c r="B46" s="166"/>
      <c r="C46" s="166"/>
      <c r="D46" s="166"/>
      <c r="E46" s="166"/>
      <c r="F46" s="166"/>
      <c r="G46" s="166"/>
      <c r="H46" s="12" t="s">
        <v>42</v>
      </c>
      <c r="I46" s="13" t="s">
        <v>20</v>
      </c>
    </row>
    <row r="47" spans="1:9" ht="16.5" x14ac:dyDescent="0.3">
      <c r="A47" s="167" t="s">
        <v>44</v>
      </c>
      <c r="B47" s="167"/>
      <c r="C47" s="167"/>
      <c r="D47" s="167"/>
      <c r="E47" s="167"/>
      <c r="F47" s="14" t="s">
        <v>9</v>
      </c>
      <c r="G47" s="14" t="s">
        <v>45</v>
      </c>
      <c r="H47" s="14" t="s">
        <v>46</v>
      </c>
      <c r="I47" s="15" t="s">
        <v>47</v>
      </c>
    </row>
    <row r="48" spans="1:9" x14ac:dyDescent="0.25">
      <c r="A48" s="159" t="s">
        <v>48</v>
      </c>
      <c r="B48" s="159"/>
      <c r="C48" s="159"/>
      <c r="D48" s="159"/>
      <c r="E48" s="159"/>
      <c r="F48" s="17"/>
      <c r="G48" s="17"/>
      <c r="H48" s="18"/>
      <c r="I48" s="19">
        <f>ROUND((SUM(I63:I64)*0.05),0)</f>
        <v>354</v>
      </c>
    </row>
    <row r="49" spans="1:9" x14ac:dyDescent="0.25">
      <c r="A49" s="159"/>
      <c r="B49" s="159"/>
      <c r="C49" s="159"/>
      <c r="D49" s="159"/>
      <c r="E49" s="159"/>
      <c r="F49" s="17"/>
      <c r="G49" s="17"/>
      <c r="H49" s="21"/>
      <c r="I49" s="19"/>
    </row>
    <row r="50" spans="1:9" x14ac:dyDescent="0.25">
      <c r="A50" s="174"/>
      <c r="B50" s="175"/>
      <c r="C50" s="175"/>
      <c r="D50" s="175"/>
      <c r="E50" s="176"/>
      <c r="F50" s="17"/>
      <c r="G50" s="17"/>
      <c r="H50" s="21"/>
      <c r="I50" s="19"/>
    </row>
    <row r="51" spans="1:9" ht="16.5" x14ac:dyDescent="0.3">
      <c r="A51" s="167" t="s">
        <v>49</v>
      </c>
      <c r="B51" s="167"/>
      <c r="C51" s="167"/>
      <c r="D51" s="167"/>
      <c r="E51" s="167"/>
      <c r="F51" s="14" t="s">
        <v>50</v>
      </c>
      <c r="G51" s="22" t="s">
        <v>51</v>
      </c>
      <c r="H51" s="22" t="s">
        <v>52</v>
      </c>
      <c r="I51" s="15" t="s">
        <v>53</v>
      </c>
    </row>
    <row r="52" spans="1:9" x14ac:dyDescent="0.25">
      <c r="A52" s="173" t="s">
        <v>81</v>
      </c>
      <c r="B52" s="159"/>
      <c r="C52" s="159"/>
      <c r="D52" s="159"/>
      <c r="E52" s="159"/>
      <c r="F52" s="23" t="s">
        <v>80</v>
      </c>
      <c r="G52" s="24">
        <v>220000</v>
      </c>
      <c r="H52" s="18">
        <v>1.05</v>
      </c>
      <c r="I52" s="24">
        <f>+H52*G52</f>
        <v>231000</v>
      </c>
    </row>
    <row r="53" spans="1:9" x14ac:dyDescent="0.25">
      <c r="A53" s="174"/>
      <c r="B53" s="175"/>
      <c r="C53" s="175"/>
      <c r="D53" s="175"/>
      <c r="E53" s="176"/>
      <c r="F53" s="23"/>
      <c r="G53" s="18"/>
      <c r="H53" s="18"/>
      <c r="I53" s="24"/>
    </row>
    <row r="54" spans="1:9" x14ac:dyDescent="0.25">
      <c r="A54" s="174"/>
      <c r="B54" s="175"/>
      <c r="C54" s="175"/>
      <c r="D54" s="175"/>
      <c r="E54" s="176"/>
      <c r="F54" s="23"/>
      <c r="G54" s="18"/>
      <c r="H54" s="18"/>
      <c r="I54" s="24"/>
    </row>
    <row r="55" spans="1:9" x14ac:dyDescent="0.25">
      <c r="A55" s="159"/>
      <c r="B55" s="159"/>
      <c r="C55" s="159"/>
      <c r="D55" s="159"/>
      <c r="E55" s="159"/>
      <c r="F55" s="23"/>
      <c r="G55" s="18"/>
      <c r="H55" s="18"/>
      <c r="I55" s="24"/>
    </row>
    <row r="56" spans="1:9" x14ac:dyDescent="0.25">
      <c r="A56" s="174"/>
      <c r="B56" s="175"/>
      <c r="C56" s="175"/>
      <c r="D56" s="175"/>
      <c r="E56" s="176"/>
      <c r="F56" s="23"/>
      <c r="G56" s="18"/>
      <c r="H56" s="18"/>
      <c r="I56" s="24">
        <f t="shared" ref="I56:I58" si="2">+G56*H56</f>
        <v>0</v>
      </c>
    </row>
    <row r="57" spans="1:9" x14ac:dyDescent="0.25">
      <c r="A57" s="159"/>
      <c r="B57" s="159"/>
      <c r="C57" s="159"/>
      <c r="D57" s="159"/>
      <c r="E57" s="159"/>
      <c r="F57" s="23"/>
      <c r="G57" s="18"/>
      <c r="H57" s="18"/>
      <c r="I57" s="24">
        <f t="shared" si="2"/>
        <v>0</v>
      </c>
    </row>
    <row r="58" spans="1:9" x14ac:dyDescent="0.25">
      <c r="A58" s="159"/>
      <c r="B58" s="159"/>
      <c r="C58" s="159"/>
      <c r="D58" s="159"/>
      <c r="E58" s="159"/>
      <c r="F58" s="23"/>
      <c r="G58" s="18"/>
      <c r="H58" s="18"/>
      <c r="I58" s="24">
        <f t="shared" si="2"/>
        <v>0</v>
      </c>
    </row>
    <row r="59" spans="1:9" ht="16.5" x14ac:dyDescent="0.3">
      <c r="A59" s="167" t="s">
        <v>61</v>
      </c>
      <c r="B59" s="167"/>
      <c r="C59" s="167"/>
      <c r="D59" s="167"/>
      <c r="E59" s="25" t="s">
        <v>62</v>
      </c>
      <c r="F59" s="14" t="s">
        <v>63</v>
      </c>
      <c r="G59" s="14" t="s">
        <v>64</v>
      </c>
      <c r="H59" s="14" t="s">
        <v>65</v>
      </c>
      <c r="I59" s="15" t="s">
        <v>53</v>
      </c>
    </row>
    <row r="60" spans="1:9" x14ac:dyDescent="0.25">
      <c r="A60" s="159" t="s">
        <v>66</v>
      </c>
      <c r="B60" s="159"/>
      <c r="C60" s="159"/>
      <c r="D60" s="159"/>
      <c r="E60" s="26"/>
      <c r="F60" s="26">
        <v>6</v>
      </c>
      <c r="G60" s="26">
        <f>35000/F60</f>
        <v>5833.333333333333</v>
      </c>
      <c r="H60" s="26">
        <f>+G60*6</f>
        <v>35000</v>
      </c>
      <c r="I60" s="18">
        <f>+E60*G60</f>
        <v>0</v>
      </c>
    </row>
    <row r="61" spans="1:9" x14ac:dyDescent="0.25">
      <c r="A61" s="159" t="s">
        <v>67</v>
      </c>
      <c r="B61" s="159"/>
      <c r="C61" s="159"/>
      <c r="D61" s="159"/>
      <c r="E61" s="26"/>
      <c r="F61" s="26"/>
      <c r="G61" s="26"/>
      <c r="H61" s="26"/>
      <c r="I61" s="18">
        <f>+E61*G61</f>
        <v>0</v>
      </c>
    </row>
    <row r="62" spans="1:9" ht="16.5" x14ac:dyDescent="0.3">
      <c r="A62" s="167" t="s">
        <v>68</v>
      </c>
      <c r="B62" s="167"/>
      <c r="C62" s="167"/>
      <c r="D62" s="167"/>
      <c r="E62" s="14" t="s">
        <v>52</v>
      </c>
      <c r="F62" s="170" t="s">
        <v>69</v>
      </c>
      <c r="G62" s="171"/>
      <c r="H62" s="27" t="s">
        <v>46</v>
      </c>
      <c r="I62" s="28" t="s">
        <v>53</v>
      </c>
    </row>
    <row r="63" spans="1:9" x14ac:dyDescent="0.25">
      <c r="A63" s="168" t="str">
        <f>CUADRILLAS!B8</f>
        <v xml:space="preserve">CUADRILLA 3 </v>
      </c>
      <c r="B63" s="168"/>
      <c r="C63" s="168"/>
      <c r="D63" s="168"/>
      <c r="E63" s="18">
        <v>1</v>
      </c>
      <c r="F63" s="177">
        <f>CUADRILLAS!D8</f>
        <v>212500</v>
      </c>
      <c r="G63" s="177"/>
      <c r="H63" s="21">
        <v>30</v>
      </c>
      <c r="I63" s="24">
        <f>+E63*F63/H63</f>
        <v>7083.333333333333</v>
      </c>
    </row>
    <row r="64" spans="1:9" x14ac:dyDescent="0.25">
      <c r="A64" s="168"/>
      <c r="B64" s="168"/>
      <c r="C64" s="168"/>
      <c r="D64" s="168"/>
      <c r="E64" s="18"/>
      <c r="F64" s="177"/>
      <c r="G64" s="177"/>
      <c r="H64" s="21"/>
      <c r="I64" s="24"/>
    </row>
    <row r="65" spans="1:9" ht="16.5" x14ac:dyDescent="0.3">
      <c r="A65" s="160"/>
      <c r="B65" s="161"/>
      <c r="C65" s="161"/>
      <c r="D65" s="161"/>
      <c r="E65" s="162"/>
      <c r="F65" s="30" t="s">
        <v>35</v>
      </c>
      <c r="G65" s="31"/>
      <c r="H65" s="32"/>
      <c r="I65" s="36">
        <f>ROUND((SUM(I48:I64)),0)</f>
        <v>238437</v>
      </c>
    </row>
    <row r="67" spans="1:9" ht="16.5" x14ac:dyDescent="0.3">
      <c r="A67" s="10" t="s">
        <v>40</v>
      </c>
      <c r="B67" s="163" t="e">
        <f>'PRESUPUESTO_ESTUDIO MERCADO '!#REF!</f>
        <v>#REF!</v>
      </c>
      <c r="C67" s="164"/>
      <c r="D67" s="164"/>
      <c r="E67" s="164"/>
      <c r="F67" s="164"/>
      <c r="G67" s="164"/>
      <c r="H67" s="164"/>
      <c r="I67" s="165"/>
    </row>
    <row r="68" spans="1:9" ht="16.5" x14ac:dyDescent="0.3">
      <c r="A68" s="11" t="s">
        <v>72</v>
      </c>
      <c r="B68" s="166"/>
      <c r="C68" s="166"/>
      <c r="D68" s="166"/>
      <c r="E68" s="166"/>
      <c r="F68" s="166"/>
      <c r="G68" s="166"/>
      <c r="H68" s="12" t="s">
        <v>42</v>
      </c>
      <c r="I68" s="13" t="s">
        <v>16</v>
      </c>
    </row>
    <row r="69" spans="1:9" ht="16.5" x14ac:dyDescent="0.3">
      <c r="A69" s="167" t="s">
        <v>44</v>
      </c>
      <c r="B69" s="167"/>
      <c r="C69" s="167"/>
      <c r="D69" s="167"/>
      <c r="E69" s="167"/>
      <c r="F69" s="14" t="s">
        <v>9</v>
      </c>
      <c r="G69" s="14" t="s">
        <v>45</v>
      </c>
      <c r="H69" s="14" t="s">
        <v>46</v>
      </c>
      <c r="I69" s="15" t="s">
        <v>47</v>
      </c>
    </row>
    <row r="70" spans="1:9" x14ac:dyDescent="0.25">
      <c r="A70" s="159" t="s">
        <v>48</v>
      </c>
      <c r="B70" s="159"/>
      <c r="C70" s="159"/>
      <c r="D70" s="159"/>
      <c r="E70" s="159"/>
      <c r="F70" s="17"/>
      <c r="G70" s="17"/>
      <c r="H70" s="18"/>
      <c r="I70" s="19">
        <f>ROUND((SUM(I85:I86)*0.05),0)</f>
        <v>1328</v>
      </c>
    </row>
    <row r="71" spans="1:9" x14ac:dyDescent="0.25">
      <c r="A71" s="159"/>
      <c r="B71" s="159"/>
      <c r="C71" s="159"/>
      <c r="D71" s="159"/>
      <c r="E71" s="159"/>
      <c r="F71" s="17"/>
      <c r="G71" s="17"/>
      <c r="H71" s="21"/>
      <c r="I71" s="19"/>
    </row>
    <row r="72" spans="1:9" x14ac:dyDescent="0.25">
      <c r="A72" s="174"/>
      <c r="B72" s="175"/>
      <c r="C72" s="175"/>
      <c r="D72" s="175"/>
      <c r="E72" s="176"/>
      <c r="F72" s="17"/>
      <c r="G72" s="17"/>
      <c r="H72" s="21"/>
      <c r="I72" s="19"/>
    </row>
    <row r="73" spans="1:9" ht="16.5" x14ac:dyDescent="0.3">
      <c r="A73" s="167" t="s">
        <v>49</v>
      </c>
      <c r="B73" s="167"/>
      <c r="C73" s="167"/>
      <c r="D73" s="167"/>
      <c r="E73" s="167"/>
      <c r="F73" s="14" t="s">
        <v>50</v>
      </c>
      <c r="G73" s="22" t="s">
        <v>51</v>
      </c>
      <c r="H73" s="22" t="s">
        <v>52</v>
      </c>
      <c r="I73" s="15" t="s">
        <v>53</v>
      </c>
    </row>
    <row r="74" spans="1:9" x14ac:dyDescent="0.25">
      <c r="A74" s="173" t="s">
        <v>82</v>
      </c>
      <c r="B74" s="159"/>
      <c r="C74" s="159"/>
      <c r="D74" s="159"/>
      <c r="E74" s="159"/>
      <c r="F74" s="23" t="s">
        <v>74</v>
      </c>
      <c r="G74" s="24">
        <v>400000</v>
      </c>
      <c r="H74" s="18">
        <v>1.05</v>
      </c>
      <c r="I74" s="24">
        <f>+H74*G74</f>
        <v>420000</v>
      </c>
    </row>
    <row r="75" spans="1:9" x14ac:dyDescent="0.25">
      <c r="A75" s="174" t="s">
        <v>83</v>
      </c>
      <c r="B75" s="175"/>
      <c r="C75" s="175"/>
      <c r="D75" s="175"/>
      <c r="E75" s="176"/>
      <c r="F75" s="23" t="s">
        <v>74</v>
      </c>
      <c r="G75" s="18">
        <v>150000</v>
      </c>
      <c r="H75" s="18">
        <v>1</v>
      </c>
      <c r="I75" s="24">
        <f>+H75*G75</f>
        <v>150000</v>
      </c>
    </row>
    <row r="76" spans="1:9" x14ac:dyDescent="0.25">
      <c r="A76" s="174"/>
      <c r="B76" s="175"/>
      <c r="C76" s="175"/>
      <c r="D76" s="175"/>
      <c r="E76" s="176"/>
      <c r="F76" s="23"/>
      <c r="G76" s="18"/>
      <c r="H76" s="18"/>
      <c r="I76" s="24"/>
    </row>
    <row r="77" spans="1:9" x14ac:dyDescent="0.25">
      <c r="A77" s="159"/>
      <c r="B77" s="159"/>
      <c r="C77" s="159"/>
      <c r="D77" s="159"/>
      <c r="E77" s="159"/>
      <c r="F77" s="23"/>
      <c r="G77" s="18"/>
      <c r="H77" s="18"/>
      <c r="I77" s="24"/>
    </row>
    <row r="78" spans="1:9" x14ac:dyDescent="0.25">
      <c r="A78" s="174"/>
      <c r="B78" s="175"/>
      <c r="C78" s="175"/>
      <c r="D78" s="175"/>
      <c r="E78" s="176"/>
      <c r="F78" s="23"/>
      <c r="G78" s="18"/>
      <c r="H78" s="18"/>
      <c r="I78" s="24">
        <f t="shared" ref="I78:I80" si="3">+G78*H78</f>
        <v>0</v>
      </c>
    </row>
    <row r="79" spans="1:9" x14ac:dyDescent="0.25">
      <c r="A79" s="159"/>
      <c r="B79" s="159"/>
      <c r="C79" s="159"/>
      <c r="D79" s="159"/>
      <c r="E79" s="159"/>
      <c r="F79" s="23"/>
      <c r="G79" s="18"/>
      <c r="H79" s="18"/>
      <c r="I79" s="24">
        <f t="shared" si="3"/>
        <v>0</v>
      </c>
    </row>
    <row r="80" spans="1:9" x14ac:dyDescent="0.25">
      <c r="A80" s="159"/>
      <c r="B80" s="159"/>
      <c r="C80" s="159"/>
      <c r="D80" s="159"/>
      <c r="E80" s="159"/>
      <c r="F80" s="23"/>
      <c r="G80" s="18"/>
      <c r="H80" s="18"/>
      <c r="I80" s="24">
        <f t="shared" si="3"/>
        <v>0</v>
      </c>
    </row>
    <row r="81" spans="1:9" ht="16.5" x14ac:dyDescent="0.3">
      <c r="A81" s="167" t="s">
        <v>61</v>
      </c>
      <c r="B81" s="167"/>
      <c r="C81" s="167"/>
      <c r="D81" s="167"/>
      <c r="E81" s="25" t="s">
        <v>62</v>
      </c>
      <c r="F81" s="14" t="s">
        <v>63</v>
      </c>
      <c r="G81" s="14" t="s">
        <v>64</v>
      </c>
      <c r="H81" s="14" t="s">
        <v>65</v>
      </c>
      <c r="I81" s="15" t="s">
        <v>53</v>
      </c>
    </row>
    <row r="82" spans="1:9" x14ac:dyDescent="0.25">
      <c r="A82" s="159" t="s">
        <v>66</v>
      </c>
      <c r="B82" s="159"/>
      <c r="C82" s="159"/>
      <c r="D82" s="159"/>
      <c r="E82" s="26"/>
      <c r="F82" s="26">
        <v>6</v>
      </c>
      <c r="G82" s="26">
        <f>35000/F82</f>
        <v>5833.333333333333</v>
      </c>
      <c r="H82" s="26">
        <f>+G82*6</f>
        <v>35000</v>
      </c>
      <c r="I82" s="18">
        <f>+E82*G82</f>
        <v>0</v>
      </c>
    </row>
    <row r="83" spans="1:9" x14ac:dyDescent="0.25">
      <c r="A83" s="159" t="s">
        <v>67</v>
      </c>
      <c r="B83" s="159"/>
      <c r="C83" s="159"/>
      <c r="D83" s="159"/>
      <c r="E83" s="26"/>
      <c r="F83" s="26"/>
      <c r="G83" s="26"/>
      <c r="H83" s="26"/>
      <c r="I83" s="18">
        <f>+E83*G83</f>
        <v>0</v>
      </c>
    </row>
    <row r="84" spans="1:9" ht="16.5" x14ac:dyDescent="0.3">
      <c r="A84" s="167" t="s">
        <v>68</v>
      </c>
      <c r="B84" s="167"/>
      <c r="C84" s="167"/>
      <c r="D84" s="167"/>
      <c r="E84" s="14" t="s">
        <v>52</v>
      </c>
      <c r="F84" s="170" t="s">
        <v>69</v>
      </c>
      <c r="G84" s="171"/>
      <c r="H84" s="27" t="s">
        <v>46</v>
      </c>
      <c r="I84" s="28" t="s">
        <v>53</v>
      </c>
    </row>
    <row r="85" spans="1:9" x14ac:dyDescent="0.25">
      <c r="A85" s="168" t="str">
        <f>CUADRILLAS!B8</f>
        <v xml:space="preserve">CUADRILLA 3 </v>
      </c>
      <c r="B85" s="168"/>
      <c r="C85" s="168"/>
      <c r="D85" s="168"/>
      <c r="E85" s="18">
        <v>1</v>
      </c>
      <c r="F85" s="177">
        <f>CUADRILLAS!D8</f>
        <v>212500</v>
      </c>
      <c r="G85" s="177"/>
      <c r="H85" s="21">
        <v>8</v>
      </c>
      <c r="I85" s="24">
        <f>+E85*F85/H85</f>
        <v>26562.5</v>
      </c>
    </row>
    <row r="86" spans="1:9" x14ac:dyDescent="0.25">
      <c r="A86" s="168"/>
      <c r="B86" s="168"/>
      <c r="C86" s="168"/>
      <c r="D86" s="168"/>
      <c r="E86" s="18"/>
      <c r="F86" s="177"/>
      <c r="G86" s="177"/>
      <c r="H86" s="21"/>
      <c r="I86" s="24"/>
    </row>
    <row r="87" spans="1:9" ht="16.5" x14ac:dyDescent="0.3">
      <c r="A87" s="160"/>
      <c r="B87" s="161"/>
      <c r="C87" s="161"/>
      <c r="D87" s="161"/>
      <c r="E87" s="162"/>
      <c r="F87" s="30" t="s">
        <v>35</v>
      </c>
      <c r="G87" s="31"/>
      <c r="H87" s="32"/>
      <c r="I87" s="36">
        <f>ROUND((SUM(I70:I86)),0)</f>
        <v>597891</v>
      </c>
    </row>
    <row r="89" spans="1:9" ht="16.5" x14ac:dyDescent="0.3">
      <c r="A89" s="10" t="s">
        <v>40</v>
      </c>
      <c r="B89" s="163" t="e">
        <f>'PRESUPUESTO_ESTUDIO MERCADO '!#REF!</f>
        <v>#REF!</v>
      </c>
      <c r="C89" s="164"/>
      <c r="D89" s="164"/>
      <c r="E89" s="164"/>
      <c r="F89" s="164"/>
      <c r="G89" s="164"/>
      <c r="H89" s="164"/>
      <c r="I89" s="165"/>
    </row>
    <row r="90" spans="1:9" ht="16.5" x14ac:dyDescent="0.3">
      <c r="A90" s="11" t="s">
        <v>72</v>
      </c>
      <c r="B90" s="166"/>
      <c r="C90" s="166"/>
      <c r="D90" s="166"/>
      <c r="E90" s="166"/>
      <c r="F90" s="166"/>
      <c r="G90" s="166"/>
      <c r="H90" s="12" t="s">
        <v>42</v>
      </c>
      <c r="I90" s="13" t="s">
        <v>20</v>
      </c>
    </row>
    <row r="91" spans="1:9" ht="16.5" x14ac:dyDescent="0.3">
      <c r="A91" s="167" t="s">
        <v>44</v>
      </c>
      <c r="B91" s="167"/>
      <c r="C91" s="167"/>
      <c r="D91" s="167"/>
      <c r="E91" s="167"/>
      <c r="F91" s="14" t="s">
        <v>9</v>
      </c>
      <c r="G91" s="14" t="s">
        <v>45</v>
      </c>
      <c r="H91" s="14" t="s">
        <v>46</v>
      </c>
      <c r="I91" s="15" t="s">
        <v>47</v>
      </c>
    </row>
    <row r="92" spans="1:9" x14ac:dyDescent="0.25">
      <c r="A92" s="159" t="s">
        <v>48</v>
      </c>
      <c r="B92" s="159"/>
      <c r="C92" s="159"/>
      <c r="D92" s="159"/>
      <c r="E92" s="159"/>
      <c r="F92" s="17"/>
      <c r="G92" s="17"/>
      <c r="H92" s="18"/>
      <c r="I92" s="19">
        <f>ROUND((SUM(I107:I108)*0.05),0)</f>
        <v>531</v>
      </c>
    </row>
    <row r="93" spans="1:9" x14ac:dyDescent="0.25">
      <c r="A93" s="159"/>
      <c r="B93" s="159"/>
      <c r="C93" s="159"/>
      <c r="D93" s="159"/>
      <c r="E93" s="159"/>
      <c r="F93" s="17"/>
      <c r="G93" s="17"/>
      <c r="H93" s="21"/>
      <c r="I93" s="19"/>
    </row>
    <row r="94" spans="1:9" x14ac:dyDescent="0.25">
      <c r="A94" s="174"/>
      <c r="B94" s="175"/>
      <c r="C94" s="175"/>
      <c r="D94" s="175"/>
      <c r="E94" s="176"/>
      <c r="F94" s="17"/>
      <c r="G94" s="17"/>
      <c r="H94" s="21"/>
      <c r="I94" s="19"/>
    </row>
    <row r="95" spans="1:9" ht="16.5" x14ac:dyDescent="0.3">
      <c r="A95" s="167" t="s">
        <v>49</v>
      </c>
      <c r="B95" s="167"/>
      <c r="C95" s="167"/>
      <c r="D95" s="167"/>
      <c r="E95" s="167"/>
      <c r="F95" s="14" t="s">
        <v>50</v>
      </c>
      <c r="G95" s="22" t="s">
        <v>51</v>
      </c>
      <c r="H95" s="22" t="s">
        <v>52</v>
      </c>
      <c r="I95" s="15" t="s">
        <v>53</v>
      </c>
    </row>
    <row r="96" spans="1:9" x14ac:dyDescent="0.25">
      <c r="A96" s="173" t="s">
        <v>84</v>
      </c>
      <c r="B96" s="159"/>
      <c r="C96" s="159"/>
      <c r="D96" s="159"/>
      <c r="E96" s="159"/>
      <c r="F96" s="23" t="s">
        <v>80</v>
      </c>
      <c r="G96" s="24">
        <v>270000</v>
      </c>
      <c r="H96" s="18">
        <v>1</v>
      </c>
      <c r="I96" s="24">
        <f>+H96*G96</f>
        <v>270000</v>
      </c>
    </row>
    <row r="97" spans="1:9" x14ac:dyDescent="0.25">
      <c r="A97" s="174"/>
      <c r="B97" s="175"/>
      <c r="C97" s="175"/>
      <c r="D97" s="175"/>
      <c r="E97" s="176"/>
      <c r="F97" s="23"/>
      <c r="G97" s="18"/>
      <c r="H97" s="18"/>
      <c r="I97" s="24"/>
    </row>
    <row r="98" spans="1:9" x14ac:dyDescent="0.25">
      <c r="A98" s="174"/>
      <c r="B98" s="175"/>
      <c r="C98" s="175"/>
      <c r="D98" s="175"/>
      <c r="E98" s="176"/>
      <c r="F98" s="23"/>
      <c r="G98" s="18"/>
      <c r="H98" s="18"/>
      <c r="I98" s="24"/>
    </row>
    <row r="99" spans="1:9" x14ac:dyDescent="0.25">
      <c r="A99" s="159"/>
      <c r="B99" s="159"/>
      <c r="C99" s="159"/>
      <c r="D99" s="159"/>
      <c r="E99" s="159"/>
      <c r="F99" s="23"/>
      <c r="G99" s="18"/>
      <c r="H99" s="18"/>
      <c r="I99" s="24"/>
    </row>
    <row r="100" spans="1:9" x14ac:dyDescent="0.25">
      <c r="A100" s="174"/>
      <c r="B100" s="175"/>
      <c r="C100" s="175"/>
      <c r="D100" s="175"/>
      <c r="E100" s="176"/>
      <c r="F100" s="23"/>
      <c r="G100" s="18"/>
      <c r="H100" s="18"/>
      <c r="I100" s="24">
        <f t="shared" ref="I100:I102" si="4">+G100*H100</f>
        <v>0</v>
      </c>
    </row>
    <row r="101" spans="1:9" x14ac:dyDescent="0.25">
      <c r="A101" s="159"/>
      <c r="B101" s="159"/>
      <c r="C101" s="159"/>
      <c r="D101" s="159"/>
      <c r="E101" s="159"/>
      <c r="F101" s="23"/>
      <c r="G101" s="18"/>
      <c r="H101" s="18"/>
      <c r="I101" s="24">
        <f t="shared" si="4"/>
        <v>0</v>
      </c>
    </row>
    <row r="102" spans="1:9" x14ac:dyDescent="0.25">
      <c r="A102" s="159"/>
      <c r="B102" s="159"/>
      <c r="C102" s="159"/>
      <c r="D102" s="159"/>
      <c r="E102" s="159"/>
      <c r="F102" s="23"/>
      <c r="G102" s="18"/>
      <c r="H102" s="18"/>
      <c r="I102" s="24">
        <f t="shared" si="4"/>
        <v>0</v>
      </c>
    </row>
    <row r="103" spans="1:9" ht="16.5" x14ac:dyDescent="0.3">
      <c r="A103" s="167" t="s">
        <v>61</v>
      </c>
      <c r="B103" s="167"/>
      <c r="C103" s="167"/>
      <c r="D103" s="167"/>
      <c r="E103" s="25" t="s">
        <v>62</v>
      </c>
      <c r="F103" s="14" t="s">
        <v>63</v>
      </c>
      <c r="G103" s="14" t="s">
        <v>64</v>
      </c>
      <c r="H103" s="14" t="s">
        <v>65</v>
      </c>
      <c r="I103" s="15" t="s">
        <v>53</v>
      </c>
    </row>
    <row r="104" spans="1:9" x14ac:dyDescent="0.25">
      <c r="A104" s="159" t="s">
        <v>66</v>
      </c>
      <c r="B104" s="159"/>
      <c r="C104" s="159"/>
      <c r="D104" s="159"/>
      <c r="E104" s="26"/>
      <c r="F104" s="26">
        <v>6</v>
      </c>
      <c r="G104" s="26">
        <f>35000/F104</f>
        <v>5833.333333333333</v>
      </c>
      <c r="H104" s="26">
        <f>+G104*6</f>
        <v>35000</v>
      </c>
      <c r="I104" s="18">
        <f>+E104*G104</f>
        <v>0</v>
      </c>
    </row>
    <row r="105" spans="1:9" x14ac:dyDescent="0.25">
      <c r="A105" s="159" t="s">
        <v>67</v>
      </c>
      <c r="B105" s="159"/>
      <c r="C105" s="159"/>
      <c r="D105" s="159"/>
      <c r="E105" s="26"/>
      <c r="F105" s="26"/>
      <c r="G105" s="26"/>
      <c r="H105" s="26"/>
      <c r="I105" s="18">
        <f>+E105*G105</f>
        <v>0</v>
      </c>
    </row>
    <row r="106" spans="1:9" ht="16.5" x14ac:dyDescent="0.3">
      <c r="A106" s="167" t="s">
        <v>68</v>
      </c>
      <c r="B106" s="167"/>
      <c r="C106" s="167"/>
      <c r="D106" s="167"/>
      <c r="E106" s="14" t="s">
        <v>52</v>
      </c>
      <c r="F106" s="170" t="s">
        <v>69</v>
      </c>
      <c r="G106" s="171"/>
      <c r="H106" s="27" t="s">
        <v>46</v>
      </c>
      <c r="I106" s="28" t="s">
        <v>53</v>
      </c>
    </row>
    <row r="107" spans="1:9" x14ac:dyDescent="0.25">
      <c r="A107" s="168" t="str">
        <f>CUADRILLAS!B8</f>
        <v xml:space="preserve">CUADRILLA 3 </v>
      </c>
      <c r="B107" s="168"/>
      <c r="C107" s="168"/>
      <c r="D107" s="168"/>
      <c r="E107" s="18">
        <v>1</v>
      </c>
      <c r="F107" s="177">
        <f>CUADRILLAS!D8</f>
        <v>212500</v>
      </c>
      <c r="G107" s="177"/>
      <c r="H107" s="21">
        <v>20</v>
      </c>
      <c r="I107" s="24">
        <f>+E107*F107/H107</f>
        <v>10625</v>
      </c>
    </row>
    <row r="108" spans="1:9" x14ac:dyDescent="0.25">
      <c r="A108" s="168"/>
      <c r="B108" s="168"/>
      <c r="C108" s="168"/>
      <c r="D108" s="168"/>
      <c r="E108" s="18"/>
      <c r="F108" s="177"/>
      <c r="G108" s="177"/>
      <c r="H108" s="21"/>
      <c r="I108" s="24"/>
    </row>
    <row r="109" spans="1:9" ht="16.5" x14ac:dyDescent="0.3">
      <c r="A109" s="160"/>
      <c r="B109" s="161"/>
      <c r="C109" s="161"/>
      <c r="D109" s="161"/>
      <c r="E109" s="162"/>
      <c r="F109" s="30" t="s">
        <v>35</v>
      </c>
      <c r="G109" s="31"/>
      <c r="H109" s="32"/>
      <c r="I109" s="36">
        <f>ROUND((SUM(I92:I108)),0)</f>
        <v>281156</v>
      </c>
    </row>
    <row r="111" spans="1:9" ht="16.5" x14ac:dyDescent="0.3">
      <c r="A111" s="10" t="s">
        <v>40</v>
      </c>
      <c r="B111" s="163" t="e">
        <f>'PRESUPUESTO_ESTUDIO MERCADO '!#REF!</f>
        <v>#REF!</v>
      </c>
      <c r="C111" s="164"/>
      <c r="D111" s="164"/>
      <c r="E111" s="164"/>
      <c r="F111" s="164"/>
      <c r="G111" s="164"/>
      <c r="H111" s="164"/>
      <c r="I111" s="165"/>
    </row>
    <row r="112" spans="1:9" ht="16.5" x14ac:dyDescent="0.3">
      <c r="A112" s="11" t="s">
        <v>72</v>
      </c>
      <c r="B112" s="166"/>
      <c r="C112" s="166"/>
      <c r="D112" s="166"/>
      <c r="E112" s="166"/>
      <c r="F112" s="166"/>
      <c r="G112" s="166"/>
      <c r="H112" s="12" t="s">
        <v>42</v>
      </c>
      <c r="I112" s="13" t="s">
        <v>16</v>
      </c>
    </row>
    <row r="113" spans="1:9" ht="16.5" x14ac:dyDescent="0.3">
      <c r="A113" s="167" t="s">
        <v>44</v>
      </c>
      <c r="B113" s="167"/>
      <c r="C113" s="167"/>
      <c r="D113" s="167"/>
      <c r="E113" s="167"/>
      <c r="F113" s="14" t="s">
        <v>9</v>
      </c>
      <c r="G113" s="14" t="s">
        <v>45</v>
      </c>
      <c r="H113" s="14" t="s">
        <v>46</v>
      </c>
      <c r="I113" s="15" t="s">
        <v>47</v>
      </c>
    </row>
    <row r="114" spans="1:9" x14ac:dyDescent="0.25">
      <c r="A114" s="159" t="s">
        <v>48</v>
      </c>
      <c r="B114" s="159"/>
      <c r="C114" s="159"/>
      <c r="D114" s="159"/>
      <c r="E114" s="159"/>
      <c r="F114" s="17"/>
      <c r="G114" s="17"/>
      <c r="H114" s="18"/>
      <c r="I114" s="19">
        <f>ROUND((SUM(I129:I130)*0.05),0)</f>
        <v>10200</v>
      </c>
    </row>
    <row r="115" spans="1:9" x14ac:dyDescent="0.25">
      <c r="A115" s="159"/>
      <c r="B115" s="159"/>
      <c r="C115" s="159"/>
      <c r="D115" s="159"/>
      <c r="E115" s="159"/>
      <c r="F115" s="17"/>
      <c r="G115" s="17"/>
      <c r="H115" s="21"/>
      <c r="I115" s="19"/>
    </row>
    <row r="116" spans="1:9" x14ac:dyDescent="0.25">
      <c r="A116" s="174"/>
      <c r="B116" s="175"/>
      <c r="C116" s="175"/>
      <c r="D116" s="175"/>
      <c r="E116" s="176"/>
      <c r="F116" s="17"/>
      <c r="G116" s="17"/>
      <c r="H116" s="21"/>
      <c r="I116" s="19"/>
    </row>
    <row r="117" spans="1:9" ht="16.5" x14ac:dyDescent="0.3">
      <c r="A117" s="167" t="s">
        <v>49</v>
      </c>
      <c r="B117" s="167"/>
      <c r="C117" s="167"/>
      <c r="D117" s="167"/>
      <c r="E117" s="167"/>
      <c r="F117" s="14" t="s">
        <v>50</v>
      </c>
      <c r="G117" s="22" t="s">
        <v>51</v>
      </c>
      <c r="H117" s="22" t="s">
        <v>52</v>
      </c>
      <c r="I117" s="15" t="s">
        <v>53</v>
      </c>
    </row>
    <row r="118" spans="1:9" x14ac:dyDescent="0.25">
      <c r="A118" s="173" t="s">
        <v>85</v>
      </c>
      <c r="B118" s="159"/>
      <c r="C118" s="159"/>
      <c r="D118" s="159"/>
      <c r="E118" s="159"/>
      <c r="F118" s="23" t="s">
        <v>74</v>
      </c>
      <c r="G118" s="24">
        <v>4500000</v>
      </c>
      <c r="H118" s="18">
        <v>1.05</v>
      </c>
      <c r="I118" s="24">
        <f>+H118*G118</f>
        <v>4725000</v>
      </c>
    </row>
    <row r="119" spans="1:9" x14ac:dyDescent="0.25">
      <c r="A119" s="174"/>
      <c r="B119" s="175"/>
      <c r="C119" s="175"/>
      <c r="D119" s="175"/>
      <c r="E119" s="176"/>
      <c r="F119" s="23"/>
      <c r="G119" s="18"/>
      <c r="H119" s="18"/>
      <c r="I119" s="24"/>
    </row>
    <row r="120" spans="1:9" x14ac:dyDescent="0.25">
      <c r="A120" s="174"/>
      <c r="B120" s="175"/>
      <c r="C120" s="175"/>
      <c r="D120" s="175"/>
      <c r="E120" s="176"/>
      <c r="F120" s="23"/>
      <c r="G120" s="18"/>
      <c r="H120" s="18"/>
      <c r="I120" s="24"/>
    </row>
    <row r="121" spans="1:9" x14ac:dyDescent="0.25">
      <c r="A121" s="159"/>
      <c r="B121" s="159"/>
      <c r="C121" s="159"/>
      <c r="D121" s="159"/>
      <c r="E121" s="159"/>
      <c r="F121" s="23"/>
      <c r="G121" s="18"/>
      <c r="H121" s="18"/>
      <c r="I121" s="24"/>
    </row>
    <row r="122" spans="1:9" x14ac:dyDescent="0.25">
      <c r="A122" s="174"/>
      <c r="B122" s="175"/>
      <c r="C122" s="175"/>
      <c r="D122" s="175"/>
      <c r="E122" s="176"/>
      <c r="F122" s="23"/>
      <c r="G122" s="18"/>
      <c r="H122" s="18"/>
      <c r="I122" s="24">
        <f t="shared" ref="I122:I124" si="5">+G122*H122</f>
        <v>0</v>
      </c>
    </row>
    <row r="123" spans="1:9" x14ac:dyDescent="0.25">
      <c r="A123" s="159"/>
      <c r="B123" s="159"/>
      <c r="C123" s="159"/>
      <c r="D123" s="159"/>
      <c r="E123" s="159"/>
      <c r="F123" s="23"/>
      <c r="G123" s="18"/>
      <c r="H123" s="18"/>
      <c r="I123" s="24">
        <f t="shared" si="5"/>
        <v>0</v>
      </c>
    </row>
    <row r="124" spans="1:9" x14ac:dyDescent="0.25">
      <c r="A124" s="159"/>
      <c r="B124" s="159"/>
      <c r="C124" s="159"/>
      <c r="D124" s="159"/>
      <c r="E124" s="159"/>
      <c r="F124" s="23"/>
      <c r="G124" s="18"/>
      <c r="H124" s="18"/>
      <c r="I124" s="24">
        <f t="shared" si="5"/>
        <v>0</v>
      </c>
    </row>
    <row r="125" spans="1:9" ht="16.5" x14ac:dyDescent="0.3">
      <c r="A125" s="167" t="s">
        <v>61</v>
      </c>
      <c r="B125" s="167"/>
      <c r="C125" s="167"/>
      <c r="D125" s="167"/>
      <c r="E125" s="25" t="s">
        <v>62</v>
      </c>
      <c r="F125" s="14" t="s">
        <v>63</v>
      </c>
      <c r="G125" s="14" t="s">
        <v>64</v>
      </c>
      <c r="H125" s="14" t="s">
        <v>65</v>
      </c>
      <c r="I125" s="15" t="s">
        <v>53</v>
      </c>
    </row>
    <row r="126" spans="1:9" x14ac:dyDescent="0.25">
      <c r="A126" s="159" t="s">
        <v>66</v>
      </c>
      <c r="B126" s="159"/>
      <c r="C126" s="159"/>
      <c r="D126" s="159"/>
      <c r="E126" s="26"/>
      <c r="F126" s="26">
        <v>6</v>
      </c>
      <c r="G126" s="26">
        <f>35000/F126</f>
        <v>5833.333333333333</v>
      </c>
      <c r="H126" s="26">
        <f>+G126*6</f>
        <v>35000</v>
      </c>
      <c r="I126" s="18">
        <f>+E126*G126</f>
        <v>0</v>
      </c>
    </row>
    <row r="127" spans="1:9" x14ac:dyDescent="0.25">
      <c r="A127" s="159" t="s">
        <v>67</v>
      </c>
      <c r="B127" s="159"/>
      <c r="C127" s="159"/>
      <c r="D127" s="159"/>
      <c r="E127" s="26"/>
      <c r="F127" s="26"/>
      <c r="G127" s="26"/>
      <c r="H127" s="26"/>
      <c r="I127" s="18">
        <f>+E127*G127</f>
        <v>0</v>
      </c>
    </row>
    <row r="128" spans="1:9" ht="16.5" x14ac:dyDescent="0.3">
      <c r="A128" s="167" t="s">
        <v>68</v>
      </c>
      <c r="B128" s="167"/>
      <c r="C128" s="167"/>
      <c r="D128" s="167"/>
      <c r="E128" s="14" t="s">
        <v>52</v>
      </c>
      <c r="F128" s="170" t="s">
        <v>69</v>
      </c>
      <c r="G128" s="171"/>
      <c r="H128" s="27" t="s">
        <v>46</v>
      </c>
      <c r="I128" s="28" t="s">
        <v>53</v>
      </c>
    </row>
    <row r="129" spans="1:9" x14ac:dyDescent="0.25">
      <c r="A129" s="168" t="s">
        <v>86</v>
      </c>
      <c r="B129" s="168"/>
      <c r="C129" s="168"/>
      <c r="D129" s="168"/>
      <c r="E129" s="18">
        <v>1</v>
      </c>
      <c r="F129" s="177">
        <f>80000*1.7+40000*1.7</f>
        <v>204000</v>
      </c>
      <c r="G129" s="177"/>
      <c r="H129" s="21">
        <v>1</v>
      </c>
      <c r="I129" s="24">
        <f>+E129*F129/H129</f>
        <v>204000</v>
      </c>
    </row>
    <row r="130" spans="1:9" x14ac:dyDescent="0.25">
      <c r="A130" s="168"/>
      <c r="B130" s="168"/>
      <c r="C130" s="168"/>
      <c r="D130" s="168"/>
      <c r="E130" s="18"/>
      <c r="F130" s="177"/>
      <c r="G130" s="177"/>
      <c r="H130" s="21"/>
      <c r="I130" s="24"/>
    </row>
    <row r="131" spans="1:9" ht="16.5" x14ac:dyDescent="0.3">
      <c r="A131" s="160"/>
      <c r="B131" s="161"/>
      <c r="C131" s="161"/>
      <c r="D131" s="161"/>
      <c r="E131" s="162"/>
      <c r="F131" s="30" t="s">
        <v>35</v>
      </c>
      <c r="G131" s="31"/>
      <c r="H131" s="32"/>
      <c r="I131" s="36">
        <f>ROUND((SUM(I114:I130)),0)</f>
        <v>4939200</v>
      </c>
    </row>
    <row r="133" spans="1:9" ht="16.5" x14ac:dyDescent="0.3">
      <c r="A133" s="10" t="s">
        <v>40</v>
      </c>
      <c r="B133" s="163" t="e">
        <f>'PRESUPUESTO_ESTUDIO MERCADO '!#REF!</f>
        <v>#REF!</v>
      </c>
      <c r="C133" s="164"/>
      <c r="D133" s="164"/>
      <c r="E133" s="164"/>
      <c r="F133" s="164"/>
      <c r="G133" s="164"/>
      <c r="H133" s="164"/>
      <c r="I133" s="165"/>
    </row>
    <row r="134" spans="1:9" ht="16.5" x14ac:dyDescent="0.3">
      <c r="A134" s="11" t="s">
        <v>72</v>
      </c>
      <c r="B134" s="166"/>
      <c r="C134" s="166"/>
      <c r="D134" s="166"/>
      <c r="E134" s="166"/>
      <c r="F134" s="166"/>
      <c r="G134" s="166"/>
      <c r="H134" s="12" t="s">
        <v>42</v>
      </c>
      <c r="I134" s="13" t="s">
        <v>87</v>
      </c>
    </row>
    <row r="135" spans="1:9" ht="16.5" x14ac:dyDescent="0.3">
      <c r="A135" s="167" t="s">
        <v>44</v>
      </c>
      <c r="B135" s="167"/>
      <c r="C135" s="167"/>
      <c r="D135" s="167"/>
      <c r="E135" s="167"/>
      <c r="F135" s="14" t="s">
        <v>9</v>
      </c>
      <c r="G135" s="14" t="s">
        <v>45</v>
      </c>
      <c r="H135" s="14" t="s">
        <v>46</v>
      </c>
      <c r="I135" s="15" t="s">
        <v>47</v>
      </c>
    </row>
    <row r="136" spans="1:9" x14ac:dyDescent="0.25">
      <c r="A136" s="159" t="s">
        <v>48</v>
      </c>
      <c r="B136" s="159"/>
      <c r="C136" s="159"/>
      <c r="D136" s="159"/>
      <c r="E136" s="159"/>
      <c r="F136" s="17"/>
      <c r="G136" s="17"/>
      <c r="H136" s="18"/>
      <c r="I136" s="19">
        <f>ROUND((SUM(I151:I152)*0.05),0)</f>
        <v>468</v>
      </c>
    </row>
    <row r="137" spans="1:9" x14ac:dyDescent="0.25">
      <c r="A137" s="159"/>
      <c r="B137" s="159"/>
      <c r="C137" s="159"/>
      <c r="D137" s="159"/>
      <c r="E137" s="159"/>
      <c r="F137" s="17"/>
      <c r="G137" s="17"/>
      <c r="H137" s="21"/>
      <c r="I137" s="19"/>
    </row>
    <row r="138" spans="1:9" x14ac:dyDescent="0.25">
      <c r="A138" s="174"/>
      <c r="B138" s="175"/>
      <c r="C138" s="175"/>
      <c r="D138" s="175"/>
      <c r="E138" s="176"/>
      <c r="F138" s="17"/>
      <c r="G138" s="17"/>
      <c r="H138" s="21"/>
      <c r="I138" s="19"/>
    </row>
    <row r="139" spans="1:9" ht="16.5" x14ac:dyDescent="0.3">
      <c r="A139" s="167" t="s">
        <v>49</v>
      </c>
      <c r="B139" s="167"/>
      <c r="C139" s="167"/>
      <c r="D139" s="167"/>
      <c r="E139" s="167"/>
      <c r="F139" s="14" t="s">
        <v>50</v>
      </c>
      <c r="G139" s="22" t="s">
        <v>51</v>
      </c>
      <c r="H139" s="22" t="s">
        <v>52</v>
      </c>
      <c r="I139" s="15" t="s">
        <v>53</v>
      </c>
    </row>
    <row r="140" spans="1:9" x14ac:dyDescent="0.25">
      <c r="A140" s="173" t="s">
        <v>88</v>
      </c>
      <c r="B140" s="159"/>
      <c r="C140" s="159"/>
      <c r="D140" s="159"/>
      <c r="E140" s="159"/>
      <c r="F140" s="23" t="s">
        <v>74</v>
      </c>
      <c r="G140" s="24">
        <v>350000</v>
      </c>
      <c r="H140" s="18">
        <v>1</v>
      </c>
      <c r="I140" s="24">
        <f>+H140*G140</f>
        <v>350000</v>
      </c>
    </row>
    <row r="141" spans="1:9" x14ac:dyDescent="0.25">
      <c r="A141" s="174"/>
      <c r="B141" s="175"/>
      <c r="C141" s="175"/>
      <c r="D141" s="175"/>
      <c r="E141" s="176"/>
      <c r="F141" s="23"/>
      <c r="G141" s="18"/>
      <c r="H141" s="18"/>
      <c r="I141" s="24"/>
    </row>
    <row r="142" spans="1:9" x14ac:dyDescent="0.25">
      <c r="A142" s="174"/>
      <c r="B142" s="175"/>
      <c r="C142" s="175"/>
      <c r="D142" s="175"/>
      <c r="E142" s="176"/>
      <c r="F142" s="23"/>
      <c r="G142" s="18"/>
      <c r="H142" s="18"/>
      <c r="I142" s="24"/>
    </row>
    <row r="143" spans="1:9" x14ac:dyDescent="0.25">
      <c r="A143" s="159"/>
      <c r="B143" s="159"/>
      <c r="C143" s="159"/>
      <c r="D143" s="159"/>
      <c r="E143" s="159"/>
      <c r="F143" s="23"/>
      <c r="G143" s="18"/>
      <c r="H143" s="18"/>
      <c r="I143" s="24"/>
    </row>
    <row r="144" spans="1:9" x14ac:dyDescent="0.25">
      <c r="A144" s="174"/>
      <c r="B144" s="175"/>
      <c r="C144" s="175"/>
      <c r="D144" s="175"/>
      <c r="E144" s="176"/>
      <c r="F144" s="23"/>
      <c r="G144" s="18"/>
      <c r="H144" s="18"/>
      <c r="I144" s="24">
        <f t="shared" ref="I144:I146" si="6">+G144*H144</f>
        <v>0</v>
      </c>
    </row>
    <row r="145" spans="1:9" x14ac:dyDescent="0.25">
      <c r="A145" s="159"/>
      <c r="B145" s="159"/>
      <c r="C145" s="159"/>
      <c r="D145" s="159"/>
      <c r="E145" s="159"/>
      <c r="F145" s="23"/>
      <c r="G145" s="18"/>
      <c r="H145" s="18"/>
      <c r="I145" s="24">
        <f t="shared" si="6"/>
        <v>0</v>
      </c>
    </row>
    <row r="146" spans="1:9" x14ac:dyDescent="0.25">
      <c r="A146" s="159"/>
      <c r="B146" s="159"/>
      <c r="C146" s="159"/>
      <c r="D146" s="159"/>
      <c r="E146" s="159"/>
      <c r="F146" s="23"/>
      <c r="G146" s="18"/>
      <c r="H146" s="18"/>
      <c r="I146" s="24">
        <f t="shared" si="6"/>
        <v>0</v>
      </c>
    </row>
    <row r="147" spans="1:9" ht="16.5" x14ac:dyDescent="0.3">
      <c r="A147" s="167" t="s">
        <v>61</v>
      </c>
      <c r="B147" s="167"/>
      <c r="C147" s="167"/>
      <c r="D147" s="167"/>
      <c r="E147" s="25" t="s">
        <v>62</v>
      </c>
      <c r="F147" s="14" t="s">
        <v>63</v>
      </c>
      <c r="G147" s="14" t="s">
        <v>64</v>
      </c>
      <c r="H147" s="14" t="s">
        <v>65</v>
      </c>
      <c r="I147" s="15" t="s">
        <v>53</v>
      </c>
    </row>
    <row r="148" spans="1:9" x14ac:dyDescent="0.25">
      <c r="A148" s="159" t="s">
        <v>66</v>
      </c>
      <c r="B148" s="159"/>
      <c r="C148" s="159"/>
      <c r="D148" s="159"/>
      <c r="E148" s="26"/>
      <c r="F148" s="26">
        <v>6</v>
      </c>
      <c r="G148" s="26">
        <f>35000/F148</f>
        <v>5833.333333333333</v>
      </c>
      <c r="H148" s="26">
        <f>+G148*6</f>
        <v>35000</v>
      </c>
      <c r="I148" s="18">
        <f>+E148*G148</f>
        <v>0</v>
      </c>
    </row>
    <row r="149" spans="1:9" x14ac:dyDescent="0.25">
      <c r="A149" s="159" t="s">
        <v>67</v>
      </c>
      <c r="B149" s="159"/>
      <c r="C149" s="159"/>
      <c r="D149" s="159"/>
      <c r="E149" s="26"/>
      <c r="F149" s="26"/>
      <c r="G149" s="26"/>
      <c r="H149" s="26"/>
      <c r="I149" s="18">
        <f>+E149*G149</f>
        <v>0</v>
      </c>
    </row>
    <row r="150" spans="1:9" ht="16.5" x14ac:dyDescent="0.3">
      <c r="A150" s="167" t="s">
        <v>68</v>
      </c>
      <c r="B150" s="167"/>
      <c r="C150" s="167"/>
      <c r="D150" s="167"/>
      <c r="E150" s="14" t="s">
        <v>52</v>
      </c>
      <c r="F150" s="170" t="s">
        <v>69</v>
      </c>
      <c r="G150" s="171"/>
      <c r="H150" s="27" t="s">
        <v>46</v>
      </c>
      <c r="I150" s="28" t="s">
        <v>53</v>
      </c>
    </row>
    <row r="151" spans="1:9" x14ac:dyDescent="0.25">
      <c r="A151" s="168" t="s">
        <v>89</v>
      </c>
      <c r="B151" s="168"/>
      <c r="C151" s="168"/>
      <c r="D151" s="168"/>
      <c r="E151" s="18">
        <v>1</v>
      </c>
      <c r="F151" s="177">
        <f>70000*1.7+40000*1.7</f>
        <v>187000</v>
      </c>
      <c r="G151" s="177"/>
      <c r="H151" s="21">
        <v>20</v>
      </c>
      <c r="I151" s="24">
        <f>+E151*F151/H151</f>
        <v>9350</v>
      </c>
    </row>
    <row r="152" spans="1:9" x14ac:dyDescent="0.25">
      <c r="A152" s="168"/>
      <c r="B152" s="168"/>
      <c r="C152" s="168"/>
      <c r="D152" s="168"/>
      <c r="E152" s="18"/>
      <c r="F152" s="177"/>
      <c r="G152" s="177"/>
      <c r="H152" s="21"/>
      <c r="I152" s="24"/>
    </row>
    <row r="153" spans="1:9" ht="16.5" x14ac:dyDescent="0.3">
      <c r="A153" s="160"/>
      <c r="B153" s="161"/>
      <c r="C153" s="161"/>
      <c r="D153" s="161"/>
      <c r="E153" s="162"/>
      <c r="F153" s="30" t="s">
        <v>35</v>
      </c>
      <c r="G153" s="31"/>
      <c r="H153" s="32"/>
      <c r="I153" s="36">
        <f>ROUND((SUM(I136:I152)),0)</f>
        <v>359818</v>
      </c>
    </row>
    <row r="155" spans="1:9" ht="16.5" x14ac:dyDescent="0.3">
      <c r="A155" s="10" t="s">
        <v>40</v>
      </c>
      <c r="B155" s="163" t="e">
        <f>'PRESUPUESTO_ESTUDIO MERCADO '!#REF!</f>
        <v>#REF!</v>
      </c>
      <c r="C155" s="164"/>
      <c r="D155" s="164"/>
      <c r="E155" s="164"/>
      <c r="F155" s="164"/>
      <c r="G155" s="164"/>
      <c r="H155" s="164"/>
      <c r="I155" s="165"/>
    </row>
    <row r="156" spans="1:9" ht="16.5" x14ac:dyDescent="0.3">
      <c r="A156" s="11" t="s">
        <v>72</v>
      </c>
      <c r="B156" s="166"/>
      <c r="C156" s="166"/>
      <c r="D156" s="166"/>
      <c r="E156" s="166"/>
      <c r="F156" s="166"/>
      <c r="G156" s="166"/>
      <c r="H156" s="12" t="s">
        <v>42</v>
      </c>
      <c r="I156" s="13" t="s">
        <v>87</v>
      </c>
    </row>
    <row r="157" spans="1:9" ht="16.5" x14ac:dyDescent="0.3">
      <c r="A157" s="167" t="s">
        <v>44</v>
      </c>
      <c r="B157" s="167"/>
      <c r="C157" s="167"/>
      <c r="D157" s="167"/>
      <c r="E157" s="167"/>
      <c r="F157" s="14" t="s">
        <v>9</v>
      </c>
      <c r="G157" s="14" t="s">
        <v>45</v>
      </c>
      <c r="H157" s="14" t="s">
        <v>46</v>
      </c>
      <c r="I157" s="15" t="s">
        <v>47</v>
      </c>
    </row>
    <row r="158" spans="1:9" x14ac:dyDescent="0.25">
      <c r="A158" s="159" t="s">
        <v>48</v>
      </c>
      <c r="B158" s="159"/>
      <c r="C158" s="159"/>
      <c r="D158" s="159"/>
      <c r="E158" s="159"/>
      <c r="F158" s="17"/>
      <c r="G158" s="17"/>
      <c r="H158" s="18"/>
      <c r="I158" s="19">
        <f>ROUND((SUM(I173:I174)*0.05),0)</f>
        <v>2338</v>
      </c>
    </row>
    <row r="159" spans="1:9" x14ac:dyDescent="0.25">
      <c r="A159" s="159"/>
      <c r="B159" s="159"/>
      <c r="C159" s="159"/>
      <c r="D159" s="159"/>
      <c r="E159" s="159"/>
      <c r="F159" s="17"/>
      <c r="G159" s="17"/>
      <c r="H159" s="21"/>
      <c r="I159" s="19"/>
    </row>
    <row r="160" spans="1:9" x14ac:dyDescent="0.25">
      <c r="A160" s="174"/>
      <c r="B160" s="175"/>
      <c r="C160" s="175"/>
      <c r="D160" s="175"/>
      <c r="E160" s="176"/>
      <c r="F160" s="17"/>
      <c r="G160" s="17"/>
      <c r="H160" s="21"/>
      <c r="I160" s="19"/>
    </row>
    <row r="161" spans="1:9" ht="16.5" x14ac:dyDescent="0.3">
      <c r="A161" s="167" t="s">
        <v>49</v>
      </c>
      <c r="B161" s="167"/>
      <c r="C161" s="167"/>
      <c r="D161" s="167"/>
      <c r="E161" s="167"/>
      <c r="F161" s="14" t="s">
        <v>50</v>
      </c>
      <c r="G161" s="22" t="s">
        <v>51</v>
      </c>
      <c r="H161" s="22" t="s">
        <v>52</v>
      </c>
      <c r="I161" s="15" t="s">
        <v>53</v>
      </c>
    </row>
    <row r="162" spans="1:9" x14ac:dyDescent="0.25">
      <c r="A162" s="173" t="s">
        <v>90</v>
      </c>
      <c r="B162" s="159"/>
      <c r="C162" s="159"/>
      <c r="D162" s="159"/>
      <c r="E162" s="159"/>
      <c r="F162" s="23" t="s">
        <v>58</v>
      </c>
      <c r="G162" s="24">
        <v>500000</v>
      </c>
      <c r="H162" s="18">
        <v>1.05</v>
      </c>
      <c r="I162" s="24">
        <f>+H162*G162</f>
        <v>525000</v>
      </c>
    </row>
    <row r="163" spans="1:9" x14ac:dyDescent="0.25">
      <c r="A163" s="174"/>
      <c r="B163" s="175"/>
      <c r="C163" s="175"/>
      <c r="D163" s="175"/>
      <c r="E163" s="176"/>
      <c r="F163" s="23"/>
      <c r="G163" s="18"/>
      <c r="H163" s="18"/>
      <c r="I163" s="24"/>
    </row>
    <row r="164" spans="1:9" x14ac:dyDescent="0.25">
      <c r="A164" s="174"/>
      <c r="B164" s="175"/>
      <c r="C164" s="175"/>
      <c r="D164" s="175"/>
      <c r="E164" s="176"/>
      <c r="F164" s="23"/>
      <c r="G164" s="18"/>
      <c r="H164" s="18"/>
      <c r="I164" s="24"/>
    </row>
    <row r="165" spans="1:9" x14ac:dyDescent="0.25">
      <c r="A165" s="159"/>
      <c r="B165" s="159"/>
      <c r="C165" s="159"/>
      <c r="D165" s="159"/>
      <c r="E165" s="159"/>
      <c r="F165" s="23"/>
      <c r="G165" s="18"/>
      <c r="H165" s="18"/>
      <c r="I165" s="24"/>
    </row>
    <row r="166" spans="1:9" x14ac:dyDescent="0.25">
      <c r="A166" s="174"/>
      <c r="B166" s="175"/>
      <c r="C166" s="175"/>
      <c r="D166" s="175"/>
      <c r="E166" s="176"/>
      <c r="F166" s="23"/>
      <c r="G166" s="18"/>
      <c r="H166" s="18"/>
      <c r="I166" s="24">
        <f t="shared" ref="I166:I168" si="7">+G166*H166</f>
        <v>0</v>
      </c>
    </row>
    <row r="167" spans="1:9" x14ac:dyDescent="0.25">
      <c r="A167" s="159"/>
      <c r="B167" s="159"/>
      <c r="C167" s="159"/>
      <c r="D167" s="159"/>
      <c r="E167" s="159"/>
      <c r="F167" s="23"/>
      <c r="G167" s="18"/>
      <c r="H167" s="18"/>
      <c r="I167" s="24">
        <f t="shared" si="7"/>
        <v>0</v>
      </c>
    </row>
    <row r="168" spans="1:9" x14ac:dyDescent="0.25">
      <c r="A168" s="159"/>
      <c r="B168" s="159"/>
      <c r="C168" s="159"/>
      <c r="D168" s="159"/>
      <c r="E168" s="159"/>
      <c r="F168" s="23"/>
      <c r="G168" s="18"/>
      <c r="H168" s="18"/>
      <c r="I168" s="24">
        <f t="shared" si="7"/>
        <v>0</v>
      </c>
    </row>
    <row r="169" spans="1:9" ht="16.5" x14ac:dyDescent="0.3">
      <c r="A169" s="167" t="s">
        <v>61</v>
      </c>
      <c r="B169" s="167"/>
      <c r="C169" s="167"/>
      <c r="D169" s="167"/>
      <c r="E169" s="25" t="s">
        <v>62</v>
      </c>
      <c r="F169" s="14" t="s">
        <v>63</v>
      </c>
      <c r="G169" s="14" t="s">
        <v>64</v>
      </c>
      <c r="H169" s="14" t="s">
        <v>65</v>
      </c>
      <c r="I169" s="15" t="s">
        <v>53</v>
      </c>
    </row>
    <row r="170" spans="1:9" x14ac:dyDescent="0.25">
      <c r="A170" s="159" t="s">
        <v>66</v>
      </c>
      <c r="B170" s="159"/>
      <c r="C170" s="159"/>
      <c r="D170" s="159"/>
      <c r="E170" s="26"/>
      <c r="F170" s="26">
        <v>6</v>
      </c>
      <c r="G170" s="26">
        <f>35000/F170</f>
        <v>5833.333333333333</v>
      </c>
      <c r="H170" s="26">
        <f>+G170*6</f>
        <v>35000</v>
      </c>
      <c r="I170" s="18">
        <f>+E170*G170</f>
        <v>0</v>
      </c>
    </row>
    <row r="171" spans="1:9" x14ac:dyDescent="0.25">
      <c r="A171" s="159" t="s">
        <v>67</v>
      </c>
      <c r="B171" s="159"/>
      <c r="C171" s="159"/>
      <c r="D171" s="159"/>
      <c r="E171" s="26"/>
      <c r="F171" s="26"/>
      <c r="G171" s="26"/>
      <c r="H171" s="26"/>
      <c r="I171" s="18">
        <f>+E171*G171</f>
        <v>0</v>
      </c>
    </row>
    <row r="172" spans="1:9" ht="16.5" x14ac:dyDescent="0.3">
      <c r="A172" s="167" t="s">
        <v>68</v>
      </c>
      <c r="B172" s="167"/>
      <c r="C172" s="167"/>
      <c r="D172" s="167"/>
      <c r="E172" s="14" t="s">
        <v>52</v>
      </c>
      <c r="F172" s="170" t="s">
        <v>69</v>
      </c>
      <c r="G172" s="171"/>
      <c r="H172" s="27" t="s">
        <v>46</v>
      </c>
      <c r="I172" s="28" t="s">
        <v>53</v>
      </c>
    </row>
    <row r="173" spans="1:9" x14ac:dyDescent="0.25">
      <c r="A173" s="168" t="s">
        <v>91</v>
      </c>
      <c r="B173" s="168"/>
      <c r="C173" s="168"/>
      <c r="D173" s="168"/>
      <c r="E173" s="18">
        <v>1</v>
      </c>
      <c r="F173" s="177">
        <f>70000*1.7+40000*1.7</f>
        <v>187000</v>
      </c>
      <c r="G173" s="177"/>
      <c r="H173" s="21">
        <v>4</v>
      </c>
      <c r="I173" s="24">
        <f>+E173*F173/H173</f>
        <v>46750</v>
      </c>
    </row>
    <row r="174" spans="1:9" x14ac:dyDescent="0.25">
      <c r="A174" s="168"/>
      <c r="B174" s="168"/>
      <c r="C174" s="168"/>
      <c r="D174" s="168"/>
      <c r="E174" s="18"/>
      <c r="F174" s="177"/>
      <c r="G174" s="177"/>
      <c r="H174" s="21"/>
      <c r="I174" s="24"/>
    </row>
    <row r="175" spans="1:9" ht="16.5" x14ac:dyDescent="0.3">
      <c r="A175" s="160"/>
      <c r="B175" s="161"/>
      <c r="C175" s="161"/>
      <c r="D175" s="161"/>
      <c r="E175" s="162"/>
      <c r="F175" s="30" t="s">
        <v>35</v>
      </c>
      <c r="G175" s="31"/>
      <c r="H175" s="32"/>
      <c r="I175" s="36">
        <f>ROUND((SUM(I158:I174)),0)</f>
        <v>574088</v>
      </c>
    </row>
    <row r="177" spans="1:9" ht="16.5" x14ac:dyDescent="0.3">
      <c r="A177" s="10" t="s">
        <v>40</v>
      </c>
      <c r="B177" s="163" t="e">
        <f>'PRESUPUESTO_ESTUDIO MERCADO '!#REF!</f>
        <v>#REF!</v>
      </c>
      <c r="C177" s="164"/>
      <c r="D177" s="164"/>
      <c r="E177" s="164"/>
      <c r="F177" s="164"/>
      <c r="G177" s="164"/>
      <c r="H177" s="164"/>
      <c r="I177" s="165"/>
    </row>
    <row r="178" spans="1:9" ht="16.5" x14ac:dyDescent="0.3">
      <c r="A178" s="11" t="s">
        <v>72</v>
      </c>
      <c r="B178" s="166"/>
      <c r="C178" s="166"/>
      <c r="D178" s="166"/>
      <c r="E178" s="166"/>
      <c r="F178" s="166"/>
      <c r="G178" s="166"/>
      <c r="H178" s="12" t="s">
        <v>42</v>
      </c>
      <c r="I178" s="13" t="s">
        <v>20</v>
      </c>
    </row>
    <row r="179" spans="1:9" ht="16.5" x14ac:dyDescent="0.3">
      <c r="A179" s="167" t="s">
        <v>44</v>
      </c>
      <c r="B179" s="167"/>
      <c r="C179" s="167"/>
      <c r="D179" s="167"/>
      <c r="E179" s="167"/>
      <c r="F179" s="14" t="s">
        <v>9</v>
      </c>
      <c r="G179" s="14" t="s">
        <v>45</v>
      </c>
      <c r="H179" s="14" t="s">
        <v>46</v>
      </c>
      <c r="I179" s="15" t="s">
        <v>47</v>
      </c>
    </row>
    <row r="180" spans="1:9" x14ac:dyDescent="0.25">
      <c r="A180" s="159" t="s">
        <v>48</v>
      </c>
      <c r="B180" s="159"/>
      <c r="C180" s="159"/>
      <c r="D180" s="159"/>
      <c r="E180" s="159"/>
      <c r="F180" s="17"/>
      <c r="G180" s="17"/>
      <c r="H180" s="18"/>
      <c r="I180" s="19">
        <f>ROUND((SUM(I195:I196)*0.05),0)</f>
        <v>779</v>
      </c>
    </row>
    <row r="181" spans="1:9" x14ac:dyDescent="0.25">
      <c r="A181" s="159"/>
      <c r="B181" s="159"/>
      <c r="C181" s="159"/>
      <c r="D181" s="159"/>
      <c r="E181" s="159"/>
      <c r="F181" s="17"/>
      <c r="G181" s="17"/>
      <c r="H181" s="21"/>
      <c r="I181" s="19"/>
    </row>
    <row r="182" spans="1:9" x14ac:dyDescent="0.25">
      <c r="A182" s="174"/>
      <c r="B182" s="175"/>
      <c r="C182" s="175"/>
      <c r="D182" s="175"/>
      <c r="E182" s="176"/>
      <c r="F182" s="17"/>
      <c r="G182" s="17"/>
      <c r="H182" s="21"/>
      <c r="I182" s="19"/>
    </row>
    <row r="183" spans="1:9" ht="16.5" x14ac:dyDescent="0.3">
      <c r="A183" s="167" t="s">
        <v>49</v>
      </c>
      <c r="B183" s="167"/>
      <c r="C183" s="167"/>
      <c r="D183" s="167"/>
      <c r="E183" s="167"/>
      <c r="F183" s="14" t="s">
        <v>50</v>
      </c>
      <c r="G183" s="22" t="s">
        <v>51</v>
      </c>
      <c r="H183" s="22" t="s">
        <v>52</v>
      </c>
      <c r="I183" s="15" t="s">
        <v>53</v>
      </c>
    </row>
    <row r="184" spans="1:9" x14ac:dyDescent="0.25">
      <c r="A184" s="173" t="s">
        <v>92</v>
      </c>
      <c r="B184" s="159"/>
      <c r="C184" s="159"/>
      <c r="D184" s="159"/>
      <c r="E184" s="159"/>
      <c r="F184" s="23" t="s">
        <v>80</v>
      </c>
      <c r="G184" s="24">
        <v>120000</v>
      </c>
      <c r="H184" s="18">
        <v>1</v>
      </c>
      <c r="I184" s="24">
        <f>+H184*G184</f>
        <v>120000</v>
      </c>
    </row>
    <row r="185" spans="1:9" x14ac:dyDescent="0.25">
      <c r="A185" s="174"/>
      <c r="B185" s="175"/>
      <c r="C185" s="175"/>
      <c r="D185" s="175"/>
      <c r="E185" s="176"/>
      <c r="F185" s="23"/>
      <c r="G185" s="18"/>
      <c r="H185" s="18"/>
      <c r="I185" s="24"/>
    </row>
    <row r="186" spans="1:9" x14ac:dyDescent="0.25">
      <c r="A186" s="174"/>
      <c r="B186" s="175"/>
      <c r="C186" s="175"/>
      <c r="D186" s="175"/>
      <c r="E186" s="176"/>
      <c r="F186" s="23"/>
      <c r="G186" s="18"/>
      <c r="H186" s="18"/>
      <c r="I186" s="24"/>
    </row>
    <row r="187" spans="1:9" x14ac:dyDescent="0.25">
      <c r="A187" s="159"/>
      <c r="B187" s="159"/>
      <c r="C187" s="159"/>
      <c r="D187" s="159"/>
      <c r="E187" s="159"/>
      <c r="F187" s="23"/>
      <c r="G187" s="18"/>
      <c r="H187" s="18"/>
      <c r="I187" s="24"/>
    </row>
    <row r="188" spans="1:9" x14ac:dyDescent="0.25">
      <c r="A188" s="174"/>
      <c r="B188" s="175"/>
      <c r="C188" s="175"/>
      <c r="D188" s="175"/>
      <c r="E188" s="176"/>
      <c r="F188" s="23"/>
      <c r="G188" s="18"/>
      <c r="H188" s="18"/>
      <c r="I188" s="24">
        <f t="shared" ref="I188:I190" si="8">+G188*H188</f>
        <v>0</v>
      </c>
    </row>
    <row r="189" spans="1:9" x14ac:dyDescent="0.25">
      <c r="A189" s="159"/>
      <c r="B189" s="159"/>
      <c r="C189" s="159"/>
      <c r="D189" s="159"/>
      <c r="E189" s="159"/>
      <c r="F189" s="23"/>
      <c r="G189" s="18"/>
      <c r="H189" s="18"/>
      <c r="I189" s="24">
        <f t="shared" si="8"/>
        <v>0</v>
      </c>
    </row>
    <row r="190" spans="1:9" x14ac:dyDescent="0.25">
      <c r="A190" s="159"/>
      <c r="B190" s="159"/>
      <c r="C190" s="159"/>
      <c r="D190" s="159"/>
      <c r="E190" s="159"/>
      <c r="F190" s="23"/>
      <c r="G190" s="18"/>
      <c r="H190" s="18"/>
      <c r="I190" s="24">
        <f t="shared" si="8"/>
        <v>0</v>
      </c>
    </row>
    <row r="191" spans="1:9" ht="16.5" x14ac:dyDescent="0.3">
      <c r="A191" s="167" t="s">
        <v>61</v>
      </c>
      <c r="B191" s="167"/>
      <c r="C191" s="167"/>
      <c r="D191" s="167"/>
      <c r="E191" s="25" t="s">
        <v>62</v>
      </c>
      <c r="F191" s="14" t="s">
        <v>63</v>
      </c>
      <c r="G191" s="14" t="s">
        <v>64</v>
      </c>
      <c r="H191" s="14" t="s">
        <v>65</v>
      </c>
      <c r="I191" s="15" t="s">
        <v>53</v>
      </c>
    </row>
    <row r="192" spans="1:9" x14ac:dyDescent="0.25">
      <c r="A192" s="159" t="s">
        <v>66</v>
      </c>
      <c r="B192" s="159"/>
      <c r="C192" s="159"/>
      <c r="D192" s="159"/>
      <c r="E192" s="26"/>
      <c r="F192" s="26">
        <v>6</v>
      </c>
      <c r="G192" s="26">
        <f>35000/F192</f>
        <v>5833.333333333333</v>
      </c>
      <c r="H192" s="26">
        <f>+G192*6</f>
        <v>35000</v>
      </c>
      <c r="I192" s="18">
        <f>+E192*G192</f>
        <v>0</v>
      </c>
    </row>
    <row r="193" spans="1:9" x14ac:dyDescent="0.25">
      <c r="A193" s="159" t="s">
        <v>67</v>
      </c>
      <c r="B193" s="159"/>
      <c r="C193" s="159"/>
      <c r="D193" s="159"/>
      <c r="E193" s="26"/>
      <c r="F193" s="26"/>
      <c r="G193" s="26"/>
      <c r="H193" s="26"/>
      <c r="I193" s="18">
        <f>+E193*G193</f>
        <v>0</v>
      </c>
    </row>
    <row r="194" spans="1:9" ht="16.5" x14ac:dyDescent="0.3">
      <c r="A194" s="167" t="s">
        <v>68</v>
      </c>
      <c r="B194" s="167"/>
      <c r="C194" s="167"/>
      <c r="D194" s="167"/>
      <c r="E194" s="14" t="s">
        <v>52</v>
      </c>
      <c r="F194" s="170" t="s">
        <v>69</v>
      </c>
      <c r="G194" s="171"/>
      <c r="H194" s="27" t="s">
        <v>46</v>
      </c>
      <c r="I194" s="28" t="s">
        <v>53</v>
      </c>
    </row>
    <row r="195" spans="1:9" x14ac:dyDescent="0.25">
      <c r="A195" s="168" t="s">
        <v>91</v>
      </c>
      <c r="B195" s="168"/>
      <c r="C195" s="168"/>
      <c r="D195" s="168"/>
      <c r="E195" s="18">
        <v>1</v>
      </c>
      <c r="F195" s="177">
        <f>70000*1.7+40000*1.7</f>
        <v>187000</v>
      </c>
      <c r="G195" s="177"/>
      <c r="H195" s="21">
        <v>12</v>
      </c>
      <c r="I195" s="24">
        <f>+E195*F195/H195</f>
        <v>15583.333333333334</v>
      </c>
    </row>
    <row r="196" spans="1:9" x14ac:dyDescent="0.25">
      <c r="A196" s="168"/>
      <c r="B196" s="168"/>
      <c r="C196" s="168"/>
      <c r="D196" s="168"/>
      <c r="E196" s="18"/>
      <c r="F196" s="177"/>
      <c r="G196" s="177"/>
      <c r="H196" s="21"/>
      <c r="I196" s="24"/>
    </row>
    <row r="197" spans="1:9" ht="16.5" x14ac:dyDescent="0.3">
      <c r="A197" s="160"/>
      <c r="B197" s="161"/>
      <c r="C197" s="161"/>
      <c r="D197" s="161"/>
      <c r="E197" s="162"/>
      <c r="F197" s="30" t="s">
        <v>35</v>
      </c>
      <c r="G197" s="31"/>
      <c r="H197" s="32"/>
      <c r="I197" s="36">
        <f>ROUND((SUM(I180:I196)),0)</f>
        <v>136362</v>
      </c>
    </row>
    <row r="199" spans="1:9" ht="16.5" x14ac:dyDescent="0.3">
      <c r="A199" s="10" t="s">
        <v>40</v>
      </c>
      <c r="B199" s="163" t="e">
        <f>'PRESUPUESTO_ESTUDIO MERCADO '!#REF!</f>
        <v>#REF!</v>
      </c>
      <c r="C199" s="164"/>
      <c r="D199" s="164"/>
      <c r="E199" s="164"/>
      <c r="F199" s="164"/>
      <c r="G199" s="164"/>
      <c r="H199" s="164"/>
      <c r="I199" s="165"/>
    </row>
    <row r="200" spans="1:9" ht="16.5" x14ac:dyDescent="0.3">
      <c r="A200" s="11" t="s">
        <v>72</v>
      </c>
      <c r="B200" s="166"/>
      <c r="C200" s="166"/>
      <c r="D200" s="166"/>
      <c r="E200" s="166"/>
      <c r="F200" s="166"/>
      <c r="G200" s="166"/>
      <c r="H200" s="12" t="s">
        <v>42</v>
      </c>
      <c r="I200" s="13" t="s">
        <v>16</v>
      </c>
    </row>
    <row r="201" spans="1:9" ht="16.5" x14ac:dyDescent="0.3">
      <c r="A201" s="167" t="s">
        <v>44</v>
      </c>
      <c r="B201" s="167"/>
      <c r="C201" s="167"/>
      <c r="D201" s="167"/>
      <c r="E201" s="167"/>
      <c r="F201" s="14" t="s">
        <v>9</v>
      </c>
      <c r="G201" s="14" t="s">
        <v>45</v>
      </c>
      <c r="H201" s="14" t="s">
        <v>46</v>
      </c>
      <c r="I201" s="15" t="s">
        <v>47</v>
      </c>
    </row>
    <row r="202" spans="1:9" x14ac:dyDescent="0.25">
      <c r="A202" s="159" t="s">
        <v>48</v>
      </c>
      <c r="B202" s="159"/>
      <c r="C202" s="159"/>
      <c r="D202" s="159"/>
      <c r="E202" s="159"/>
      <c r="F202" s="17"/>
      <c r="G202" s="17"/>
      <c r="H202" s="18"/>
      <c r="I202" s="19">
        <f>ROUND((SUM(I217:I218)*0.05),0)</f>
        <v>4675</v>
      </c>
    </row>
    <row r="203" spans="1:9" x14ac:dyDescent="0.25">
      <c r="A203" s="159"/>
      <c r="B203" s="159"/>
      <c r="C203" s="159"/>
      <c r="D203" s="159"/>
      <c r="E203" s="159"/>
      <c r="F203" s="17"/>
      <c r="G203" s="17"/>
      <c r="H203" s="21"/>
      <c r="I203" s="19"/>
    </row>
    <row r="204" spans="1:9" x14ac:dyDescent="0.25">
      <c r="A204" s="174"/>
      <c r="B204" s="175"/>
      <c r="C204" s="175"/>
      <c r="D204" s="175"/>
      <c r="E204" s="176"/>
      <c r="F204" s="17"/>
      <c r="G204" s="17"/>
      <c r="H204" s="21"/>
      <c r="I204" s="19"/>
    </row>
    <row r="205" spans="1:9" ht="16.5" x14ac:dyDescent="0.3">
      <c r="A205" s="167" t="s">
        <v>49</v>
      </c>
      <c r="B205" s="167"/>
      <c r="C205" s="167"/>
      <c r="D205" s="167"/>
      <c r="E205" s="167"/>
      <c r="F205" s="14" t="s">
        <v>50</v>
      </c>
      <c r="G205" s="22" t="s">
        <v>51</v>
      </c>
      <c r="H205" s="22" t="s">
        <v>52</v>
      </c>
      <c r="I205" s="15" t="s">
        <v>53</v>
      </c>
    </row>
    <row r="206" spans="1:9" x14ac:dyDescent="0.25">
      <c r="A206" s="173" t="s">
        <v>93</v>
      </c>
      <c r="B206" s="159"/>
      <c r="C206" s="159"/>
      <c r="D206" s="159"/>
      <c r="E206" s="159"/>
      <c r="F206" s="23" t="s">
        <v>74</v>
      </c>
      <c r="G206" s="24">
        <v>650000</v>
      </c>
      <c r="H206" s="18">
        <v>1</v>
      </c>
      <c r="I206" s="24">
        <f>+H206*G206</f>
        <v>650000</v>
      </c>
    </row>
    <row r="207" spans="1:9" x14ac:dyDescent="0.25">
      <c r="A207" s="174" t="s">
        <v>94</v>
      </c>
      <c r="B207" s="175"/>
      <c r="C207" s="175"/>
      <c r="D207" s="175"/>
      <c r="E207" s="176"/>
      <c r="F207" s="23" t="s">
        <v>74</v>
      </c>
      <c r="G207" s="18">
        <v>250000</v>
      </c>
      <c r="H207" s="18">
        <v>1</v>
      </c>
      <c r="I207" s="24">
        <f t="shared" ref="I207:I208" si="9">+H207*G207</f>
        <v>250000</v>
      </c>
    </row>
    <row r="208" spans="1:9" x14ac:dyDescent="0.25">
      <c r="A208" s="159" t="s">
        <v>95</v>
      </c>
      <c r="B208" s="159"/>
      <c r="C208" s="159"/>
      <c r="D208" s="159"/>
      <c r="E208" s="159"/>
      <c r="F208" s="23" t="s">
        <v>74</v>
      </c>
      <c r="G208" s="18">
        <v>1200000</v>
      </c>
      <c r="H208" s="18">
        <v>1</v>
      </c>
      <c r="I208" s="24">
        <f t="shared" si="9"/>
        <v>1200000</v>
      </c>
    </row>
    <row r="209" spans="1:9" x14ac:dyDescent="0.25">
      <c r="A209" s="159"/>
      <c r="B209" s="159"/>
      <c r="C209" s="159"/>
      <c r="D209" s="159"/>
      <c r="E209" s="159"/>
      <c r="F209" s="23"/>
      <c r="G209" s="18"/>
      <c r="H209" s="18"/>
      <c r="I209" s="24"/>
    </row>
    <row r="210" spans="1:9" x14ac:dyDescent="0.25">
      <c r="A210" s="174"/>
      <c r="B210" s="175"/>
      <c r="C210" s="175"/>
      <c r="D210" s="175"/>
      <c r="E210" s="176"/>
      <c r="F210" s="23"/>
      <c r="G210" s="18"/>
      <c r="H210" s="18"/>
      <c r="I210" s="24">
        <f t="shared" ref="I210:I212" si="10">+G210*H210</f>
        <v>0</v>
      </c>
    </row>
    <row r="211" spans="1:9" x14ac:dyDescent="0.25">
      <c r="A211" s="159"/>
      <c r="B211" s="159"/>
      <c r="C211" s="159"/>
      <c r="D211" s="159"/>
      <c r="E211" s="159"/>
      <c r="F211" s="23"/>
      <c r="G211" s="18"/>
      <c r="H211" s="18"/>
      <c r="I211" s="24">
        <f t="shared" si="10"/>
        <v>0</v>
      </c>
    </row>
    <row r="212" spans="1:9" x14ac:dyDescent="0.25">
      <c r="A212" s="159"/>
      <c r="B212" s="159"/>
      <c r="C212" s="159"/>
      <c r="D212" s="159"/>
      <c r="E212" s="159"/>
      <c r="F212" s="23"/>
      <c r="G212" s="18"/>
      <c r="H212" s="18"/>
      <c r="I212" s="24">
        <f t="shared" si="10"/>
        <v>0</v>
      </c>
    </row>
    <row r="213" spans="1:9" ht="16.5" x14ac:dyDescent="0.3">
      <c r="A213" s="167" t="s">
        <v>61</v>
      </c>
      <c r="B213" s="167"/>
      <c r="C213" s="167"/>
      <c r="D213" s="167"/>
      <c r="E213" s="25" t="s">
        <v>62</v>
      </c>
      <c r="F213" s="14" t="s">
        <v>63</v>
      </c>
      <c r="G213" s="14" t="s">
        <v>64</v>
      </c>
      <c r="H213" s="14" t="s">
        <v>65</v>
      </c>
      <c r="I213" s="15" t="s">
        <v>53</v>
      </c>
    </row>
    <row r="214" spans="1:9" x14ac:dyDescent="0.25">
      <c r="A214" s="159" t="s">
        <v>66</v>
      </c>
      <c r="B214" s="159"/>
      <c r="C214" s="159"/>
      <c r="D214" s="159"/>
      <c r="E214" s="26"/>
      <c r="F214" s="26">
        <v>6</v>
      </c>
      <c r="G214" s="26">
        <f>35000/F214</f>
        <v>5833.333333333333</v>
      </c>
      <c r="H214" s="26">
        <f>+G214*6</f>
        <v>35000</v>
      </c>
      <c r="I214" s="18">
        <f>+E214*G214</f>
        <v>0</v>
      </c>
    </row>
    <row r="215" spans="1:9" x14ac:dyDescent="0.25">
      <c r="A215" s="159" t="s">
        <v>67</v>
      </c>
      <c r="B215" s="159"/>
      <c r="C215" s="159"/>
      <c r="D215" s="159"/>
      <c r="E215" s="26"/>
      <c r="F215" s="26"/>
      <c r="G215" s="26"/>
      <c r="H215" s="26"/>
      <c r="I215" s="18">
        <f>+E215*G215</f>
        <v>0</v>
      </c>
    </row>
    <row r="216" spans="1:9" ht="16.5" x14ac:dyDescent="0.3">
      <c r="A216" s="167" t="s">
        <v>68</v>
      </c>
      <c r="B216" s="167"/>
      <c r="C216" s="167"/>
      <c r="D216" s="167"/>
      <c r="E216" s="14" t="s">
        <v>52</v>
      </c>
      <c r="F216" s="170" t="s">
        <v>69</v>
      </c>
      <c r="G216" s="171"/>
      <c r="H216" s="27" t="s">
        <v>46</v>
      </c>
      <c r="I216" s="28" t="s">
        <v>53</v>
      </c>
    </row>
    <row r="217" spans="1:9" x14ac:dyDescent="0.25">
      <c r="A217" s="168" t="s">
        <v>91</v>
      </c>
      <c r="B217" s="168"/>
      <c r="C217" s="168"/>
      <c r="D217" s="168"/>
      <c r="E217" s="18">
        <v>1</v>
      </c>
      <c r="F217" s="177">
        <f>70000*1.7+40000*1.7</f>
        <v>187000</v>
      </c>
      <c r="G217" s="177"/>
      <c r="H217" s="21">
        <v>2</v>
      </c>
      <c r="I217" s="24">
        <f>+E217*F217/H217</f>
        <v>93500</v>
      </c>
    </row>
    <row r="218" spans="1:9" x14ac:dyDescent="0.25">
      <c r="A218" s="168"/>
      <c r="B218" s="168"/>
      <c r="C218" s="168"/>
      <c r="D218" s="168"/>
      <c r="E218" s="18"/>
      <c r="F218" s="177"/>
      <c r="G218" s="177"/>
      <c r="H218" s="21"/>
      <c r="I218" s="24"/>
    </row>
    <row r="219" spans="1:9" ht="16.5" x14ac:dyDescent="0.3">
      <c r="A219" s="160"/>
      <c r="B219" s="161"/>
      <c r="C219" s="161"/>
      <c r="D219" s="161"/>
      <c r="E219" s="162"/>
      <c r="F219" s="30" t="s">
        <v>35</v>
      </c>
      <c r="G219" s="31"/>
      <c r="H219" s="32"/>
      <c r="I219" s="36">
        <f>ROUND((SUM(I202:I218)),0)</f>
        <v>2198175</v>
      </c>
    </row>
  </sheetData>
  <mergeCells count="240">
    <mergeCell ref="F216:G216"/>
    <mergeCell ref="A217:D217"/>
    <mergeCell ref="F217:G217"/>
    <mergeCell ref="A218:D218"/>
    <mergeCell ref="F218:G218"/>
    <mergeCell ref="A219:E219"/>
    <mergeCell ref="A211:E211"/>
    <mergeCell ref="A212:E212"/>
    <mergeCell ref="A213:D213"/>
    <mergeCell ref="A214:D214"/>
    <mergeCell ref="A215:D215"/>
    <mergeCell ref="A216:D216"/>
    <mergeCell ref="A205:E205"/>
    <mergeCell ref="A206:E206"/>
    <mergeCell ref="A207:E207"/>
    <mergeCell ref="A208:E208"/>
    <mergeCell ref="A209:E209"/>
    <mergeCell ref="A210:E210"/>
    <mergeCell ref="B199:I199"/>
    <mergeCell ref="B200:G200"/>
    <mergeCell ref="A201:E201"/>
    <mergeCell ref="A202:E202"/>
    <mergeCell ref="A203:E203"/>
    <mergeCell ref="A204:E204"/>
    <mergeCell ref="F194:G194"/>
    <mergeCell ref="A195:D195"/>
    <mergeCell ref="F195:G195"/>
    <mergeCell ref="A196:D196"/>
    <mergeCell ref="F196:G196"/>
    <mergeCell ref="A197:E197"/>
    <mergeCell ref="A189:E189"/>
    <mergeCell ref="A190:E190"/>
    <mergeCell ref="A191:D191"/>
    <mergeCell ref="A192:D192"/>
    <mergeCell ref="A193:D193"/>
    <mergeCell ref="A194:D194"/>
    <mergeCell ref="A183:E183"/>
    <mergeCell ref="A184:E184"/>
    <mergeCell ref="A185:E185"/>
    <mergeCell ref="A186:E186"/>
    <mergeCell ref="A187:E187"/>
    <mergeCell ref="A188:E188"/>
    <mergeCell ref="B177:I177"/>
    <mergeCell ref="B178:G178"/>
    <mergeCell ref="A179:E179"/>
    <mergeCell ref="A180:E180"/>
    <mergeCell ref="A181:E181"/>
    <mergeCell ref="A182:E182"/>
    <mergeCell ref="F172:G172"/>
    <mergeCell ref="A173:D173"/>
    <mergeCell ref="F173:G173"/>
    <mergeCell ref="A174:D174"/>
    <mergeCell ref="F174:G174"/>
    <mergeCell ref="A175:E175"/>
    <mergeCell ref="A167:E167"/>
    <mergeCell ref="A168:E168"/>
    <mergeCell ref="A169:D169"/>
    <mergeCell ref="A170:D170"/>
    <mergeCell ref="A171:D171"/>
    <mergeCell ref="A172:D172"/>
    <mergeCell ref="A161:E161"/>
    <mergeCell ref="A162:E162"/>
    <mergeCell ref="A163:E163"/>
    <mergeCell ref="A164:E164"/>
    <mergeCell ref="A165:E165"/>
    <mergeCell ref="A166:E166"/>
    <mergeCell ref="B155:I155"/>
    <mergeCell ref="B156:G156"/>
    <mergeCell ref="A157:E157"/>
    <mergeCell ref="A158:E158"/>
    <mergeCell ref="A159:E159"/>
    <mergeCell ref="A160:E160"/>
    <mergeCell ref="F150:G150"/>
    <mergeCell ref="A151:D151"/>
    <mergeCell ref="F151:G151"/>
    <mergeCell ref="A152:D152"/>
    <mergeCell ref="F152:G152"/>
    <mergeCell ref="A153:E153"/>
    <mergeCell ref="A145:E145"/>
    <mergeCell ref="A146:E146"/>
    <mergeCell ref="A147:D147"/>
    <mergeCell ref="A148:D148"/>
    <mergeCell ref="A149:D149"/>
    <mergeCell ref="A150:D150"/>
    <mergeCell ref="A139:E139"/>
    <mergeCell ref="A140:E140"/>
    <mergeCell ref="A141:E141"/>
    <mergeCell ref="A142:E142"/>
    <mergeCell ref="A143:E143"/>
    <mergeCell ref="A144:E144"/>
    <mergeCell ref="B133:I133"/>
    <mergeCell ref="B134:G134"/>
    <mergeCell ref="A135:E135"/>
    <mergeCell ref="A136:E136"/>
    <mergeCell ref="A137:E137"/>
    <mergeCell ref="A138:E138"/>
    <mergeCell ref="F128:G128"/>
    <mergeCell ref="A129:D129"/>
    <mergeCell ref="F129:G129"/>
    <mergeCell ref="A130:D130"/>
    <mergeCell ref="F130:G130"/>
    <mergeCell ref="A131:E131"/>
    <mergeCell ref="A123:E123"/>
    <mergeCell ref="A124:E124"/>
    <mergeCell ref="A125:D125"/>
    <mergeCell ref="A126:D126"/>
    <mergeCell ref="A127:D127"/>
    <mergeCell ref="A128:D128"/>
    <mergeCell ref="A117:E117"/>
    <mergeCell ref="A118:E118"/>
    <mergeCell ref="A119:E119"/>
    <mergeCell ref="A120:E120"/>
    <mergeCell ref="A121:E121"/>
    <mergeCell ref="A122:E122"/>
    <mergeCell ref="B111:I111"/>
    <mergeCell ref="B112:G112"/>
    <mergeCell ref="A113:E113"/>
    <mergeCell ref="A114:E114"/>
    <mergeCell ref="A115:E115"/>
    <mergeCell ref="A116:E116"/>
    <mergeCell ref="F106:G106"/>
    <mergeCell ref="A107:D107"/>
    <mergeCell ref="F107:G107"/>
    <mergeCell ref="A108:D108"/>
    <mergeCell ref="F108:G108"/>
    <mergeCell ref="A109:E109"/>
    <mergeCell ref="A101:E101"/>
    <mergeCell ref="A102:E102"/>
    <mergeCell ref="A103:D103"/>
    <mergeCell ref="A104:D104"/>
    <mergeCell ref="A105:D105"/>
    <mergeCell ref="A106:D106"/>
    <mergeCell ref="A95:E95"/>
    <mergeCell ref="A96:E96"/>
    <mergeCell ref="A97:E97"/>
    <mergeCell ref="A98:E98"/>
    <mergeCell ref="A99:E99"/>
    <mergeCell ref="A100:E100"/>
    <mergeCell ref="B89:I89"/>
    <mergeCell ref="B90:G90"/>
    <mergeCell ref="A91:E91"/>
    <mergeCell ref="A92:E92"/>
    <mergeCell ref="A93:E93"/>
    <mergeCell ref="A94:E94"/>
    <mergeCell ref="F84:G84"/>
    <mergeCell ref="A85:D85"/>
    <mergeCell ref="F85:G85"/>
    <mergeCell ref="A86:D86"/>
    <mergeCell ref="F86:G86"/>
    <mergeCell ref="A87:E87"/>
    <mergeCell ref="A79:E79"/>
    <mergeCell ref="A80:E80"/>
    <mergeCell ref="A81:D81"/>
    <mergeCell ref="A82:D82"/>
    <mergeCell ref="A83:D83"/>
    <mergeCell ref="A84:D84"/>
    <mergeCell ref="A73:E73"/>
    <mergeCell ref="A74:E74"/>
    <mergeCell ref="A75:E75"/>
    <mergeCell ref="A76:E76"/>
    <mergeCell ref="A77:E77"/>
    <mergeCell ref="A78:E78"/>
    <mergeCell ref="B67:I67"/>
    <mergeCell ref="B68:G68"/>
    <mergeCell ref="A69:E69"/>
    <mergeCell ref="A70:E70"/>
    <mergeCell ref="A71:E71"/>
    <mergeCell ref="A72:E72"/>
    <mergeCell ref="F62:G62"/>
    <mergeCell ref="A63:D63"/>
    <mergeCell ref="F63:G63"/>
    <mergeCell ref="A64:D64"/>
    <mergeCell ref="F64:G64"/>
    <mergeCell ref="A65:E65"/>
    <mergeCell ref="A57:E57"/>
    <mergeCell ref="A58:E58"/>
    <mergeCell ref="A59:D59"/>
    <mergeCell ref="A60:D60"/>
    <mergeCell ref="A61:D61"/>
    <mergeCell ref="A62:D62"/>
    <mergeCell ref="A51:E51"/>
    <mergeCell ref="A52:E52"/>
    <mergeCell ref="A53:E53"/>
    <mergeCell ref="A54:E54"/>
    <mergeCell ref="A55:E55"/>
    <mergeCell ref="A56:E56"/>
    <mergeCell ref="B45:I45"/>
    <mergeCell ref="B46:G46"/>
    <mergeCell ref="A47:E47"/>
    <mergeCell ref="A48:E48"/>
    <mergeCell ref="A49:E49"/>
    <mergeCell ref="A50:E50"/>
    <mergeCell ref="F40:G40"/>
    <mergeCell ref="A41:D41"/>
    <mergeCell ref="F41:G41"/>
    <mergeCell ref="A42:D42"/>
    <mergeCell ref="F42:G42"/>
    <mergeCell ref="A43:E43"/>
    <mergeCell ref="A35:E35"/>
    <mergeCell ref="A36:E36"/>
    <mergeCell ref="A37:D37"/>
    <mergeCell ref="A38:D38"/>
    <mergeCell ref="A39:D39"/>
    <mergeCell ref="A40:D40"/>
    <mergeCell ref="A29:E29"/>
    <mergeCell ref="A30:E30"/>
    <mergeCell ref="A31:E31"/>
    <mergeCell ref="A32:E32"/>
    <mergeCell ref="A33:E33"/>
    <mergeCell ref="A34:E34"/>
    <mergeCell ref="B23:I23"/>
    <mergeCell ref="B24:G24"/>
    <mergeCell ref="A25:E25"/>
    <mergeCell ref="A26:E26"/>
    <mergeCell ref="A27:E27"/>
    <mergeCell ref="A28:E28"/>
    <mergeCell ref="F18:G18"/>
    <mergeCell ref="A19:D19"/>
    <mergeCell ref="F19:G19"/>
    <mergeCell ref="A20:D20"/>
    <mergeCell ref="F20:G20"/>
    <mergeCell ref="A21:E21"/>
    <mergeCell ref="A13:E13"/>
    <mergeCell ref="A14:E14"/>
    <mergeCell ref="A15:D15"/>
    <mergeCell ref="A16:D16"/>
    <mergeCell ref="A17:D17"/>
    <mergeCell ref="A18:D18"/>
    <mergeCell ref="A7:E7"/>
    <mergeCell ref="A8:E8"/>
    <mergeCell ref="A9:E9"/>
    <mergeCell ref="A10:E10"/>
    <mergeCell ref="A11:E11"/>
    <mergeCell ref="A12:E12"/>
    <mergeCell ref="B1:I1"/>
    <mergeCell ref="B2:G2"/>
    <mergeCell ref="A3:E3"/>
    <mergeCell ref="A4:E4"/>
    <mergeCell ref="A5:E5"/>
    <mergeCell ref="A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90BFA-4561-41AC-B867-06D78A59270A}">
  <dimension ref="A1:I68"/>
  <sheetViews>
    <sheetView topLeftCell="A11" zoomScaleNormal="100" workbookViewId="0">
      <selection activeCell="A70" sqref="A70:XFD264"/>
    </sheetView>
  </sheetViews>
  <sheetFormatPr baseColWidth="10" defaultColWidth="11.42578125" defaultRowHeight="15" x14ac:dyDescent="0.25"/>
  <sheetData>
    <row r="1" spans="1:9" ht="16.5" x14ac:dyDescent="0.3">
      <c r="A1" s="10" t="s">
        <v>40</v>
      </c>
      <c r="B1" s="181" t="str">
        <f>'PRESUPUESTO_ESTUDIO MERCADO '!B18</f>
        <v xml:space="preserve">Suministro, Transporte e Instalación de lavaplatos en acero inoxidable con dos posetas  de 3 metros de largo, con soporte en estructura galvanizada y un entrepaño, incluye griferia y todos los elementos necesarios para su correcta instalaciòn. </v>
      </c>
      <c r="C1" s="182"/>
      <c r="D1" s="182"/>
      <c r="E1" s="182"/>
      <c r="F1" s="182"/>
      <c r="G1" s="182"/>
      <c r="H1" s="182"/>
      <c r="I1" s="183"/>
    </row>
    <row r="2" spans="1:9" ht="16.5" x14ac:dyDescent="0.3">
      <c r="A2" s="11" t="s">
        <v>96</v>
      </c>
      <c r="B2" s="166"/>
      <c r="C2" s="166"/>
      <c r="D2" s="166"/>
      <c r="E2" s="166"/>
      <c r="F2" s="166"/>
      <c r="G2" s="166"/>
      <c r="H2" s="12" t="s">
        <v>42</v>
      </c>
      <c r="I2" s="13" t="s">
        <v>43</v>
      </c>
    </row>
    <row r="3" spans="1:9" ht="16.5" x14ac:dyDescent="0.3">
      <c r="A3" s="167" t="s">
        <v>44</v>
      </c>
      <c r="B3" s="167"/>
      <c r="C3" s="167"/>
      <c r="D3" s="167"/>
      <c r="E3" s="167"/>
      <c r="F3" s="14" t="s">
        <v>9</v>
      </c>
      <c r="G3" s="14" t="s">
        <v>45</v>
      </c>
      <c r="H3" s="14" t="s">
        <v>46</v>
      </c>
      <c r="I3" s="15" t="s">
        <v>47</v>
      </c>
    </row>
    <row r="4" spans="1:9" x14ac:dyDescent="0.25">
      <c r="A4" s="159" t="s">
        <v>48</v>
      </c>
      <c r="B4" s="159"/>
      <c r="C4" s="159"/>
      <c r="D4" s="159"/>
      <c r="E4" s="159"/>
      <c r="F4" s="17"/>
      <c r="G4" s="17"/>
      <c r="H4" s="18"/>
      <c r="I4" s="19">
        <f>ROUND((SUM(I20:I21)*0.05),0)</f>
        <v>4533</v>
      </c>
    </row>
    <row r="5" spans="1:9" x14ac:dyDescent="0.25">
      <c r="A5" s="159"/>
      <c r="B5" s="159"/>
      <c r="C5" s="159"/>
      <c r="D5" s="159"/>
      <c r="E5" s="159"/>
      <c r="F5" s="17"/>
      <c r="G5" s="17"/>
      <c r="H5" s="21"/>
      <c r="I5" s="19"/>
    </row>
    <row r="6" spans="1:9" x14ac:dyDescent="0.25">
      <c r="A6" s="159"/>
      <c r="B6" s="159"/>
      <c r="C6" s="159"/>
      <c r="D6" s="159"/>
      <c r="E6" s="159"/>
      <c r="F6" s="17"/>
      <c r="G6" s="17"/>
      <c r="H6" s="21"/>
      <c r="I6" s="19"/>
    </row>
    <row r="7" spans="1:9" ht="16.5" x14ac:dyDescent="0.3">
      <c r="A7" s="167" t="s">
        <v>49</v>
      </c>
      <c r="B7" s="167"/>
      <c r="C7" s="167"/>
      <c r="D7" s="167"/>
      <c r="E7" s="167"/>
      <c r="F7" s="14" t="s">
        <v>50</v>
      </c>
      <c r="G7" s="22" t="s">
        <v>51</v>
      </c>
      <c r="H7" s="22" t="s">
        <v>52</v>
      </c>
      <c r="I7" s="15" t="s">
        <v>53</v>
      </c>
    </row>
    <row r="8" spans="1:9" x14ac:dyDescent="0.25">
      <c r="A8" s="178" t="s">
        <v>97</v>
      </c>
      <c r="B8" s="179"/>
      <c r="C8" s="179"/>
      <c r="D8" s="179"/>
      <c r="E8" s="180"/>
      <c r="F8" s="88" t="s">
        <v>43</v>
      </c>
      <c r="G8" s="89">
        <v>650000</v>
      </c>
      <c r="H8" s="90">
        <v>1</v>
      </c>
      <c r="I8" s="89">
        <f>+H8*G8</f>
        <v>650000</v>
      </c>
    </row>
    <row r="9" spans="1:9" x14ac:dyDescent="0.25">
      <c r="A9" s="159" t="s">
        <v>98</v>
      </c>
      <c r="B9" s="159"/>
      <c r="C9" s="159"/>
      <c r="D9" s="159"/>
      <c r="E9" s="159"/>
      <c r="F9" s="23" t="s">
        <v>99</v>
      </c>
      <c r="G9" s="24">
        <v>1200</v>
      </c>
      <c r="H9" s="18">
        <v>2</v>
      </c>
      <c r="I9" s="24">
        <f>+H9*G9</f>
        <v>2400</v>
      </c>
    </row>
    <row r="10" spans="1:9" x14ac:dyDescent="0.25">
      <c r="A10" s="159" t="s">
        <v>100</v>
      </c>
      <c r="B10" s="159"/>
      <c r="C10" s="159"/>
      <c r="D10" s="159"/>
      <c r="E10" s="159"/>
      <c r="F10" s="23" t="s">
        <v>43</v>
      </c>
      <c r="G10" s="24">
        <v>45000</v>
      </c>
      <c r="H10" s="18">
        <v>1</v>
      </c>
      <c r="I10" s="24">
        <f>+H10*G10</f>
        <v>45000</v>
      </c>
    </row>
    <row r="11" spans="1:9" x14ac:dyDescent="0.25">
      <c r="A11" s="159"/>
      <c r="B11" s="159"/>
      <c r="C11" s="159"/>
      <c r="D11" s="159"/>
      <c r="E11" s="159"/>
      <c r="F11" s="23"/>
      <c r="G11" s="24"/>
      <c r="H11" s="91"/>
      <c r="I11" s="24">
        <f t="shared" ref="I11:I13" si="0">+H11*G11</f>
        <v>0</v>
      </c>
    </row>
    <row r="12" spans="1:9" x14ac:dyDescent="0.25">
      <c r="A12" s="159"/>
      <c r="B12" s="159"/>
      <c r="C12" s="159"/>
      <c r="D12" s="159"/>
      <c r="E12" s="159"/>
      <c r="F12" s="23"/>
      <c r="G12" s="24"/>
      <c r="H12" s="91"/>
      <c r="I12" s="24">
        <f t="shared" si="0"/>
        <v>0</v>
      </c>
    </row>
    <row r="13" spans="1:9" x14ac:dyDescent="0.25">
      <c r="A13" s="159"/>
      <c r="B13" s="159"/>
      <c r="C13" s="159"/>
      <c r="D13" s="159"/>
      <c r="E13" s="159"/>
      <c r="F13" s="23"/>
      <c r="G13" s="24"/>
      <c r="H13" s="91"/>
      <c r="I13" s="24">
        <f t="shared" si="0"/>
        <v>0</v>
      </c>
    </row>
    <row r="14" spans="1:9" x14ac:dyDescent="0.25">
      <c r="A14" s="159"/>
      <c r="B14" s="159"/>
      <c r="C14" s="159"/>
      <c r="D14" s="159"/>
      <c r="E14" s="159"/>
      <c r="F14" s="23"/>
      <c r="G14" s="18"/>
      <c r="H14" s="18"/>
      <c r="I14" s="24">
        <f t="shared" ref="I14:I15" si="1">+G14*H14</f>
        <v>0</v>
      </c>
    </row>
    <row r="15" spans="1:9" x14ac:dyDescent="0.25">
      <c r="A15" s="159"/>
      <c r="B15" s="159"/>
      <c r="C15" s="159"/>
      <c r="D15" s="159"/>
      <c r="E15" s="159"/>
      <c r="F15" s="23"/>
      <c r="G15" s="18"/>
      <c r="H15" s="18"/>
      <c r="I15" s="24">
        <f t="shared" si="1"/>
        <v>0</v>
      </c>
    </row>
    <row r="16" spans="1:9" ht="16.5" x14ac:dyDescent="0.3">
      <c r="A16" s="167" t="s">
        <v>61</v>
      </c>
      <c r="B16" s="167"/>
      <c r="C16" s="167"/>
      <c r="D16" s="167"/>
      <c r="E16" s="25" t="s">
        <v>62</v>
      </c>
      <c r="F16" s="14" t="s">
        <v>63</v>
      </c>
      <c r="G16" s="14" t="s">
        <v>64</v>
      </c>
      <c r="H16" s="14" t="s">
        <v>65</v>
      </c>
      <c r="I16" s="15" t="s">
        <v>53</v>
      </c>
    </row>
    <row r="17" spans="1:9" x14ac:dyDescent="0.25">
      <c r="A17" s="159" t="s">
        <v>66</v>
      </c>
      <c r="B17" s="159"/>
      <c r="C17" s="159"/>
      <c r="D17" s="159"/>
      <c r="E17" s="26"/>
      <c r="F17" s="26"/>
      <c r="G17" s="26"/>
      <c r="H17" s="26"/>
      <c r="I17" s="18"/>
    </row>
    <row r="18" spans="1:9" x14ac:dyDescent="0.25">
      <c r="A18" s="159" t="s">
        <v>67</v>
      </c>
      <c r="B18" s="159"/>
      <c r="C18" s="159"/>
      <c r="D18" s="159"/>
      <c r="E18" s="26"/>
      <c r="F18" s="26"/>
      <c r="G18" s="26"/>
      <c r="H18" s="26"/>
      <c r="I18" s="18">
        <f>+E18*G18</f>
        <v>0</v>
      </c>
    </row>
    <row r="19" spans="1:9" ht="16.5" x14ac:dyDescent="0.3">
      <c r="A19" s="167" t="s">
        <v>68</v>
      </c>
      <c r="B19" s="167"/>
      <c r="C19" s="167"/>
      <c r="D19" s="167"/>
      <c r="E19" s="14" t="s">
        <v>52</v>
      </c>
      <c r="F19" s="170" t="s">
        <v>69</v>
      </c>
      <c r="G19" s="171"/>
      <c r="H19" s="27" t="s">
        <v>46</v>
      </c>
      <c r="I19" s="28" t="s">
        <v>53</v>
      </c>
    </row>
    <row r="20" spans="1:9" x14ac:dyDescent="0.25">
      <c r="A20" s="168" t="str">
        <f>CUADRILLAS!A18</f>
        <v>OFICIAL PLOMERIA</v>
      </c>
      <c r="B20" s="168"/>
      <c r="C20" s="168"/>
      <c r="D20" s="168"/>
      <c r="E20" s="18">
        <v>1</v>
      </c>
      <c r="F20" s="177">
        <f>CUADRILLAS!B18*1.7</f>
        <v>136000</v>
      </c>
      <c r="G20" s="177"/>
      <c r="H20" s="21">
        <v>1.5</v>
      </c>
      <c r="I20" s="24">
        <f>+(E20*F20)/H20</f>
        <v>90666.666666666672</v>
      </c>
    </row>
    <row r="21" spans="1:9" x14ac:dyDescent="0.25">
      <c r="A21" s="168"/>
      <c r="B21" s="168"/>
      <c r="C21" s="168"/>
      <c r="D21" s="168"/>
      <c r="E21" s="18"/>
      <c r="F21" s="177"/>
      <c r="G21" s="177"/>
      <c r="H21" s="21"/>
      <c r="I21" s="24"/>
    </row>
    <row r="22" spans="1:9" ht="16.5" x14ac:dyDescent="0.3">
      <c r="A22" s="160"/>
      <c r="B22" s="161"/>
      <c r="C22" s="161"/>
      <c r="D22" s="161"/>
      <c r="E22" s="162"/>
      <c r="F22" s="30" t="s">
        <v>35</v>
      </c>
      <c r="G22" s="31"/>
      <c r="H22" s="32"/>
      <c r="I22" s="33">
        <f>ROUND((SUM(I4:I21)),0)</f>
        <v>792600</v>
      </c>
    </row>
    <row r="23" spans="1:9" ht="16.5" x14ac:dyDescent="0.3">
      <c r="A23" s="67"/>
      <c r="B23" s="68"/>
      <c r="C23" s="68"/>
      <c r="D23" s="68"/>
      <c r="E23" s="68"/>
      <c r="F23" s="76"/>
      <c r="G23" s="77"/>
      <c r="H23" s="78"/>
      <c r="I23" s="92"/>
    </row>
    <row r="24" spans="1:9" ht="16.5" x14ac:dyDescent="0.3">
      <c r="A24" s="10" t="s">
        <v>40</v>
      </c>
      <c r="B24" s="181" t="e">
        <f>'PRESUPUESTO_ESTUDIO MERCADO '!#REF!</f>
        <v>#REF!</v>
      </c>
      <c r="C24" s="182"/>
      <c r="D24" s="182"/>
      <c r="E24" s="182"/>
      <c r="F24" s="182"/>
      <c r="G24" s="182"/>
      <c r="H24" s="182"/>
      <c r="I24" s="183"/>
    </row>
    <row r="25" spans="1:9" ht="16.5" x14ac:dyDescent="0.3">
      <c r="A25" s="11" t="s">
        <v>96</v>
      </c>
      <c r="B25" s="166"/>
      <c r="C25" s="166"/>
      <c r="D25" s="166"/>
      <c r="E25" s="166"/>
      <c r="F25" s="166"/>
      <c r="G25" s="166"/>
      <c r="H25" s="12" t="s">
        <v>42</v>
      </c>
      <c r="I25" s="13" t="s">
        <v>43</v>
      </c>
    </row>
    <row r="26" spans="1:9" ht="16.5" x14ac:dyDescent="0.3">
      <c r="A26" s="167" t="s">
        <v>44</v>
      </c>
      <c r="B26" s="167"/>
      <c r="C26" s="167"/>
      <c r="D26" s="167"/>
      <c r="E26" s="167"/>
      <c r="F26" s="14" t="s">
        <v>9</v>
      </c>
      <c r="G26" s="14" t="s">
        <v>45</v>
      </c>
      <c r="H26" s="14" t="s">
        <v>46</v>
      </c>
      <c r="I26" s="15" t="s">
        <v>47</v>
      </c>
    </row>
    <row r="27" spans="1:9" x14ac:dyDescent="0.25">
      <c r="A27" s="159" t="s">
        <v>48</v>
      </c>
      <c r="B27" s="159"/>
      <c r="C27" s="159"/>
      <c r="D27" s="159"/>
      <c r="E27" s="159"/>
      <c r="F27" s="17"/>
      <c r="G27" s="17"/>
      <c r="H27" s="18"/>
      <c r="I27" s="19">
        <f>ROUND((SUM(I43:I44)*0.05),0)</f>
        <v>4533</v>
      </c>
    </row>
    <row r="28" spans="1:9" x14ac:dyDescent="0.25">
      <c r="A28" s="159"/>
      <c r="B28" s="159"/>
      <c r="C28" s="159"/>
      <c r="D28" s="159"/>
      <c r="E28" s="159"/>
      <c r="F28" s="17"/>
      <c r="G28" s="17"/>
      <c r="H28" s="21"/>
      <c r="I28" s="19"/>
    </row>
    <row r="29" spans="1:9" x14ac:dyDescent="0.25">
      <c r="A29" s="159"/>
      <c r="B29" s="159"/>
      <c r="C29" s="159"/>
      <c r="D29" s="159"/>
      <c r="E29" s="159"/>
      <c r="F29" s="17"/>
      <c r="G29" s="17"/>
      <c r="H29" s="21"/>
      <c r="I29" s="19"/>
    </row>
    <row r="30" spans="1:9" ht="16.5" x14ac:dyDescent="0.3">
      <c r="A30" s="167" t="s">
        <v>49</v>
      </c>
      <c r="B30" s="167"/>
      <c r="C30" s="167"/>
      <c r="D30" s="167"/>
      <c r="E30" s="167"/>
      <c r="F30" s="14" t="s">
        <v>50</v>
      </c>
      <c r="G30" s="22" t="s">
        <v>51</v>
      </c>
      <c r="H30" s="22" t="s">
        <v>52</v>
      </c>
      <c r="I30" s="15" t="s">
        <v>53</v>
      </c>
    </row>
    <row r="31" spans="1:9" x14ac:dyDescent="0.25">
      <c r="A31" s="178" t="s">
        <v>101</v>
      </c>
      <c r="B31" s="179"/>
      <c r="C31" s="179"/>
      <c r="D31" s="179"/>
      <c r="E31" s="180"/>
      <c r="F31" s="88" t="s">
        <v>43</v>
      </c>
      <c r="G31" s="89">
        <v>400000</v>
      </c>
      <c r="H31" s="90">
        <v>1</v>
      </c>
      <c r="I31" s="89">
        <f>+H31*G31</f>
        <v>400000</v>
      </c>
    </row>
    <row r="32" spans="1:9" x14ac:dyDescent="0.25">
      <c r="A32" s="159" t="s">
        <v>102</v>
      </c>
      <c r="B32" s="159"/>
      <c r="C32" s="159"/>
      <c r="D32" s="159"/>
      <c r="E32" s="159"/>
      <c r="F32" s="88" t="s">
        <v>43</v>
      </c>
      <c r="G32" s="24">
        <v>70000</v>
      </c>
      <c r="H32" s="18">
        <v>0.1</v>
      </c>
      <c r="I32" s="89">
        <f>+H32*G32</f>
        <v>7000</v>
      </c>
    </row>
    <row r="33" spans="1:9" x14ac:dyDescent="0.25">
      <c r="A33" s="159"/>
      <c r="B33" s="159"/>
      <c r="C33" s="159"/>
      <c r="D33" s="159"/>
      <c r="E33" s="159"/>
      <c r="F33" s="23"/>
      <c r="G33" s="24"/>
      <c r="H33" s="18"/>
      <c r="I33" s="24"/>
    </row>
    <row r="34" spans="1:9" x14ac:dyDescent="0.25">
      <c r="A34" s="159"/>
      <c r="B34" s="159"/>
      <c r="C34" s="159"/>
      <c r="D34" s="159"/>
      <c r="E34" s="159"/>
      <c r="F34" s="23"/>
      <c r="G34" s="24"/>
      <c r="H34" s="91"/>
      <c r="I34" s="24">
        <f t="shared" ref="I34:I36" si="2">+H34*G34</f>
        <v>0</v>
      </c>
    </row>
    <row r="35" spans="1:9" x14ac:dyDescent="0.25">
      <c r="A35" s="159"/>
      <c r="B35" s="159"/>
      <c r="C35" s="159"/>
      <c r="D35" s="159"/>
      <c r="E35" s="159"/>
      <c r="F35" s="23"/>
      <c r="G35" s="24"/>
      <c r="H35" s="91"/>
      <c r="I35" s="24">
        <f t="shared" si="2"/>
        <v>0</v>
      </c>
    </row>
    <row r="36" spans="1:9" x14ac:dyDescent="0.25">
      <c r="A36" s="159"/>
      <c r="B36" s="159"/>
      <c r="C36" s="159"/>
      <c r="D36" s="159"/>
      <c r="E36" s="159"/>
      <c r="F36" s="23"/>
      <c r="G36" s="24"/>
      <c r="H36" s="91"/>
      <c r="I36" s="24">
        <f t="shared" si="2"/>
        <v>0</v>
      </c>
    </row>
    <row r="37" spans="1:9" x14ac:dyDescent="0.25">
      <c r="A37" s="159"/>
      <c r="B37" s="159"/>
      <c r="C37" s="159"/>
      <c r="D37" s="159"/>
      <c r="E37" s="159"/>
      <c r="F37" s="23"/>
      <c r="G37" s="18"/>
      <c r="H37" s="18"/>
      <c r="I37" s="24">
        <f t="shared" ref="I37:I38" si="3">+G37*H37</f>
        <v>0</v>
      </c>
    </row>
    <row r="38" spans="1:9" x14ac:dyDescent="0.25">
      <c r="A38" s="159"/>
      <c r="B38" s="159"/>
      <c r="C38" s="159"/>
      <c r="D38" s="159"/>
      <c r="E38" s="159"/>
      <c r="F38" s="23"/>
      <c r="G38" s="18"/>
      <c r="H38" s="18"/>
      <c r="I38" s="24">
        <f t="shared" si="3"/>
        <v>0</v>
      </c>
    </row>
    <row r="39" spans="1:9" ht="16.5" x14ac:dyDescent="0.3">
      <c r="A39" s="167" t="s">
        <v>61</v>
      </c>
      <c r="B39" s="167"/>
      <c r="C39" s="167"/>
      <c r="D39" s="167"/>
      <c r="E39" s="25" t="s">
        <v>62</v>
      </c>
      <c r="F39" s="14" t="s">
        <v>63</v>
      </c>
      <c r="G39" s="14" t="s">
        <v>64</v>
      </c>
      <c r="H39" s="14" t="s">
        <v>65</v>
      </c>
      <c r="I39" s="15" t="s">
        <v>53</v>
      </c>
    </row>
    <row r="40" spans="1:9" x14ac:dyDescent="0.25">
      <c r="A40" s="159" t="s">
        <v>66</v>
      </c>
      <c r="B40" s="159"/>
      <c r="C40" s="159"/>
      <c r="D40" s="159"/>
      <c r="E40" s="26"/>
      <c r="F40" s="26"/>
      <c r="G40" s="26"/>
      <c r="H40" s="26"/>
      <c r="I40" s="18"/>
    </row>
    <row r="41" spans="1:9" x14ac:dyDescent="0.25">
      <c r="A41" s="159" t="s">
        <v>67</v>
      </c>
      <c r="B41" s="159"/>
      <c r="C41" s="159"/>
      <c r="D41" s="159"/>
      <c r="E41" s="26"/>
      <c r="F41" s="26"/>
      <c r="G41" s="26"/>
      <c r="H41" s="26"/>
      <c r="I41" s="18">
        <f>+E41*G41</f>
        <v>0</v>
      </c>
    </row>
    <row r="42" spans="1:9" ht="16.5" x14ac:dyDescent="0.3">
      <c r="A42" s="167" t="s">
        <v>68</v>
      </c>
      <c r="B42" s="167"/>
      <c r="C42" s="167"/>
      <c r="D42" s="167"/>
      <c r="E42" s="14" t="s">
        <v>52</v>
      </c>
      <c r="F42" s="170" t="s">
        <v>69</v>
      </c>
      <c r="G42" s="171"/>
      <c r="H42" s="27" t="s">
        <v>46</v>
      </c>
      <c r="I42" s="28" t="s">
        <v>53</v>
      </c>
    </row>
    <row r="43" spans="1:9" x14ac:dyDescent="0.25">
      <c r="A43" s="168" t="str">
        <f>CUADRILLAS!A18</f>
        <v>OFICIAL PLOMERIA</v>
      </c>
      <c r="B43" s="168"/>
      <c r="C43" s="168"/>
      <c r="D43" s="168"/>
      <c r="E43" s="18">
        <v>1</v>
      </c>
      <c r="F43" s="177">
        <f>80000*1.7</f>
        <v>136000</v>
      </c>
      <c r="G43" s="177"/>
      <c r="H43" s="21">
        <v>1.5</v>
      </c>
      <c r="I43" s="24">
        <f>+(E43*F43)/H43</f>
        <v>90666.666666666672</v>
      </c>
    </row>
    <row r="44" spans="1:9" x14ac:dyDescent="0.25">
      <c r="A44" s="168"/>
      <c r="B44" s="168"/>
      <c r="C44" s="168"/>
      <c r="D44" s="168"/>
      <c r="E44" s="18"/>
      <c r="F44" s="177"/>
      <c r="G44" s="177"/>
      <c r="H44" s="21"/>
      <c r="I44" s="24"/>
    </row>
    <row r="45" spans="1:9" ht="16.5" x14ac:dyDescent="0.3">
      <c r="A45" s="160"/>
      <c r="B45" s="161"/>
      <c r="C45" s="161"/>
      <c r="D45" s="161"/>
      <c r="E45" s="162"/>
      <c r="F45" s="30" t="s">
        <v>35</v>
      </c>
      <c r="G45" s="31"/>
      <c r="H45" s="32"/>
      <c r="I45" s="33">
        <f>ROUND((SUM(I27:I44)),0)</f>
        <v>502200</v>
      </c>
    </row>
    <row r="46" spans="1:9" ht="16.5" x14ac:dyDescent="0.3">
      <c r="A46" s="67"/>
      <c r="B46" s="68"/>
      <c r="C46" s="68"/>
      <c r="D46" s="68"/>
      <c r="E46" s="68"/>
      <c r="F46" s="76"/>
      <c r="G46" s="77"/>
      <c r="H46" s="78"/>
      <c r="I46" s="92"/>
    </row>
    <row r="48" spans="1:9" ht="16.5" x14ac:dyDescent="0.3">
      <c r="A48" s="10" t="s">
        <v>40</v>
      </c>
      <c r="B48" s="163" t="e">
        <f>'PRESUPUESTO_ESTUDIO MERCADO '!#REF!</f>
        <v>#REF!</v>
      </c>
      <c r="C48" s="164"/>
      <c r="D48" s="164"/>
      <c r="E48" s="164"/>
      <c r="F48" s="164"/>
      <c r="G48" s="164"/>
      <c r="H48" s="164"/>
      <c r="I48" s="165"/>
    </row>
    <row r="49" spans="1:9" ht="16.5" x14ac:dyDescent="0.3">
      <c r="A49" s="11" t="s">
        <v>96</v>
      </c>
      <c r="B49" s="166"/>
      <c r="C49" s="166"/>
      <c r="D49" s="166"/>
      <c r="E49" s="166"/>
      <c r="F49" s="166"/>
      <c r="G49" s="166"/>
      <c r="H49" s="12" t="s">
        <v>42</v>
      </c>
      <c r="I49" s="13" t="s">
        <v>43</v>
      </c>
    </row>
    <row r="50" spans="1:9" ht="16.5" x14ac:dyDescent="0.3">
      <c r="A50" s="167" t="s">
        <v>44</v>
      </c>
      <c r="B50" s="167"/>
      <c r="C50" s="167"/>
      <c r="D50" s="167"/>
      <c r="E50" s="167"/>
      <c r="F50" s="14" t="s">
        <v>9</v>
      </c>
      <c r="G50" s="14" t="s">
        <v>45</v>
      </c>
      <c r="H50" s="14" t="s">
        <v>46</v>
      </c>
      <c r="I50" s="15" t="s">
        <v>47</v>
      </c>
    </row>
    <row r="51" spans="1:9" x14ac:dyDescent="0.25">
      <c r="A51" s="159" t="s">
        <v>48</v>
      </c>
      <c r="B51" s="159"/>
      <c r="C51" s="159"/>
      <c r="D51" s="159"/>
      <c r="E51" s="159"/>
      <c r="F51" s="17"/>
      <c r="G51" s="17"/>
      <c r="H51" s="18"/>
      <c r="I51" s="19">
        <f>ROUND((SUM(I66:I67)*0.05),0)</f>
        <v>2550</v>
      </c>
    </row>
    <row r="52" spans="1:9" x14ac:dyDescent="0.25">
      <c r="A52" s="159"/>
      <c r="B52" s="159"/>
      <c r="C52" s="159"/>
      <c r="D52" s="159"/>
      <c r="E52" s="159"/>
      <c r="F52" s="17"/>
      <c r="G52" s="17"/>
      <c r="H52" s="21"/>
      <c r="I52" s="19"/>
    </row>
    <row r="53" spans="1:9" x14ac:dyDescent="0.25">
      <c r="A53" s="159"/>
      <c r="B53" s="159"/>
      <c r="C53" s="159"/>
      <c r="D53" s="159"/>
      <c r="E53" s="159"/>
      <c r="F53" s="17"/>
      <c r="G53" s="17"/>
      <c r="H53" s="21"/>
      <c r="I53" s="19"/>
    </row>
    <row r="54" spans="1:9" ht="16.5" x14ac:dyDescent="0.3">
      <c r="A54" s="167" t="s">
        <v>49</v>
      </c>
      <c r="B54" s="167"/>
      <c r="C54" s="167"/>
      <c r="D54" s="167"/>
      <c r="E54" s="167"/>
      <c r="F54" s="14" t="s">
        <v>50</v>
      </c>
      <c r="G54" s="22" t="s">
        <v>51</v>
      </c>
      <c r="H54" s="22" t="s">
        <v>52</v>
      </c>
      <c r="I54" s="15" t="s">
        <v>53</v>
      </c>
    </row>
    <row r="55" spans="1:9" x14ac:dyDescent="0.25">
      <c r="A55" s="178" t="s">
        <v>103</v>
      </c>
      <c r="B55" s="179"/>
      <c r="C55" s="179"/>
      <c r="D55" s="179"/>
      <c r="E55" s="180"/>
      <c r="F55" s="88" t="s">
        <v>43</v>
      </c>
      <c r="G55" s="89">
        <v>250000</v>
      </c>
      <c r="H55" s="90">
        <v>1</v>
      </c>
      <c r="I55" s="89">
        <f>+H55*G55</f>
        <v>250000</v>
      </c>
    </row>
    <row r="56" spans="1:9" x14ac:dyDescent="0.25">
      <c r="A56" s="159" t="s">
        <v>100</v>
      </c>
      <c r="B56" s="159"/>
      <c r="C56" s="159"/>
      <c r="D56" s="159"/>
      <c r="E56" s="159"/>
      <c r="F56" s="23" t="s">
        <v>43</v>
      </c>
      <c r="G56" s="24">
        <v>45000</v>
      </c>
      <c r="H56" s="18">
        <v>1</v>
      </c>
      <c r="I56" s="24">
        <f>+H56*G56</f>
        <v>45000</v>
      </c>
    </row>
    <row r="57" spans="1:9" x14ac:dyDescent="0.25">
      <c r="A57" s="159"/>
      <c r="B57" s="159"/>
      <c r="C57" s="159"/>
      <c r="D57" s="159"/>
      <c r="E57" s="159"/>
      <c r="F57" s="23"/>
      <c r="G57" s="24"/>
      <c r="H57" s="91"/>
      <c r="I57" s="24"/>
    </row>
    <row r="58" spans="1:9" x14ac:dyDescent="0.25">
      <c r="A58" s="159"/>
      <c r="B58" s="159"/>
      <c r="C58" s="159"/>
      <c r="D58" s="159"/>
      <c r="E58" s="159"/>
      <c r="F58" s="23"/>
      <c r="G58" s="24"/>
      <c r="H58" s="91"/>
      <c r="I58" s="24">
        <f t="shared" ref="I58:I59" si="4">+H58*G58</f>
        <v>0</v>
      </c>
    </row>
    <row r="59" spans="1:9" x14ac:dyDescent="0.25">
      <c r="A59" s="159"/>
      <c r="B59" s="159"/>
      <c r="C59" s="159"/>
      <c r="D59" s="159"/>
      <c r="E59" s="159"/>
      <c r="F59" s="23"/>
      <c r="G59" s="24"/>
      <c r="H59" s="91"/>
      <c r="I59" s="24">
        <f t="shared" si="4"/>
        <v>0</v>
      </c>
    </row>
    <row r="60" spans="1:9" x14ac:dyDescent="0.25">
      <c r="A60" s="159"/>
      <c r="B60" s="159"/>
      <c r="C60" s="159"/>
      <c r="D60" s="159"/>
      <c r="E60" s="159"/>
      <c r="F60" s="23"/>
      <c r="G60" s="18"/>
      <c r="H60" s="18"/>
      <c r="I60" s="24">
        <f t="shared" ref="I60:I61" si="5">+G60*H60</f>
        <v>0</v>
      </c>
    </row>
    <row r="61" spans="1:9" x14ac:dyDescent="0.25">
      <c r="A61" s="159"/>
      <c r="B61" s="159"/>
      <c r="C61" s="159"/>
      <c r="D61" s="159"/>
      <c r="E61" s="159"/>
      <c r="F61" s="23"/>
      <c r="G61" s="18"/>
      <c r="H61" s="18"/>
      <c r="I61" s="24">
        <f t="shared" si="5"/>
        <v>0</v>
      </c>
    </row>
    <row r="62" spans="1:9" ht="16.5" x14ac:dyDescent="0.3">
      <c r="A62" s="167" t="s">
        <v>61</v>
      </c>
      <c r="B62" s="167"/>
      <c r="C62" s="167"/>
      <c r="D62" s="167"/>
      <c r="E62" s="25" t="s">
        <v>62</v>
      </c>
      <c r="F62" s="14" t="s">
        <v>63</v>
      </c>
      <c r="G62" s="14" t="s">
        <v>64</v>
      </c>
      <c r="H62" s="14" t="s">
        <v>65</v>
      </c>
      <c r="I62" s="15" t="s">
        <v>53</v>
      </c>
    </row>
    <row r="63" spans="1:9" x14ac:dyDescent="0.25">
      <c r="A63" s="159" t="s">
        <v>66</v>
      </c>
      <c r="B63" s="159"/>
      <c r="C63" s="159"/>
      <c r="D63" s="159"/>
      <c r="E63" s="26">
        <v>0.3</v>
      </c>
      <c r="F63" s="26">
        <v>6</v>
      </c>
      <c r="G63" s="26">
        <f>35000/F63</f>
        <v>5833.333333333333</v>
      </c>
      <c r="H63" s="26">
        <f>+G63*6</f>
        <v>35000</v>
      </c>
      <c r="I63" s="18">
        <f>+E63*G63</f>
        <v>1749.9999999999998</v>
      </c>
    </row>
    <row r="64" spans="1:9" x14ac:dyDescent="0.25">
      <c r="A64" s="159" t="s">
        <v>67</v>
      </c>
      <c r="B64" s="159"/>
      <c r="C64" s="159"/>
      <c r="D64" s="159"/>
      <c r="E64" s="26"/>
      <c r="F64" s="26"/>
      <c r="G64" s="26"/>
      <c r="H64" s="26"/>
      <c r="I64" s="18">
        <f>+E64*G64</f>
        <v>0</v>
      </c>
    </row>
    <row r="65" spans="1:9" ht="16.5" x14ac:dyDescent="0.3">
      <c r="A65" s="167" t="s">
        <v>68</v>
      </c>
      <c r="B65" s="167"/>
      <c r="C65" s="167"/>
      <c r="D65" s="167"/>
      <c r="E65" s="14" t="s">
        <v>52</v>
      </c>
      <c r="F65" s="170" t="s">
        <v>69</v>
      </c>
      <c r="G65" s="171"/>
      <c r="H65" s="27" t="s">
        <v>46</v>
      </c>
      <c r="I65" s="28" t="s">
        <v>53</v>
      </c>
    </row>
    <row r="66" spans="1:9" x14ac:dyDescent="0.25">
      <c r="A66" s="168" t="s">
        <v>104</v>
      </c>
      <c r="B66" s="168"/>
      <c r="C66" s="168"/>
      <c r="D66" s="168"/>
      <c r="E66" s="18">
        <v>1</v>
      </c>
      <c r="F66" s="177">
        <f>60000*1.7</f>
        <v>102000</v>
      </c>
      <c r="G66" s="177"/>
      <c r="H66" s="21">
        <v>2</v>
      </c>
      <c r="I66" s="24">
        <f>+(E66*F66)/H66</f>
        <v>51000</v>
      </c>
    </row>
    <row r="67" spans="1:9" x14ac:dyDescent="0.25">
      <c r="A67" s="168"/>
      <c r="B67" s="168"/>
      <c r="C67" s="168"/>
      <c r="D67" s="168"/>
      <c r="E67" s="18"/>
      <c r="F67" s="177"/>
      <c r="G67" s="177"/>
      <c r="H67" s="21"/>
      <c r="I67" s="24"/>
    </row>
    <row r="68" spans="1:9" ht="16.5" x14ac:dyDescent="0.3">
      <c r="A68" s="160"/>
      <c r="B68" s="161"/>
      <c r="C68" s="161"/>
      <c r="D68" s="161"/>
      <c r="E68" s="162"/>
      <c r="F68" s="30" t="s">
        <v>35</v>
      </c>
      <c r="G68" s="31"/>
      <c r="H68" s="32"/>
      <c r="I68" s="33">
        <f>ROUND((SUM(I51:I67)),0)</f>
        <v>350300</v>
      </c>
    </row>
  </sheetData>
  <mergeCells count="74">
    <mergeCell ref="A67:D67"/>
    <mergeCell ref="F67:G67"/>
    <mergeCell ref="A68:E68"/>
    <mergeCell ref="A63:D63"/>
    <mergeCell ref="A64:D64"/>
    <mergeCell ref="A65:D65"/>
    <mergeCell ref="F65:G65"/>
    <mergeCell ref="A66:D66"/>
    <mergeCell ref="F66:G66"/>
    <mergeCell ref="B48:I48"/>
    <mergeCell ref="B49:G49"/>
    <mergeCell ref="A50:E50"/>
    <mergeCell ref="A51:E51"/>
    <mergeCell ref="A61:E61"/>
    <mergeCell ref="A52:E52"/>
    <mergeCell ref="A53:E53"/>
    <mergeCell ref="A54:E54"/>
    <mergeCell ref="A55:E55"/>
    <mergeCell ref="A56:E56"/>
    <mergeCell ref="A57:E57"/>
    <mergeCell ref="A58:E58"/>
    <mergeCell ref="A59:E59"/>
    <mergeCell ref="A60:E60"/>
    <mergeCell ref="A62:D62"/>
    <mergeCell ref="A6:E6"/>
    <mergeCell ref="A22:E22"/>
    <mergeCell ref="A19:D19"/>
    <mergeCell ref="F19:G19"/>
    <mergeCell ref="A20:D20"/>
    <mergeCell ref="F20:G20"/>
    <mergeCell ref="A21:D21"/>
    <mergeCell ref="F21:G21"/>
    <mergeCell ref="A13:E13"/>
    <mergeCell ref="A14:E14"/>
    <mergeCell ref="A15:E15"/>
    <mergeCell ref="A16:D16"/>
    <mergeCell ref="A17:D17"/>
    <mergeCell ref="A18:D18"/>
    <mergeCell ref="A29:E29"/>
    <mergeCell ref="B1:I1"/>
    <mergeCell ref="B2:G2"/>
    <mergeCell ref="A3:E3"/>
    <mergeCell ref="A4:E4"/>
    <mergeCell ref="A5:E5"/>
    <mergeCell ref="A30:E30"/>
    <mergeCell ref="A31:E31"/>
    <mergeCell ref="A32:E32"/>
    <mergeCell ref="A7:E7"/>
    <mergeCell ref="A8:E8"/>
    <mergeCell ref="A9:E9"/>
    <mergeCell ref="A10:E10"/>
    <mergeCell ref="A11:E11"/>
    <mergeCell ref="A12:E12"/>
    <mergeCell ref="B24:I24"/>
    <mergeCell ref="B25:G25"/>
    <mergeCell ref="A26:E26"/>
    <mergeCell ref="A27:E27"/>
    <mergeCell ref="A28:E28"/>
    <mergeCell ref="A45:E45"/>
    <mergeCell ref="A33:E33"/>
    <mergeCell ref="A34:E34"/>
    <mergeCell ref="A35:E35"/>
    <mergeCell ref="A36:E36"/>
    <mergeCell ref="A37:E37"/>
    <mergeCell ref="A38:E38"/>
    <mergeCell ref="A39:D39"/>
    <mergeCell ref="A40:D40"/>
    <mergeCell ref="A41:D41"/>
    <mergeCell ref="A42:D42"/>
    <mergeCell ref="F42:G42"/>
    <mergeCell ref="A43:D43"/>
    <mergeCell ref="F43:G43"/>
    <mergeCell ref="A44:D44"/>
    <mergeCell ref="F44:G4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B6970-3774-4B59-97DB-BC67745744A7}">
  <dimension ref="A1:M553"/>
  <sheetViews>
    <sheetView topLeftCell="A184" workbookViewId="0">
      <selection activeCell="I185" sqref="I185"/>
    </sheetView>
  </sheetViews>
  <sheetFormatPr baseColWidth="10" defaultColWidth="11.42578125" defaultRowHeight="15" x14ac:dyDescent="0.25"/>
  <cols>
    <col min="9" max="9" width="14.140625" customWidth="1"/>
    <col min="13" max="13" width="12" bestFit="1" customWidth="1"/>
  </cols>
  <sheetData>
    <row r="1" spans="1:9" ht="16.5" x14ac:dyDescent="0.3">
      <c r="A1" s="10" t="s">
        <v>40</v>
      </c>
      <c r="B1" s="181" t="e">
        <f>'PRESUPUESTO_ESTUDIO MERCADO '!#REF!</f>
        <v>#REF!</v>
      </c>
      <c r="C1" s="182"/>
      <c r="D1" s="182"/>
      <c r="E1" s="182"/>
      <c r="F1" s="182"/>
      <c r="G1" s="182"/>
      <c r="H1" s="182"/>
      <c r="I1" s="183"/>
    </row>
    <row r="2" spans="1:9" ht="16.5" x14ac:dyDescent="0.3">
      <c r="A2" s="11" t="s">
        <v>105</v>
      </c>
      <c r="B2" s="166"/>
      <c r="C2" s="166"/>
      <c r="D2" s="166"/>
      <c r="E2" s="166"/>
      <c r="F2" s="166"/>
      <c r="G2" s="166"/>
      <c r="H2" s="12" t="s">
        <v>42</v>
      </c>
      <c r="I2" s="13" t="s">
        <v>20</v>
      </c>
    </row>
    <row r="3" spans="1:9" ht="16.5" x14ac:dyDescent="0.3">
      <c r="A3" s="167" t="s">
        <v>44</v>
      </c>
      <c r="B3" s="167"/>
      <c r="C3" s="167"/>
      <c r="D3" s="167"/>
      <c r="E3" s="167"/>
      <c r="F3" s="14" t="s">
        <v>9</v>
      </c>
      <c r="G3" s="14" t="s">
        <v>45</v>
      </c>
      <c r="H3" s="14" t="s">
        <v>46</v>
      </c>
      <c r="I3" s="15" t="s">
        <v>47</v>
      </c>
    </row>
    <row r="4" spans="1:9" x14ac:dyDescent="0.25">
      <c r="A4" s="159" t="s">
        <v>48</v>
      </c>
      <c r="B4" s="159"/>
      <c r="C4" s="159"/>
      <c r="D4" s="159"/>
      <c r="E4" s="159"/>
      <c r="F4" s="17"/>
      <c r="G4" s="17"/>
      <c r="H4" s="18"/>
      <c r="I4" s="19">
        <f>ROUND((SUM(I20:I21)*0.05),0)</f>
        <v>1204</v>
      </c>
    </row>
    <row r="5" spans="1:9" x14ac:dyDescent="0.25">
      <c r="A5" s="159" t="s">
        <v>106</v>
      </c>
      <c r="B5" s="159"/>
      <c r="C5" s="159"/>
      <c r="D5" s="159"/>
      <c r="E5" s="159"/>
      <c r="F5" s="17">
        <v>1</v>
      </c>
      <c r="G5" s="20">
        <v>80000</v>
      </c>
      <c r="H5" s="21">
        <v>12</v>
      </c>
      <c r="I5" s="19">
        <f>F5*G5/H5</f>
        <v>6666.666666666667</v>
      </c>
    </row>
    <row r="6" spans="1:9" x14ac:dyDescent="0.25">
      <c r="A6" s="159"/>
      <c r="B6" s="159"/>
      <c r="C6" s="159"/>
      <c r="D6" s="159"/>
      <c r="E6" s="159"/>
      <c r="F6" s="17"/>
      <c r="G6" s="17"/>
      <c r="H6" s="18"/>
      <c r="I6" s="19"/>
    </row>
    <row r="7" spans="1:9" ht="16.5" x14ac:dyDescent="0.3">
      <c r="A7" s="167" t="s">
        <v>49</v>
      </c>
      <c r="B7" s="167"/>
      <c r="C7" s="167"/>
      <c r="D7" s="167"/>
      <c r="E7" s="167"/>
      <c r="F7" s="14" t="s">
        <v>50</v>
      </c>
      <c r="G7" s="22" t="s">
        <v>51</v>
      </c>
      <c r="H7" s="22" t="s">
        <v>52</v>
      </c>
      <c r="I7" s="15" t="s">
        <v>53</v>
      </c>
    </row>
    <row r="8" spans="1:9" x14ac:dyDescent="0.25">
      <c r="A8" s="159"/>
      <c r="B8" s="159"/>
      <c r="C8" s="159"/>
      <c r="D8" s="159"/>
      <c r="E8" s="159"/>
      <c r="F8" s="23"/>
      <c r="G8" s="24"/>
      <c r="H8" s="18"/>
      <c r="I8" s="24"/>
    </row>
    <row r="9" spans="1:9" x14ac:dyDescent="0.25">
      <c r="A9" s="159"/>
      <c r="B9" s="159"/>
      <c r="C9" s="159"/>
      <c r="D9" s="159"/>
      <c r="E9" s="159"/>
      <c r="F9" s="23"/>
      <c r="G9" s="24"/>
      <c r="H9" s="18"/>
      <c r="I9" s="24"/>
    </row>
    <row r="10" spans="1:9" x14ac:dyDescent="0.25">
      <c r="A10" s="159"/>
      <c r="B10" s="159"/>
      <c r="C10" s="159"/>
      <c r="D10" s="159"/>
      <c r="E10" s="159"/>
      <c r="F10" s="23"/>
      <c r="G10" s="18"/>
      <c r="H10" s="18"/>
      <c r="I10" s="24">
        <f>+H10*G10</f>
        <v>0</v>
      </c>
    </row>
    <row r="11" spans="1:9" x14ac:dyDescent="0.25">
      <c r="A11" s="159"/>
      <c r="B11" s="159"/>
      <c r="C11" s="159"/>
      <c r="D11" s="159"/>
      <c r="E11" s="159"/>
      <c r="F11" s="23"/>
      <c r="G11" s="18"/>
      <c r="H11" s="18"/>
      <c r="I11" s="24"/>
    </row>
    <row r="12" spans="1:9" x14ac:dyDescent="0.25">
      <c r="A12" s="159"/>
      <c r="B12" s="159"/>
      <c r="C12" s="159"/>
      <c r="D12" s="159"/>
      <c r="E12" s="159"/>
      <c r="F12" s="23"/>
      <c r="G12" s="18"/>
      <c r="H12" s="18"/>
      <c r="I12" s="24"/>
    </row>
    <row r="13" spans="1:9" x14ac:dyDescent="0.25">
      <c r="A13" s="159"/>
      <c r="B13" s="159"/>
      <c r="C13" s="159"/>
      <c r="D13" s="159"/>
      <c r="E13" s="159"/>
      <c r="F13" s="23"/>
      <c r="G13" s="18"/>
      <c r="H13" s="18"/>
      <c r="I13" s="24"/>
    </row>
    <row r="14" spans="1:9" x14ac:dyDescent="0.25">
      <c r="A14" s="159"/>
      <c r="B14" s="159"/>
      <c r="C14" s="159"/>
      <c r="D14" s="159"/>
      <c r="E14" s="159"/>
      <c r="F14" s="23"/>
      <c r="G14" s="18"/>
      <c r="H14" s="18"/>
      <c r="I14" s="24"/>
    </row>
    <row r="15" spans="1:9" x14ac:dyDescent="0.25">
      <c r="A15" s="159"/>
      <c r="B15" s="159"/>
      <c r="C15" s="159"/>
      <c r="D15" s="159"/>
      <c r="E15" s="159"/>
      <c r="F15" s="23"/>
      <c r="G15" s="18"/>
      <c r="H15" s="18"/>
      <c r="I15" s="24"/>
    </row>
    <row r="16" spans="1:9" ht="16.5" x14ac:dyDescent="0.3">
      <c r="A16" s="167" t="s">
        <v>61</v>
      </c>
      <c r="B16" s="167"/>
      <c r="C16" s="167"/>
      <c r="D16" s="167"/>
      <c r="E16" s="25" t="s">
        <v>62</v>
      </c>
      <c r="F16" s="14" t="s">
        <v>63</v>
      </c>
      <c r="G16" s="14" t="s">
        <v>64</v>
      </c>
      <c r="H16" s="14" t="s">
        <v>65</v>
      </c>
      <c r="I16" s="15" t="s">
        <v>53</v>
      </c>
    </row>
    <row r="17" spans="1:9" x14ac:dyDescent="0.25">
      <c r="A17" s="159" t="s">
        <v>66</v>
      </c>
      <c r="B17" s="159"/>
      <c r="C17" s="159"/>
      <c r="D17" s="159"/>
      <c r="E17" s="26">
        <v>1</v>
      </c>
      <c r="F17" s="26">
        <v>5</v>
      </c>
      <c r="G17" s="26">
        <f>40000/F17</f>
        <v>8000</v>
      </c>
      <c r="H17" s="26">
        <f>+G17*6</f>
        <v>48000</v>
      </c>
      <c r="I17" s="18">
        <f>+E17*G17</f>
        <v>8000</v>
      </c>
    </row>
    <row r="18" spans="1:9" x14ac:dyDescent="0.25">
      <c r="A18" s="159" t="s">
        <v>67</v>
      </c>
      <c r="B18" s="159"/>
      <c r="C18" s="159"/>
      <c r="D18" s="159"/>
      <c r="E18" s="26"/>
      <c r="F18" s="26"/>
      <c r="G18" s="26"/>
      <c r="H18" s="26"/>
      <c r="I18" s="18">
        <f>+E18*G18</f>
        <v>0</v>
      </c>
    </row>
    <row r="19" spans="1:9" ht="16.5" x14ac:dyDescent="0.3">
      <c r="A19" s="167" t="s">
        <v>68</v>
      </c>
      <c r="B19" s="167"/>
      <c r="C19" s="167"/>
      <c r="D19" s="167"/>
      <c r="E19" s="14" t="s">
        <v>52</v>
      </c>
      <c r="F19" s="170" t="s">
        <v>69</v>
      </c>
      <c r="G19" s="171"/>
      <c r="H19" s="27" t="s">
        <v>46</v>
      </c>
      <c r="I19" s="28" t="s">
        <v>53</v>
      </c>
    </row>
    <row r="20" spans="1:9" x14ac:dyDescent="0.25">
      <c r="A20" s="168" t="str">
        <f>CUADRILLAS!B9</f>
        <v xml:space="preserve">CUADRILLA 4 </v>
      </c>
      <c r="B20" s="168"/>
      <c r="C20" s="168"/>
      <c r="D20" s="168"/>
      <c r="E20" s="18">
        <v>1</v>
      </c>
      <c r="F20" s="177">
        <f>CUADRILLAS!D9</f>
        <v>289000</v>
      </c>
      <c r="G20" s="177"/>
      <c r="H20" s="29">
        <v>12</v>
      </c>
      <c r="I20" s="24">
        <f>+(E20*F20)/H20</f>
        <v>24083.333333333332</v>
      </c>
    </row>
    <row r="21" spans="1:9" x14ac:dyDescent="0.25">
      <c r="A21" s="168"/>
      <c r="B21" s="168"/>
      <c r="C21" s="168"/>
      <c r="D21" s="168"/>
      <c r="E21" s="18"/>
      <c r="F21" s="177"/>
      <c r="G21" s="177"/>
      <c r="H21" s="18"/>
      <c r="I21" s="24"/>
    </row>
    <row r="22" spans="1:9" ht="16.5" x14ac:dyDescent="0.3">
      <c r="A22" s="160"/>
      <c r="B22" s="161"/>
      <c r="C22" s="161"/>
      <c r="D22" s="161"/>
      <c r="E22" s="162"/>
      <c r="F22" s="30" t="s">
        <v>35</v>
      </c>
      <c r="G22" s="31"/>
      <c r="H22" s="32"/>
      <c r="I22" s="33">
        <f>ROUND((SUM(I4:I21)),0)</f>
        <v>39954</v>
      </c>
    </row>
    <row r="23" spans="1:9" ht="16.5" x14ac:dyDescent="0.3">
      <c r="A23" s="184"/>
      <c r="B23" s="185"/>
      <c r="C23" s="185"/>
      <c r="D23" s="185"/>
      <c r="E23" s="185"/>
      <c r="F23" s="185"/>
      <c r="G23" s="185"/>
      <c r="H23" s="185"/>
      <c r="I23" s="186"/>
    </row>
    <row r="24" spans="1:9" ht="16.5" x14ac:dyDescent="0.3">
      <c r="A24" s="10" t="s">
        <v>40</v>
      </c>
      <c r="B24" s="181" t="str">
        <f>'PRESUPUESTO_ESTUDIO MERCADO '!B5</f>
        <v>Desmonte y mantenimiento de estructura en acero inoxidable o campana, reajuste de la misma para volverla a instalar (cocina)</v>
      </c>
      <c r="C24" s="182"/>
      <c r="D24" s="182"/>
      <c r="E24" s="182"/>
      <c r="F24" s="182"/>
      <c r="G24" s="182"/>
      <c r="H24" s="182"/>
      <c r="I24" s="183"/>
    </row>
    <row r="25" spans="1:9" ht="16.5" x14ac:dyDescent="0.3">
      <c r="A25" s="11" t="s">
        <v>107</v>
      </c>
      <c r="B25" s="166"/>
      <c r="C25" s="166"/>
      <c r="D25" s="166"/>
      <c r="E25" s="166"/>
      <c r="F25" s="166"/>
      <c r="G25" s="166"/>
      <c r="H25" s="12" t="s">
        <v>42</v>
      </c>
      <c r="I25" s="13" t="s">
        <v>16</v>
      </c>
    </row>
    <row r="26" spans="1:9" ht="16.5" x14ac:dyDescent="0.3">
      <c r="A26" s="167" t="s">
        <v>44</v>
      </c>
      <c r="B26" s="167"/>
      <c r="C26" s="167"/>
      <c r="D26" s="167"/>
      <c r="E26" s="167"/>
      <c r="F26" s="14" t="s">
        <v>9</v>
      </c>
      <c r="G26" s="14" t="s">
        <v>45</v>
      </c>
      <c r="H26" s="14" t="s">
        <v>46</v>
      </c>
      <c r="I26" s="15" t="s">
        <v>47</v>
      </c>
    </row>
    <row r="27" spans="1:9" x14ac:dyDescent="0.25">
      <c r="A27" s="159" t="s">
        <v>48</v>
      </c>
      <c r="B27" s="159"/>
      <c r="C27" s="159"/>
      <c r="D27" s="159"/>
      <c r="E27" s="159"/>
      <c r="F27" s="17"/>
      <c r="G27" s="17"/>
      <c r="H27" s="18"/>
      <c r="I27" s="19">
        <f>ROUND((SUM(I43:I44)*0.05),0)</f>
        <v>15179</v>
      </c>
    </row>
    <row r="28" spans="1:9" x14ac:dyDescent="0.25">
      <c r="A28" s="159"/>
      <c r="B28" s="159"/>
      <c r="C28" s="159"/>
      <c r="D28" s="159"/>
      <c r="E28" s="159"/>
      <c r="F28" s="17"/>
      <c r="G28" s="20"/>
      <c r="H28" s="21"/>
      <c r="I28" s="19"/>
    </row>
    <row r="29" spans="1:9" x14ac:dyDescent="0.25">
      <c r="A29" s="159"/>
      <c r="B29" s="159"/>
      <c r="C29" s="159"/>
      <c r="D29" s="159"/>
      <c r="E29" s="159"/>
      <c r="F29" s="23"/>
      <c r="G29" s="34"/>
      <c r="H29" s="34"/>
      <c r="I29" s="35"/>
    </row>
    <row r="30" spans="1:9" ht="16.5" x14ac:dyDescent="0.3">
      <c r="A30" s="167" t="s">
        <v>49</v>
      </c>
      <c r="B30" s="167"/>
      <c r="C30" s="167"/>
      <c r="D30" s="167"/>
      <c r="E30" s="167"/>
      <c r="F30" s="14" t="s">
        <v>50</v>
      </c>
      <c r="G30" s="22" t="s">
        <v>51</v>
      </c>
      <c r="H30" s="22" t="s">
        <v>52</v>
      </c>
      <c r="I30" s="15" t="s">
        <v>53</v>
      </c>
    </row>
    <row r="31" spans="1:9" x14ac:dyDescent="0.25">
      <c r="A31" s="159" t="s">
        <v>108</v>
      </c>
      <c r="B31" s="159"/>
      <c r="C31" s="159"/>
      <c r="D31" s="159"/>
      <c r="E31" s="159"/>
      <c r="F31" s="23" t="s">
        <v>74</v>
      </c>
      <c r="G31" s="24">
        <v>300000</v>
      </c>
      <c r="H31" s="18">
        <v>1</v>
      </c>
      <c r="I31" s="24">
        <f>+H31*G31</f>
        <v>300000</v>
      </c>
    </row>
    <row r="32" spans="1:9" x14ac:dyDescent="0.25">
      <c r="A32" s="159"/>
      <c r="B32" s="159"/>
      <c r="C32" s="159"/>
      <c r="D32" s="159"/>
      <c r="E32" s="159"/>
      <c r="F32" s="23"/>
      <c r="G32" s="24"/>
      <c r="H32" s="18"/>
      <c r="I32" s="24">
        <f>+H32*G32</f>
        <v>0</v>
      </c>
    </row>
    <row r="33" spans="1:9" x14ac:dyDescent="0.25">
      <c r="A33" s="159"/>
      <c r="B33" s="159"/>
      <c r="C33" s="159"/>
      <c r="D33" s="159"/>
      <c r="E33" s="159"/>
      <c r="F33" s="23"/>
      <c r="G33" s="18"/>
      <c r="H33" s="18"/>
      <c r="I33" s="24">
        <f>+H33*G33</f>
        <v>0</v>
      </c>
    </row>
    <row r="34" spans="1:9" x14ac:dyDescent="0.25">
      <c r="A34" s="159"/>
      <c r="B34" s="159"/>
      <c r="C34" s="159"/>
      <c r="D34" s="159"/>
      <c r="E34" s="159"/>
      <c r="F34" s="23"/>
      <c r="G34" s="18"/>
      <c r="H34" s="18"/>
      <c r="I34" s="24">
        <f t="shared" ref="I34:I38" si="0">+H34*G34</f>
        <v>0</v>
      </c>
    </row>
    <row r="35" spans="1:9" x14ac:dyDescent="0.25">
      <c r="A35" s="159"/>
      <c r="B35" s="159"/>
      <c r="C35" s="159"/>
      <c r="D35" s="159"/>
      <c r="E35" s="159"/>
      <c r="F35" s="23"/>
      <c r="G35" s="18"/>
      <c r="H35" s="18"/>
      <c r="I35" s="24">
        <f t="shared" si="0"/>
        <v>0</v>
      </c>
    </row>
    <row r="36" spans="1:9" x14ac:dyDescent="0.25">
      <c r="A36" s="159"/>
      <c r="B36" s="159"/>
      <c r="C36" s="159"/>
      <c r="D36" s="159"/>
      <c r="E36" s="159"/>
      <c r="F36" s="23"/>
      <c r="G36" s="18"/>
      <c r="H36" s="18"/>
      <c r="I36" s="24">
        <f t="shared" si="0"/>
        <v>0</v>
      </c>
    </row>
    <row r="37" spans="1:9" x14ac:dyDescent="0.25">
      <c r="A37" s="159"/>
      <c r="B37" s="159"/>
      <c r="C37" s="159"/>
      <c r="D37" s="159"/>
      <c r="E37" s="159"/>
      <c r="F37" s="23"/>
      <c r="G37" s="18"/>
      <c r="H37" s="18"/>
      <c r="I37" s="24">
        <f t="shared" si="0"/>
        <v>0</v>
      </c>
    </row>
    <row r="38" spans="1:9" x14ac:dyDescent="0.25">
      <c r="A38" s="159"/>
      <c r="B38" s="159"/>
      <c r="C38" s="159"/>
      <c r="D38" s="159"/>
      <c r="E38" s="159"/>
      <c r="F38" s="23"/>
      <c r="G38" s="18"/>
      <c r="H38" s="18"/>
      <c r="I38" s="24">
        <f t="shared" si="0"/>
        <v>0</v>
      </c>
    </row>
    <row r="39" spans="1:9" ht="16.5" x14ac:dyDescent="0.3">
      <c r="A39" s="167" t="s">
        <v>61</v>
      </c>
      <c r="B39" s="167"/>
      <c r="C39" s="167"/>
      <c r="D39" s="167"/>
      <c r="E39" s="25" t="s">
        <v>62</v>
      </c>
      <c r="F39" s="14" t="s">
        <v>63</v>
      </c>
      <c r="G39" s="14" t="s">
        <v>64</v>
      </c>
      <c r="H39" s="14" t="s">
        <v>65</v>
      </c>
      <c r="I39" s="15" t="s">
        <v>53</v>
      </c>
    </row>
    <row r="40" spans="1:9" x14ac:dyDescent="0.25">
      <c r="A40" s="159" t="s">
        <v>109</v>
      </c>
      <c r="B40" s="159"/>
      <c r="C40" s="159"/>
      <c r="D40" s="159"/>
      <c r="E40" s="26"/>
      <c r="F40" s="26"/>
      <c r="G40" s="26"/>
      <c r="H40" s="26"/>
      <c r="I40" s="18"/>
    </row>
    <row r="41" spans="1:9" x14ac:dyDescent="0.25">
      <c r="A41" s="159" t="s">
        <v>67</v>
      </c>
      <c r="B41" s="159"/>
      <c r="C41" s="159"/>
      <c r="D41" s="159"/>
      <c r="E41" s="26"/>
      <c r="F41" s="26"/>
      <c r="G41" s="26"/>
      <c r="H41" s="26"/>
      <c r="I41" s="18"/>
    </row>
    <row r="42" spans="1:9" ht="16.5" x14ac:dyDescent="0.3">
      <c r="A42" s="167" t="s">
        <v>68</v>
      </c>
      <c r="B42" s="167"/>
      <c r="C42" s="167"/>
      <c r="D42" s="167"/>
      <c r="E42" s="14" t="s">
        <v>52</v>
      </c>
      <c r="F42" s="170" t="s">
        <v>69</v>
      </c>
      <c r="G42" s="171"/>
      <c r="H42" s="27" t="s">
        <v>46</v>
      </c>
      <c r="I42" s="28" t="s">
        <v>53</v>
      </c>
    </row>
    <row r="43" spans="1:9" x14ac:dyDescent="0.25">
      <c r="A43" s="168" t="str">
        <f>CUADRILLAS!B8</f>
        <v xml:space="preserve">CUADRILLA 3 </v>
      </c>
      <c r="B43" s="168"/>
      <c r="C43" s="168"/>
      <c r="D43" s="168"/>
      <c r="E43" s="18">
        <v>1</v>
      </c>
      <c r="F43" s="177">
        <f>CUADRILLAS!D8</f>
        <v>212500</v>
      </c>
      <c r="G43" s="177"/>
      <c r="H43" s="21">
        <v>0.7</v>
      </c>
      <c r="I43" s="24">
        <f>F43/H43</f>
        <v>303571.42857142858</v>
      </c>
    </row>
    <row r="44" spans="1:9" x14ac:dyDescent="0.25">
      <c r="A44" s="168"/>
      <c r="B44" s="168"/>
      <c r="C44" s="168"/>
      <c r="D44" s="168"/>
      <c r="E44" s="18"/>
      <c r="F44" s="177"/>
      <c r="G44" s="177"/>
      <c r="H44" s="21"/>
      <c r="I44" s="24"/>
    </row>
    <row r="45" spans="1:9" ht="16.5" x14ac:dyDescent="0.3">
      <c r="A45" s="160"/>
      <c r="B45" s="161"/>
      <c r="C45" s="161"/>
      <c r="D45" s="161"/>
      <c r="E45" s="162"/>
      <c r="F45" s="30" t="s">
        <v>35</v>
      </c>
      <c r="G45" s="31"/>
      <c r="H45" s="32"/>
      <c r="I45" s="36">
        <f>ROUND((SUM(I27:I44)),0)</f>
        <v>618750</v>
      </c>
    </row>
    <row r="46" spans="1:9" ht="16.5" x14ac:dyDescent="0.3">
      <c r="A46" s="59"/>
      <c r="B46" s="60"/>
      <c r="C46" s="60"/>
      <c r="D46" s="60"/>
      <c r="E46" s="60"/>
      <c r="F46" s="61"/>
      <c r="G46" s="62"/>
      <c r="H46" s="63"/>
      <c r="I46" s="64"/>
    </row>
    <row r="47" spans="1:9" ht="16.5" x14ac:dyDescent="0.3">
      <c r="A47" s="10" t="s">
        <v>40</v>
      </c>
      <c r="B47" s="163" t="e">
        <f>'PRESUPUESTO_ESTUDIO MERCADO '!#REF!</f>
        <v>#REF!</v>
      </c>
      <c r="C47" s="164"/>
      <c r="D47" s="164"/>
      <c r="E47" s="164"/>
      <c r="F47" s="164"/>
      <c r="G47" s="164"/>
      <c r="H47" s="164"/>
      <c r="I47" s="165"/>
    </row>
    <row r="48" spans="1:9" ht="16.5" x14ac:dyDescent="0.3">
      <c r="A48" s="11" t="s">
        <v>110</v>
      </c>
      <c r="B48" s="166"/>
      <c r="C48" s="166"/>
      <c r="D48" s="166"/>
      <c r="E48" s="166"/>
      <c r="F48" s="166"/>
      <c r="G48" s="166"/>
      <c r="H48" s="12" t="s">
        <v>42</v>
      </c>
      <c r="I48" s="13" t="s">
        <v>111</v>
      </c>
    </row>
    <row r="49" spans="1:9" ht="16.5" x14ac:dyDescent="0.3">
      <c r="A49" s="167" t="s">
        <v>44</v>
      </c>
      <c r="B49" s="167"/>
      <c r="C49" s="167"/>
      <c r="D49" s="167"/>
      <c r="E49" s="167"/>
      <c r="F49" s="14" t="s">
        <v>9</v>
      </c>
      <c r="G49" s="14" t="s">
        <v>45</v>
      </c>
      <c r="H49" s="14" t="s">
        <v>46</v>
      </c>
      <c r="I49" s="15" t="s">
        <v>47</v>
      </c>
    </row>
    <row r="50" spans="1:9" x14ac:dyDescent="0.25">
      <c r="A50" s="159" t="s">
        <v>48</v>
      </c>
      <c r="B50" s="159"/>
      <c r="C50" s="159"/>
      <c r="D50" s="159"/>
      <c r="E50" s="159"/>
      <c r="F50" s="17"/>
      <c r="G50" s="17"/>
      <c r="H50" s="18"/>
      <c r="I50" s="19">
        <f>ROUND((SUM(I66:I67)*0.05),0)</f>
        <v>4760</v>
      </c>
    </row>
    <row r="51" spans="1:9" x14ac:dyDescent="0.25">
      <c r="A51" s="159"/>
      <c r="B51" s="159"/>
      <c r="C51" s="159"/>
      <c r="D51" s="159"/>
      <c r="E51" s="159"/>
      <c r="F51" s="17"/>
      <c r="G51" s="20"/>
      <c r="H51" s="21"/>
      <c r="I51" s="19">
        <f>+F51*G51*H51</f>
        <v>0</v>
      </c>
    </row>
    <row r="52" spans="1:9" x14ac:dyDescent="0.25">
      <c r="A52" s="159"/>
      <c r="B52" s="159"/>
      <c r="C52" s="159"/>
      <c r="D52" s="159"/>
      <c r="E52" s="159"/>
      <c r="F52" s="17"/>
      <c r="G52" s="17"/>
      <c r="H52" s="18"/>
      <c r="I52" s="19"/>
    </row>
    <row r="53" spans="1:9" ht="16.5" x14ac:dyDescent="0.3">
      <c r="A53" s="167" t="s">
        <v>49</v>
      </c>
      <c r="B53" s="167"/>
      <c r="C53" s="167"/>
      <c r="D53" s="167"/>
      <c r="E53" s="167"/>
      <c r="F53" s="14" t="s">
        <v>50</v>
      </c>
      <c r="G53" s="22" t="s">
        <v>51</v>
      </c>
      <c r="H53" s="22" t="s">
        <v>52</v>
      </c>
      <c r="I53" s="15" t="s">
        <v>53</v>
      </c>
    </row>
    <row r="54" spans="1:9" x14ac:dyDescent="0.25">
      <c r="A54" s="159"/>
      <c r="B54" s="159"/>
      <c r="C54" s="159"/>
      <c r="D54" s="159"/>
      <c r="E54" s="159"/>
      <c r="F54" s="23"/>
      <c r="G54" s="24"/>
      <c r="H54" s="18"/>
      <c r="I54" s="24">
        <f>+H54*G54</f>
        <v>0</v>
      </c>
    </row>
    <row r="55" spans="1:9" x14ac:dyDescent="0.25">
      <c r="A55" s="159"/>
      <c r="B55" s="159"/>
      <c r="C55" s="159"/>
      <c r="D55" s="159"/>
      <c r="E55" s="159"/>
      <c r="F55" s="23"/>
      <c r="G55" s="24"/>
      <c r="H55" s="18"/>
      <c r="I55" s="24">
        <f>+H55*G55</f>
        <v>0</v>
      </c>
    </row>
    <row r="56" spans="1:9" x14ac:dyDescent="0.25">
      <c r="A56" s="159"/>
      <c r="B56" s="159"/>
      <c r="C56" s="159"/>
      <c r="D56" s="159"/>
      <c r="E56" s="159"/>
      <c r="F56" s="23"/>
      <c r="G56" s="18"/>
      <c r="H56" s="18"/>
      <c r="I56" s="24">
        <f>+H56*G56</f>
        <v>0</v>
      </c>
    </row>
    <row r="57" spans="1:9" x14ac:dyDescent="0.25">
      <c r="A57" s="159"/>
      <c r="B57" s="159"/>
      <c r="C57" s="159"/>
      <c r="D57" s="159"/>
      <c r="E57" s="159"/>
      <c r="F57" s="23"/>
      <c r="G57" s="18"/>
      <c r="H57" s="18"/>
      <c r="I57" s="24">
        <f t="shared" ref="I57:I61" si="1">+H57*G57</f>
        <v>0</v>
      </c>
    </row>
    <row r="58" spans="1:9" x14ac:dyDescent="0.25">
      <c r="A58" s="159"/>
      <c r="B58" s="159"/>
      <c r="C58" s="159"/>
      <c r="D58" s="159"/>
      <c r="E58" s="159"/>
      <c r="F58" s="23"/>
      <c r="G58" s="18"/>
      <c r="H58" s="18"/>
      <c r="I58" s="24">
        <f t="shared" si="1"/>
        <v>0</v>
      </c>
    </row>
    <row r="59" spans="1:9" x14ac:dyDescent="0.25">
      <c r="A59" s="159"/>
      <c r="B59" s="159"/>
      <c r="C59" s="159"/>
      <c r="D59" s="159"/>
      <c r="E59" s="159"/>
      <c r="F59" s="23"/>
      <c r="G59" s="18"/>
      <c r="H59" s="18"/>
      <c r="I59" s="24">
        <f t="shared" si="1"/>
        <v>0</v>
      </c>
    </row>
    <row r="60" spans="1:9" x14ac:dyDescent="0.25">
      <c r="A60" s="159"/>
      <c r="B60" s="159"/>
      <c r="C60" s="159"/>
      <c r="D60" s="159"/>
      <c r="E60" s="159"/>
      <c r="F60" s="23"/>
      <c r="G60" s="18"/>
      <c r="H60" s="18"/>
      <c r="I60" s="24">
        <f t="shared" si="1"/>
        <v>0</v>
      </c>
    </row>
    <row r="61" spans="1:9" x14ac:dyDescent="0.25">
      <c r="A61" s="159"/>
      <c r="B61" s="159"/>
      <c r="C61" s="159"/>
      <c r="D61" s="159"/>
      <c r="E61" s="159"/>
      <c r="F61" s="23"/>
      <c r="G61" s="18"/>
      <c r="H61" s="18"/>
      <c r="I61" s="24">
        <f t="shared" si="1"/>
        <v>0</v>
      </c>
    </row>
    <row r="62" spans="1:9" ht="16.5" x14ac:dyDescent="0.3">
      <c r="A62" s="167" t="s">
        <v>61</v>
      </c>
      <c r="B62" s="167"/>
      <c r="C62" s="167"/>
      <c r="D62" s="167"/>
      <c r="E62" s="25" t="s">
        <v>62</v>
      </c>
      <c r="F62" s="14" t="s">
        <v>63</v>
      </c>
      <c r="G62" s="14" t="s">
        <v>64</v>
      </c>
      <c r="H62" s="14" t="s">
        <v>65</v>
      </c>
      <c r="I62" s="15" t="s">
        <v>53</v>
      </c>
    </row>
    <row r="63" spans="1:9" x14ac:dyDescent="0.25">
      <c r="A63" s="159" t="s">
        <v>112</v>
      </c>
      <c r="B63" s="159"/>
      <c r="C63" s="159"/>
      <c r="D63" s="159"/>
      <c r="E63" s="26">
        <v>1</v>
      </c>
      <c r="F63" s="26">
        <v>5</v>
      </c>
      <c r="G63" s="26">
        <f>60000/F63</f>
        <v>12000</v>
      </c>
      <c r="H63" s="26">
        <f>+G63*6</f>
        <v>72000</v>
      </c>
      <c r="I63" s="18">
        <f>+E63*G63</f>
        <v>12000</v>
      </c>
    </row>
    <row r="64" spans="1:9" x14ac:dyDescent="0.25">
      <c r="A64" s="159" t="s">
        <v>67</v>
      </c>
      <c r="B64" s="159"/>
      <c r="C64" s="159"/>
      <c r="D64" s="159"/>
      <c r="E64" s="26"/>
      <c r="F64" s="26"/>
      <c r="G64" s="26"/>
      <c r="H64" s="26"/>
      <c r="I64" s="18">
        <f>+E64*G64</f>
        <v>0</v>
      </c>
    </row>
    <row r="65" spans="1:9" ht="16.5" x14ac:dyDescent="0.3">
      <c r="A65" s="167" t="s">
        <v>68</v>
      </c>
      <c r="B65" s="167"/>
      <c r="C65" s="167"/>
      <c r="D65" s="167"/>
      <c r="E65" s="14" t="s">
        <v>52</v>
      </c>
      <c r="F65" s="170" t="s">
        <v>69</v>
      </c>
      <c r="G65" s="171"/>
      <c r="H65" s="27" t="s">
        <v>46</v>
      </c>
      <c r="I65" s="28" t="s">
        <v>53</v>
      </c>
    </row>
    <row r="66" spans="1:9" x14ac:dyDescent="0.25">
      <c r="A66" s="168" t="str">
        <f>CUADRILLAS!B10</f>
        <v>CUADRILLA 5</v>
      </c>
      <c r="B66" s="168"/>
      <c r="C66" s="168"/>
      <c r="D66" s="168"/>
      <c r="E66" s="18">
        <v>1</v>
      </c>
      <c r="F66" s="177">
        <f>CUADRILLAS!D10</f>
        <v>476000</v>
      </c>
      <c r="G66" s="177"/>
      <c r="H66" s="29">
        <v>5</v>
      </c>
      <c r="I66" s="24">
        <f>+(E66*F66)/H66</f>
        <v>95200</v>
      </c>
    </row>
    <row r="67" spans="1:9" x14ac:dyDescent="0.25">
      <c r="A67" s="188"/>
      <c r="B67" s="188"/>
      <c r="C67" s="188"/>
      <c r="D67" s="188"/>
      <c r="E67" s="37"/>
      <c r="F67" s="189"/>
      <c r="G67" s="189"/>
      <c r="H67" s="37"/>
      <c r="I67" s="38"/>
    </row>
    <row r="68" spans="1:9" ht="16.5" x14ac:dyDescent="0.3">
      <c r="A68" s="190"/>
      <c r="B68" s="190"/>
      <c r="C68" s="190"/>
      <c r="D68" s="190"/>
      <c r="E68" s="190"/>
      <c r="F68" s="30" t="s">
        <v>35</v>
      </c>
      <c r="G68" s="31"/>
      <c r="H68" s="32"/>
      <c r="I68" s="33">
        <f>ROUND((SUM(I50:I67)),0)</f>
        <v>111960</v>
      </c>
    </row>
    <row r="69" spans="1:9" ht="16.5" x14ac:dyDescent="0.3">
      <c r="A69" s="191"/>
      <c r="B69" s="191"/>
      <c r="C69" s="191"/>
      <c r="D69" s="191"/>
      <c r="E69" s="191"/>
      <c r="F69" s="191"/>
      <c r="G69" s="191"/>
      <c r="H69" s="191"/>
      <c r="I69" s="191"/>
    </row>
    <row r="70" spans="1:9" ht="16.5" x14ac:dyDescent="0.3">
      <c r="A70" s="10" t="s">
        <v>40</v>
      </c>
      <c r="B70" s="192" t="e">
        <f>'PRESUPUESTO_ESTUDIO MERCADO '!#REF!</f>
        <v>#REF!</v>
      </c>
      <c r="C70" s="192"/>
      <c r="D70" s="192"/>
      <c r="E70" s="192"/>
      <c r="F70" s="192"/>
      <c r="G70" s="192"/>
      <c r="H70" s="192"/>
      <c r="I70" s="192"/>
    </row>
    <row r="71" spans="1:9" ht="16.5" x14ac:dyDescent="0.3">
      <c r="A71" s="11" t="s">
        <v>113</v>
      </c>
      <c r="B71" s="166"/>
      <c r="C71" s="166"/>
      <c r="D71" s="166"/>
      <c r="E71" s="166"/>
      <c r="F71" s="166"/>
      <c r="G71" s="166"/>
      <c r="H71" s="12" t="s">
        <v>42</v>
      </c>
      <c r="I71" s="13" t="s">
        <v>111</v>
      </c>
    </row>
    <row r="72" spans="1:9" ht="16.5" x14ac:dyDescent="0.3">
      <c r="A72" s="167" t="s">
        <v>44</v>
      </c>
      <c r="B72" s="167"/>
      <c r="C72" s="167"/>
      <c r="D72" s="167"/>
      <c r="E72" s="167"/>
      <c r="F72" s="14" t="s">
        <v>9</v>
      </c>
      <c r="G72" s="14" t="s">
        <v>45</v>
      </c>
      <c r="H72" s="14" t="s">
        <v>46</v>
      </c>
      <c r="I72" s="15" t="s">
        <v>47</v>
      </c>
    </row>
    <row r="73" spans="1:9" x14ac:dyDescent="0.25">
      <c r="A73" s="159" t="s">
        <v>48</v>
      </c>
      <c r="B73" s="159"/>
      <c r="C73" s="159"/>
      <c r="D73" s="159"/>
      <c r="E73" s="159"/>
      <c r="F73" s="17"/>
      <c r="G73" s="17"/>
      <c r="H73" s="18"/>
      <c r="I73" s="19">
        <f>ROUND((SUM(I89:I90)*0.05),0)</f>
        <v>1587</v>
      </c>
    </row>
    <row r="74" spans="1:9" x14ac:dyDescent="0.25">
      <c r="A74" s="159" t="s">
        <v>114</v>
      </c>
      <c r="B74" s="159"/>
      <c r="C74" s="159"/>
      <c r="D74" s="159"/>
      <c r="E74" s="159"/>
      <c r="F74" s="17">
        <v>1</v>
      </c>
      <c r="G74" s="20">
        <v>80000</v>
      </c>
      <c r="H74" s="21">
        <f>H89</f>
        <v>15</v>
      </c>
      <c r="I74" s="19">
        <f>+F74*G74/H74</f>
        <v>5333.333333333333</v>
      </c>
    </row>
    <row r="75" spans="1:9" x14ac:dyDescent="0.25">
      <c r="A75" s="159"/>
      <c r="B75" s="159"/>
      <c r="C75" s="159"/>
      <c r="D75" s="159"/>
      <c r="E75" s="159"/>
      <c r="F75" s="23"/>
      <c r="G75" s="34"/>
      <c r="H75" s="34"/>
      <c r="I75" s="35"/>
    </row>
    <row r="76" spans="1:9" ht="16.5" x14ac:dyDescent="0.3">
      <c r="A76" s="187" t="s">
        <v>49</v>
      </c>
      <c r="B76" s="187"/>
      <c r="C76" s="187"/>
      <c r="D76" s="187"/>
      <c r="E76" s="187"/>
      <c r="F76" s="14" t="s">
        <v>50</v>
      </c>
      <c r="G76" s="22" t="s">
        <v>51</v>
      </c>
      <c r="H76" s="22" t="s">
        <v>52</v>
      </c>
      <c r="I76" s="15" t="s">
        <v>53</v>
      </c>
    </row>
    <row r="77" spans="1:9" x14ac:dyDescent="0.25">
      <c r="A77" s="159" t="s">
        <v>115</v>
      </c>
      <c r="B77" s="159"/>
      <c r="C77" s="159"/>
      <c r="D77" s="159"/>
      <c r="E77" s="159"/>
      <c r="F77" s="23" t="s">
        <v>116</v>
      </c>
      <c r="G77" s="24">
        <v>25000</v>
      </c>
      <c r="H77" s="18">
        <v>1.1000000000000001</v>
      </c>
      <c r="I77" s="24">
        <f>+H77*G77</f>
        <v>27500.000000000004</v>
      </c>
    </row>
    <row r="78" spans="1:9" x14ac:dyDescent="0.25">
      <c r="A78" s="159"/>
      <c r="B78" s="159"/>
      <c r="C78" s="159"/>
      <c r="D78" s="159"/>
      <c r="E78" s="159"/>
      <c r="F78" s="23"/>
      <c r="G78" s="24"/>
      <c r="H78" s="18"/>
      <c r="I78" s="24">
        <f>+H78*G78</f>
        <v>0</v>
      </c>
    </row>
    <row r="79" spans="1:9" x14ac:dyDescent="0.25">
      <c r="A79" s="159"/>
      <c r="B79" s="159"/>
      <c r="C79" s="159"/>
      <c r="D79" s="159"/>
      <c r="E79" s="159"/>
      <c r="F79" s="23"/>
      <c r="G79" s="18"/>
      <c r="H79" s="18"/>
      <c r="I79" s="24">
        <f>+H79*G79</f>
        <v>0</v>
      </c>
    </row>
    <row r="80" spans="1:9" x14ac:dyDescent="0.25">
      <c r="A80" s="159"/>
      <c r="B80" s="159"/>
      <c r="C80" s="159"/>
      <c r="D80" s="159"/>
      <c r="E80" s="159"/>
      <c r="F80" s="23"/>
      <c r="G80" s="18"/>
      <c r="H80" s="18"/>
      <c r="I80" s="24">
        <f t="shared" ref="I80:I84" si="2">+H80*G80</f>
        <v>0</v>
      </c>
    </row>
    <row r="81" spans="1:9" x14ac:dyDescent="0.25">
      <c r="A81" s="159"/>
      <c r="B81" s="159"/>
      <c r="C81" s="159"/>
      <c r="D81" s="159"/>
      <c r="E81" s="159"/>
      <c r="F81" s="23"/>
      <c r="G81" s="18"/>
      <c r="H81" s="18"/>
      <c r="I81" s="24">
        <f t="shared" si="2"/>
        <v>0</v>
      </c>
    </row>
    <row r="82" spans="1:9" x14ac:dyDescent="0.25">
      <c r="A82" s="159"/>
      <c r="B82" s="159"/>
      <c r="C82" s="159"/>
      <c r="D82" s="159"/>
      <c r="E82" s="159"/>
      <c r="F82" s="23"/>
      <c r="G82" s="18"/>
      <c r="H82" s="18"/>
      <c r="I82" s="24">
        <f t="shared" si="2"/>
        <v>0</v>
      </c>
    </row>
    <row r="83" spans="1:9" x14ac:dyDescent="0.25">
      <c r="A83" s="159"/>
      <c r="B83" s="159"/>
      <c r="C83" s="159"/>
      <c r="D83" s="159"/>
      <c r="E83" s="159"/>
      <c r="F83" s="23"/>
      <c r="G83" s="18"/>
      <c r="H83" s="18"/>
      <c r="I83" s="24">
        <f t="shared" si="2"/>
        <v>0</v>
      </c>
    </row>
    <row r="84" spans="1:9" x14ac:dyDescent="0.25">
      <c r="A84" s="159"/>
      <c r="B84" s="159"/>
      <c r="C84" s="159"/>
      <c r="D84" s="159"/>
      <c r="E84" s="159"/>
      <c r="F84" s="23"/>
      <c r="G84" s="18"/>
      <c r="H84" s="18"/>
      <c r="I84" s="24">
        <f t="shared" si="2"/>
        <v>0</v>
      </c>
    </row>
    <row r="85" spans="1:9" ht="16.5" x14ac:dyDescent="0.3">
      <c r="A85" s="167" t="s">
        <v>61</v>
      </c>
      <c r="B85" s="167"/>
      <c r="C85" s="167"/>
      <c r="D85" s="167"/>
      <c r="E85" s="25" t="s">
        <v>62</v>
      </c>
      <c r="F85" s="14" t="s">
        <v>63</v>
      </c>
      <c r="G85" s="14" t="s">
        <v>64</v>
      </c>
      <c r="H85" s="14" t="s">
        <v>65</v>
      </c>
      <c r="I85" s="15" t="s">
        <v>53</v>
      </c>
    </row>
    <row r="86" spans="1:9" x14ac:dyDescent="0.25">
      <c r="A86" s="159" t="s">
        <v>109</v>
      </c>
      <c r="B86" s="159"/>
      <c r="C86" s="159"/>
      <c r="D86" s="159"/>
      <c r="E86" s="26"/>
      <c r="F86" s="26">
        <v>6</v>
      </c>
      <c r="G86" s="26">
        <f>35000/F86</f>
        <v>5833.333333333333</v>
      </c>
      <c r="H86" s="26">
        <f>+G86*6</f>
        <v>35000</v>
      </c>
      <c r="I86" s="18">
        <f>+E86*G86</f>
        <v>0</v>
      </c>
    </row>
    <row r="87" spans="1:9" x14ac:dyDescent="0.25">
      <c r="A87" s="159" t="s">
        <v>67</v>
      </c>
      <c r="B87" s="159"/>
      <c r="C87" s="159"/>
      <c r="D87" s="159"/>
      <c r="E87" s="26"/>
      <c r="F87" s="26"/>
      <c r="G87" s="26"/>
      <c r="H87" s="26"/>
      <c r="I87" s="18">
        <f>+E87*G87</f>
        <v>0</v>
      </c>
    </row>
    <row r="88" spans="1:9" ht="16.5" x14ac:dyDescent="0.3">
      <c r="A88" s="167" t="s">
        <v>68</v>
      </c>
      <c r="B88" s="167"/>
      <c r="C88" s="167"/>
      <c r="D88" s="167"/>
      <c r="E88" s="14" t="s">
        <v>52</v>
      </c>
      <c r="F88" s="193" t="s">
        <v>69</v>
      </c>
      <c r="G88" s="194"/>
      <c r="H88" s="14" t="s">
        <v>46</v>
      </c>
      <c r="I88" s="15" t="s">
        <v>53</v>
      </c>
    </row>
    <row r="89" spans="1:9" x14ac:dyDescent="0.25">
      <c r="A89" s="168" t="str">
        <f>CUADRILLAS!B10</f>
        <v>CUADRILLA 5</v>
      </c>
      <c r="B89" s="168"/>
      <c r="C89" s="168"/>
      <c r="D89" s="168"/>
      <c r="E89" s="18">
        <v>1</v>
      </c>
      <c r="F89" s="177">
        <f>CUADRILLAS!D10</f>
        <v>476000</v>
      </c>
      <c r="G89" s="177"/>
      <c r="H89" s="21">
        <v>15</v>
      </c>
      <c r="I89" s="24">
        <f>F89/H89</f>
        <v>31733.333333333332</v>
      </c>
    </row>
    <row r="90" spans="1:9" x14ac:dyDescent="0.25">
      <c r="A90" s="168"/>
      <c r="B90" s="168"/>
      <c r="C90" s="168"/>
      <c r="D90" s="168"/>
      <c r="E90" s="18"/>
      <c r="F90" s="177"/>
      <c r="G90" s="177"/>
      <c r="H90" s="21"/>
      <c r="I90" s="24"/>
    </row>
    <row r="91" spans="1:9" ht="16.5" x14ac:dyDescent="0.3">
      <c r="A91" s="190"/>
      <c r="B91" s="190"/>
      <c r="C91" s="190"/>
      <c r="D91" s="190"/>
      <c r="E91" s="190"/>
      <c r="F91" s="30" t="s">
        <v>35</v>
      </c>
      <c r="G91" s="31"/>
      <c r="H91" s="32"/>
      <c r="I91" s="36">
        <f>ROUND((SUM(I73:I90)),0)</f>
        <v>66154</v>
      </c>
    </row>
    <row r="92" spans="1:9" x14ac:dyDescent="0.25">
      <c r="A92" s="65"/>
      <c r="B92" s="65"/>
      <c r="C92" s="65"/>
      <c r="D92" s="65"/>
      <c r="E92" s="65"/>
      <c r="F92" s="65"/>
      <c r="G92" s="65"/>
      <c r="H92" s="65"/>
      <c r="I92" s="65"/>
    </row>
    <row r="93" spans="1:9" ht="16.5" x14ac:dyDescent="0.3">
      <c r="A93" s="66" t="s">
        <v>40</v>
      </c>
      <c r="B93" s="195" t="e">
        <f>'PRESUPUESTO_ESTUDIO MERCADO '!#REF!</f>
        <v>#REF!</v>
      </c>
      <c r="C93" s="196"/>
      <c r="D93" s="196"/>
      <c r="E93" s="196"/>
      <c r="F93" s="196"/>
      <c r="G93" s="196"/>
      <c r="H93" s="196"/>
      <c r="I93" s="197"/>
    </row>
    <row r="94" spans="1:9" ht="16.5" x14ac:dyDescent="0.3">
      <c r="A94" s="11" t="s">
        <v>117</v>
      </c>
      <c r="B94" s="166"/>
      <c r="C94" s="166"/>
      <c r="D94" s="166"/>
      <c r="E94" s="166"/>
      <c r="F94" s="166"/>
      <c r="G94" s="166"/>
      <c r="H94" s="12" t="s">
        <v>42</v>
      </c>
      <c r="I94" s="13" t="s">
        <v>111</v>
      </c>
    </row>
    <row r="95" spans="1:9" ht="16.5" x14ac:dyDescent="0.3">
      <c r="A95" s="167" t="s">
        <v>44</v>
      </c>
      <c r="B95" s="167"/>
      <c r="C95" s="167"/>
      <c r="D95" s="167"/>
      <c r="E95" s="167"/>
      <c r="F95" s="14" t="s">
        <v>9</v>
      </c>
      <c r="G95" s="14" t="s">
        <v>45</v>
      </c>
      <c r="H95" s="14" t="s">
        <v>46</v>
      </c>
      <c r="I95" s="15" t="s">
        <v>47</v>
      </c>
    </row>
    <row r="96" spans="1:9" x14ac:dyDescent="0.25">
      <c r="A96" s="159" t="s">
        <v>48</v>
      </c>
      <c r="B96" s="159"/>
      <c r="C96" s="159"/>
      <c r="D96" s="159"/>
      <c r="E96" s="159"/>
      <c r="F96" s="17"/>
      <c r="G96" s="17"/>
      <c r="H96" s="18"/>
      <c r="I96" s="19">
        <f>ROUND((SUM(I112:I113)*0.05),0)</f>
        <v>4760</v>
      </c>
    </row>
    <row r="97" spans="1:9" x14ac:dyDescent="0.25">
      <c r="A97" s="159"/>
      <c r="B97" s="159"/>
      <c r="C97" s="159"/>
      <c r="D97" s="159"/>
      <c r="E97" s="159"/>
      <c r="F97" s="17"/>
      <c r="G97" s="20"/>
      <c r="H97" s="21"/>
      <c r="I97" s="19">
        <f>+F97*G97*H97</f>
        <v>0</v>
      </c>
    </row>
    <row r="98" spans="1:9" x14ac:dyDescent="0.25">
      <c r="A98" s="159"/>
      <c r="B98" s="159"/>
      <c r="C98" s="159"/>
      <c r="D98" s="159"/>
      <c r="E98" s="159"/>
      <c r="F98" s="17"/>
      <c r="G98" s="17"/>
      <c r="H98" s="18"/>
      <c r="I98" s="19"/>
    </row>
    <row r="99" spans="1:9" ht="16.5" x14ac:dyDescent="0.3">
      <c r="A99" s="167" t="s">
        <v>49</v>
      </c>
      <c r="B99" s="167"/>
      <c r="C99" s="167"/>
      <c r="D99" s="167"/>
      <c r="E99" s="167"/>
      <c r="F99" s="14" t="s">
        <v>50</v>
      </c>
      <c r="G99" s="22" t="s">
        <v>51</v>
      </c>
      <c r="H99" s="22" t="s">
        <v>52</v>
      </c>
      <c r="I99" s="15" t="s">
        <v>53</v>
      </c>
    </row>
    <row r="100" spans="1:9" x14ac:dyDescent="0.25">
      <c r="A100" s="159" t="str">
        <f>'A.P.A'!B22</f>
        <v>APA PREPARACION CONCRETO 2500PSI EN OBRA</v>
      </c>
      <c r="B100" s="159"/>
      <c r="C100" s="159"/>
      <c r="D100" s="159"/>
      <c r="E100" s="159"/>
      <c r="F100" s="23" t="s">
        <v>111</v>
      </c>
      <c r="G100" s="24">
        <f>'A.P.A'!I44</f>
        <v>369679</v>
      </c>
      <c r="H100" s="18">
        <f>0.05*1.05</f>
        <v>5.2500000000000005E-2</v>
      </c>
      <c r="I100" s="24">
        <f>+H100*G100</f>
        <v>19408.147500000003</v>
      </c>
    </row>
    <row r="101" spans="1:9" x14ac:dyDescent="0.25">
      <c r="A101" s="159"/>
      <c r="B101" s="159"/>
      <c r="C101" s="159"/>
      <c r="D101" s="159"/>
      <c r="E101" s="159"/>
      <c r="F101" s="23"/>
      <c r="G101" s="24"/>
      <c r="H101" s="18"/>
      <c r="I101" s="24">
        <f>+H101*G101</f>
        <v>0</v>
      </c>
    </row>
    <row r="102" spans="1:9" x14ac:dyDescent="0.25">
      <c r="A102" s="159"/>
      <c r="B102" s="159"/>
      <c r="C102" s="159"/>
      <c r="D102" s="159"/>
      <c r="E102" s="159"/>
      <c r="F102" s="23"/>
      <c r="G102" s="18"/>
      <c r="H102" s="18"/>
      <c r="I102" s="24">
        <f>+H102*G102</f>
        <v>0</v>
      </c>
    </row>
    <row r="103" spans="1:9" x14ac:dyDescent="0.25">
      <c r="A103" s="159"/>
      <c r="B103" s="159"/>
      <c r="C103" s="159"/>
      <c r="D103" s="159"/>
      <c r="E103" s="159"/>
      <c r="F103" s="23"/>
      <c r="G103" s="18"/>
      <c r="H103" s="18"/>
      <c r="I103" s="24">
        <f t="shared" ref="I103:I107" si="3">+H103*G103</f>
        <v>0</v>
      </c>
    </row>
    <row r="104" spans="1:9" x14ac:dyDescent="0.25">
      <c r="A104" s="159"/>
      <c r="B104" s="159"/>
      <c r="C104" s="159"/>
      <c r="D104" s="159"/>
      <c r="E104" s="159"/>
      <c r="F104" s="23"/>
      <c r="G104" s="18"/>
      <c r="H104" s="18"/>
      <c r="I104" s="24">
        <f t="shared" si="3"/>
        <v>0</v>
      </c>
    </row>
    <row r="105" spans="1:9" x14ac:dyDescent="0.25">
      <c r="A105" s="159"/>
      <c r="B105" s="159"/>
      <c r="C105" s="159"/>
      <c r="D105" s="159"/>
      <c r="E105" s="159"/>
      <c r="F105" s="23"/>
      <c r="G105" s="18"/>
      <c r="H105" s="18"/>
      <c r="I105" s="24">
        <f t="shared" si="3"/>
        <v>0</v>
      </c>
    </row>
    <row r="106" spans="1:9" x14ac:dyDescent="0.25">
      <c r="A106" s="159"/>
      <c r="B106" s="159"/>
      <c r="C106" s="159"/>
      <c r="D106" s="159"/>
      <c r="E106" s="159"/>
      <c r="F106" s="23"/>
      <c r="G106" s="18"/>
      <c r="H106" s="18"/>
      <c r="I106" s="24">
        <f t="shared" si="3"/>
        <v>0</v>
      </c>
    </row>
    <row r="107" spans="1:9" x14ac:dyDescent="0.25">
      <c r="A107" s="159"/>
      <c r="B107" s="159"/>
      <c r="C107" s="159"/>
      <c r="D107" s="159"/>
      <c r="E107" s="159"/>
      <c r="F107" s="23"/>
      <c r="G107" s="18"/>
      <c r="H107" s="18"/>
      <c r="I107" s="24">
        <f t="shared" si="3"/>
        <v>0</v>
      </c>
    </row>
    <row r="108" spans="1:9" ht="16.5" x14ac:dyDescent="0.3">
      <c r="A108" s="167" t="s">
        <v>61</v>
      </c>
      <c r="B108" s="167"/>
      <c r="C108" s="167"/>
      <c r="D108" s="167"/>
      <c r="E108" s="25" t="s">
        <v>62</v>
      </c>
      <c r="F108" s="14" t="s">
        <v>63</v>
      </c>
      <c r="G108" s="14" t="s">
        <v>64</v>
      </c>
      <c r="H108" s="14" t="s">
        <v>65</v>
      </c>
      <c r="I108" s="15" t="s">
        <v>53</v>
      </c>
    </row>
    <row r="109" spans="1:9" x14ac:dyDescent="0.25">
      <c r="A109" s="159" t="s">
        <v>112</v>
      </c>
      <c r="B109" s="159"/>
      <c r="C109" s="159"/>
      <c r="D109" s="159"/>
      <c r="E109" s="26"/>
      <c r="F109" s="26">
        <v>6</v>
      </c>
      <c r="G109" s="26">
        <f>35000/F109</f>
        <v>5833.333333333333</v>
      </c>
      <c r="H109" s="26">
        <f>+G109*6</f>
        <v>35000</v>
      </c>
      <c r="I109" s="18">
        <f>+E109*G109</f>
        <v>0</v>
      </c>
    </row>
    <row r="110" spans="1:9" x14ac:dyDescent="0.25">
      <c r="A110" s="159" t="s">
        <v>67</v>
      </c>
      <c r="B110" s="159"/>
      <c r="C110" s="159"/>
      <c r="D110" s="159"/>
      <c r="E110" s="26"/>
      <c r="F110" s="26"/>
      <c r="G110" s="26"/>
      <c r="H110" s="26"/>
      <c r="I110" s="18">
        <f>+E110*G110</f>
        <v>0</v>
      </c>
    </row>
    <row r="111" spans="1:9" ht="16.5" x14ac:dyDescent="0.3">
      <c r="A111" s="167" t="s">
        <v>68</v>
      </c>
      <c r="B111" s="167"/>
      <c r="C111" s="167"/>
      <c r="D111" s="167"/>
      <c r="E111" s="14" t="s">
        <v>52</v>
      </c>
      <c r="F111" s="170" t="s">
        <v>69</v>
      </c>
      <c r="G111" s="171"/>
      <c r="H111" s="27" t="s">
        <v>46</v>
      </c>
      <c r="I111" s="28" t="s">
        <v>53</v>
      </c>
    </row>
    <row r="112" spans="1:9" x14ac:dyDescent="0.25">
      <c r="A112" s="168" t="str">
        <f>CUADRILLAS!B10</f>
        <v>CUADRILLA 5</v>
      </c>
      <c r="B112" s="168"/>
      <c r="C112" s="168"/>
      <c r="D112" s="168"/>
      <c r="E112" s="18">
        <v>1</v>
      </c>
      <c r="F112" s="177">
        <f>CUADRILLAS!D10</f>
        <v>476000</v>
      </c>
      <c r="G112" s="177"/>
      <c r="H112" s="29">
        <v>5</v>
      </c>
      <c r="I112" s="24">
        <f>+(E112*F112)/H112</f>
        <v>95200</v>
      </c>
    </row>
    <row r="113" spans="1:9" x14ac:dyDescent="0.25">
      <c r="A113" s="168"/>
      <c r="B113" s="168"/>
      <c r="C113" s="168"/>
      <c r="D113" s="168"/>
      <c r="E113" s="18"/>
      <c r="F113" s="177"/>
      <c r="G113" s="177"/>
      <c r="H113" s="18"/>
      <c r="I113" s="24"/>
    </row>
    <row r="114" spans="1:9" ht="16.5" x14ac:dyDescent="0.3">
      <c r="A114" s="160"/>
      <c r="B114" s="161"/>
      <c r="C114" s="161"/>
      <c r="D114" s="161"/>
      <c r="E114" s="162"/>
      <c r="F114" s="30" t="s">
        <v>35</v>
      </c>
      <c r="G114" s="31"/>
      <c r="H114" s="32"/>
      <c r="I114" s="33">
        <f>ROUND((SUM(I96:I113)),0)</f>
        <v>119368</v>
      </c>
    </row>
    <row r="115" spans="1:9" ht="16.5" x14ac:dyDescent="0.3">
      <c r="A115" s="160"/>
      <c r="B115" s="161"/>
      <c r="C115" s="161"/>
      <c r="D115" s="161"/>
      <c r="E115" s="161"/>
      <c r="F115" s="161"/>
      <c r="G115" s="161"/>
      <c r="H115" s="161"/>
      <c r="I115" s="162"/>
    </row>
    <row r="116" spans="1:9" ht="16.5" x14ac:dyDescent="0.3">
      <c r="A116" s="10" t="s">
        <v>40</v>
      </c>
      <c r="B116" s="163" t="e">
        <f>'PRESUPUESTO_ESTUDIO MERCADO '!#REF!</f>
        <v>#REF!</v>
      </c>
      <c r="C116" s="164"/>
      <c r="D116" s="164"/>
      <c r="E116" s="164"/>
      <c r="F116" s="164"/>
      <c r="G116" s="164"/>
      <c r="H116" s="164"/>
      <c r="I116" s="165"/>
    </row>
    <row r="117" spans="1:9" ht="16.5" x14ac:dyDescent="0.3">
      <c r="A117" s="11" t="s">
        <v>118</v>
      </c>
      <c r="B117" s="166"/>
      <c r="C117" s="166"/>
      <c r="D117" s="166"/>
      <c r="E117" s="166"/>
      <c r="F117" s="166"/>
      <c r="G117" s="166"/>
      <c r="H117" s="12" t="s">
        <v>42</v>
      </c>
      <c r="I117" s="13" t="s">
        <v>119</v>
      </c>
    </row>
    <row r="118" spans="1:9" ht="16.5" x14ac:dyDescent="0.3">
      <c r="A118" s="167" t="s">
        <v>44</v>
      </c>
      <c r="B118" s="167"/>
      <c r="C118" s="167"/>
      <c r="D118" s="167"/>
      <c r="E118" s="167"/>
      <c r="F118" s="14" t="s">
        <v>9</v>
      </c>
      <c r="G118" s="14" t="s">
        <v>45</v>
      </c>
      <c r="H118" s="14" t="s">
        <v>46</v>
      </c>
      <c r="I118" s="15" t="s">
        <v>47</v>
      </c>
    </row>
    <row r="119" spans="1:9" x14ac:dyDescent="0.25">
      <c r="A119" s="159" t="s">
        <v>48</v>
      </c>
      <c r="B119" s="159"/>
      <c r="C119" s="159"/>
      <c r="D119" s="159"/>
      <c r="E119" s="159"/>
      <c r="F119" s="17"/>
      <c r="G119" s="17"/>
      <c r="H119" s="18"/>
      <c r="I119" s="19">
        <f>ROUND((SUM(I135:I136)*0.05),0)</f>
        <v>425</v>
      </c>
    </row>
    <row r="120" spans="1:9" x14ac:dyDescent="0.25">
      <c r="A120" s="159"/>
      <c r="B120" s="159"/>
      <c r="C120" s="159"/>
      <c r="D120" s="159"/>
      <c r="E120" s="159"/>
      <c r="F120" s="17"/>
      <c r="G120" s="20"/>
      <c r="H120" s="21"/>
      <c r="I120" s="19"/>
    </row>
    <row r="121" spans="1:9" x14ac:dyDescent="0.25">
      <c r="A121" s="159"/>
      <c r="B121" s="159"/>
      <c r="C121" s="159"/>
      <c r="D121" s="159"/>
      <c r="E121" s="159"/>
      <c r="F121" s="23"/>
      <c r="G121" s="34"/>
      <c r="H121" s="34"/>
      <c r="I121" s="35"/>
    </row>
    <row r="122" spans="1:9" ht="16.5" x14ac:dyDescent="0.3">
      <c r="A122" s="167" t="s">
        <v>49</v>
      </c>
      <c r="B122" s="167"/>
      <c r="C122" s="167"/>
      <c r="D122" s="167"/>
      <c r="E122" s="167"/>
      <c r="F122" s="14" t="s">
        <v>50</v>
      </c>
      <c r="G122" s="22" t="s">
        <v>51</v>
      </c>
      <c r="H122" s="22" t="s">
        <v>52</v>
      </c>
      <c r="I122" s="15" t="s">
        <v>53</v>
      </c>
    </row>
    <row r="123" spans="1:9" x14ac:dyDescent="0.25">
      <c r="A123" s="159" t="s">
        <v>120</v>
      </c>
      <c r="B123" s="159"/>
      <c r="C123" s="159"/>
      <c r="D123" s="159"/>
      <c r="E123" s="159"/>
      <c r="F123" s="23" t="s">
        <v>43</v>
      </c>
      <c r="G123" s="24">
        <v>3000</v>
      </c>
      <c r="H123" s="18">
        <v>6</v>
      </c>
      <c r="I123" s="24">
        <f>+H123*G123</f>
        <v>18000</v>
      </c>
    </row>
    <row r="124" spans="1:9" x14ac:dyDescent="0.25">
      <c r="A124" s="159" t="str">
        <f>'A.P.A'!B69</f>
        <v>APA PREPARACION MORTERO 1:4 EN OBRA</v>
      </c>
      <c r="B124" s="159"/>
      <c r="C124" s="159"/>
      <c r="D124" s="159"/>
      <c r="E124" s="159"/>
      <c r="F124" s="23" t="s">
        <v>111</v>
      </c>
      <c r="G124" s="24">
        <f>'A.P.A'!I90</f>
        <v>491083</v>
      </c>
      <c r="H124" s="18">
        <v>0.03</v>
      </c>
      <c r="I124" s="24">
        <f>+H124*G124</f>
        <v>14732.49</v>
      </c>
    </row>
    <row r="125" spans="1:9" x14ac:dyDescent="0.25">
      <c r="A125" s="159" t="s">
        <v>121</v>
      </c>
      <c r="B125" s="159"/>
      <c r="C125" s="159"/>
      <c r="D125" s="159"/>
      <c r="E125" s="159"/>
      <c r="F125" s="23" t="s">
        <v>99</v>
      </c>
      <c r="G125" s="18">
        <f>42500/3</f>
        <v>14166.666666666666</v>
      </c>
      <c r="H125" s="18">
        <f>0.4</f>
        <v>0.4</v>
      </c>
      <c r="I125" s="24">
        <f>+H125*G125</f>
        <v>5666.666666666667</v>
      </c>
    </row>
    <row r="126" spans="1:9" x14ac:dyDescent="0.25">
      <c r="A126" s="159"/>
      <c r="B126" s="159"/>
      <c r="C126" s="159"/>
      <c r="D126" s="159"/>
      <c r="E126" s="159"/>
      <c r="F126" s="23"/>
      <c r="G126" s="18"/>
      <c r="H126" s="18"/>
      <c r="I126" s="24">
        <f t="shared" ref="I126:I130" si="4">+H126*G126</f>
        <v>0</v>
      </c>
    </row>
    <row r="127" spans="1:9" x14ac:dyDescent="0.25">
      <c r="A127" s="159"/>
      <c r="B127" s="159"/>
      <c r="C127" s="159"/>
      <c r="D127" s="159"/>
      <c r="E127" s="159"/>
      <c r="F127" s="23"/>
      <c r="G127" s="18"/>
      <c r="H127" s="18"/>
      <c r="I127" s="24">
        <f t="shared" si="4"/>
        <v>0</v>
      </c>
    </row>
    <row r="128" spans="1:9" x14ac:dyDescent="0.25">
      <c r="A128" s="159"/>
      <c r="B128" s="159"/>
      <c r="C128" s="159"/>
      <c r="D128" s="159"/>
      <c r="E128" s="159"/>
      <c r="F128" s="23"/>
      <c r="G128" s="18"/>
      <c r="H128" s="18"/>
      <c r="I128" s="24">
        <f t="shared" si="4"/>
        <v>0</v>
      </c>
    </row>
    <row r="129" spans="1:9" x14ac:dyDescent="0.25">
      <c r="A129" s="159"/>
      <c r="B129" s="159"/>
      <c r="C129" s="159"/>
      <c r="D129" s="159"/>
      <c r="E129" s="159"/>
      <c r="F129" s="23"/>
      <c r="G129" s="18"/>
      <c r="H129" s="18"/>
      <c r="I129" s="24">
        <f t="shared" si="4"/>
        <v>0</v>
      </c>
    </row>
    <row r="130" spans="1:9" x14ac:dyDescent="0.25">
      <c r="A130" s="159"/>
      <c r="B130" s="159"/>
      <c r="C130" s="159"/>
      <c r="D130" s="159"/>
      <c r="E130" s="159"/>
      <c r="F130" s="23"/>
      <c r="G130" s="18"/>
      <c r="H130" s="18"/>
      <c r="I130" s="24">
        <f t="shared" si="4"/>
        <v>0</v>
      </c>
    </row>
    <row r="131" spans="1:9" ht="16.5" x14ac:dyDescent="0.3">
      <c r="A131" s="167" t="s">
        <v>61</v>
      </c>
      <c r="B131" s="167"/>
      <c r="C131" s="167"/>
      <c r="D131" s="167"/>
      <c r="E131" s="25" t="s">
        <v>62</v>
      </c>
      <c r="F131" s="14" t="s">
        <v>63</v>
      </c>
      <c r="G131" s="14" t="s">
        <v>64</v>
      </c>
      <c r="H131" s="14" t="s">
        <v>65</v>
      </c>
      <c r="I131" s="15" t="s">
        <v>53</v>
      </c>
    </row>
    <row r="132" spans="1:9" x14ac:dyDescent="0.25">
      <c r="A132" s="159" t="s">
        <v>66</v>
      </c>
      <c r="B132" s="159"/>
      <c r="C132" s="159"/>
      <c r="D132" s="159"/>
      <c r="E132" s="26">
        <v>0.3</v>
      </c>
      <c r="F132" s="26">
        <v>6</v>
      </c>
      <c r="G132" s="26">
        <f>35000/F132</f>
        <v>5833.333333333333</v>
      </c>
      <c r="H132" s="26">
        <f>+G132*6</f>
        <v>35000</v>
      </c>
      <c r="I132" s="18">
        <f>+E132*G132</f>
        <v>1749.9999999999998</v>
      </c>
    </row>
    <row r="133" spans="1:9" x14ac:dyDescent="0.25">
      <c r="A133" s="159" t="s">
        <v>67</v>
      </c>
      <c r="B133" s="159"/>
      <c r="C133" s="159"/>
      <c r="D133" s="159"/>
      <c r="E133" s="26"/>
      <c r="F133" s="26"/>
      <c r="G133" s="26"/>
      <c r="H133" s="26"/>
      <c r="I133" s="18">
        <f>+E133*G133</f>
        <v>0</v>
      </c>
    </row>
    <row r="134" spans="1:9" ht="16.5" x14ac:dyDescent="0.3">
      <c r="A134" s="167" t="s">
        <v>68</v>
      </c>
      <c r="B134" s="167"/>
      <c r="C134" s="167"/>
      <c r="D134" s="167"/>
      <c r="E134" s="14" t="s">
        <v>52</v>
      </c>
      <c r="F134" s="170" t="s">
        <v>69</v>
      </c>
      <c r="G134" s="171"/>
      <c r="H134" s="27" t="s">
        <v>46</v>
      </c>
      <c r="I134" s="28" t="s">
        <v>53</v>
      </c>
    </row>
    <row r="135" spans="1:9" x14ac:dyDescent="0.25">
      <c r="A135" s="168" t="str">
        <f>CUADRILLAS!A13</f>
        <v>2 OFICIAL + 2 AYUDANTES</v>
      </c>
      <c r="B135" s="168"/>
      <c r="C135" s="168"/>
      <c r="D135" s="168"/>
      <c r="E135" s="18">
        <v>1</v>
      </c>
      <c r="F135" s="177">
        <f>CUADRILLAS!D13</f>
        <v>425000</v>
      </c>
      <c r="G135" s="177"/>
      <c r="H135" s="21">
        <v>50</v>
      </c>
      <c r="I135" s="24">
        <f>F135/H135</f>
        <v>8500</v>
      </c>
    </row>
    <row r="136" spans="1:9" x14ac:dyDescent="0.25">
      <c r="A136" s="168"/>
      <c r="B136" s="168"/>
      <c r="C136" s="168"/>
      <c r="D136" s="168"/>
      <c r="E136" s="18"/>
      <c r="F136" s="177"/>
      <c r="G136" s="177"/>
      <c r="H136" s="21"/>
      <c r="I136" s="24"/>
    </row>
    <row r="137" spans="1:9" ht="16.5" x14ac:dyDescent="0.3">
      <c r="A137" s="160"/>
      <c r="B137" s="161"/>
      <c r="C137" s="161"/>
      <c r="D137" s="161"/>
      <c r="E137" s="162"/>
      <c r="F137" s="30" t="s">
        <v>35</v>
      </c>
      <c r="G137" s="31"/>
      <c r="H137" s="32"/>
      <c r="I137" s="36">
        <f>ROUND((SUM(I119:I136)),0)</f>
        <v>49074</v>
      </c>
    </row>
    <row r="138" spans="1:9" ht="16.5" x14ac:dyDescent="0.3">
      <c r="A138" s="59"/>
      <c r="B138" s="60"/>
      <c r="C138" s="60"/>
      <c r="D138" s="60"/>
      <c r="E138" s="60"/>
      <c r="F138" s="61"/>
      <c r="G138" s="62"/>
      <c r="H138" s="63"/>
      <c r="I138" s="64"/>
    </row>
    <row r="139" spans="1:9" ht="16.5" x14ac:dyDescent="0.3">
      <c r="A139" s="160"/>
      <c r="B139" s="161"/>
      <c r="C139" s="161"/>
      <c r="D139" s="161"/>
      <c r="E139" s="161"/>
      <c r="F139" s="161"/>
      <c r="G139" s="161"/>
      <c r="H139" s="161"/>
      <c r="I139" s="162"/>
    </row>
    <row r="140" spans="1:9" ht="16.5" x14ac:dyDescent="0.3">
      <c r="A140" s="10" t="s">
        <v>40</v>
      </c>
      <c r="B140" s="163" t="e">
        <f>'PRESUPUESTO_ESTUDIO MERCADO '!#REF!</f>
        <v>#REF!</v>
      </c>
      <c r="C140" s="164"/>
      <c r="D140" s="164"/>
      <c r="E140" s="164"/>
      <c r="F140" s="164"/>
      <c r="G140" s="164"/>
      <c r="H140" s="164"/>
      <c r="I140" s="165"/>
    </row>
    <row r="141" spans="1:9" ht="16.5" x14ac:dyDescent="0.3">
      <c r="A141" s="11" t="s">
        <v>122</v>
      </c>
      <c r="B141" s="166"/>
      <c r="C141" s="166"/>
      <c r="D141" s="166"/>
      <c r="E141" s="166"/>
      <c r="F141" s="166"/>
      <c r="G141" s="166"/>
      <c r="H141" s="12" t="s">
        <v>42</v>
      </c>
      <c r="I141" s="13" t="s">
        <v>111</v>
      </c>
    </row>
    <row r="142" spans="1:9" ht="16.5" x14ac:dyDescent="0.3">
      <c r="A142" s="167" t="s">
        <v>44</v>
      </c>
      <c r="B142" s="167"/>
      <c r="C142" s="167"/>
      <c r="D142" s="167"/>
      <c r="E142" s="167"/>
      <c r="F142" s="14" t="s">
        <v>9</v>
      </c>
      <c r="G142" s="14" t="s">
        <v>45</v>
      </c>
      <c r="H142" s="14" t="s">
        <v>46</v>
      </c>
      <c r="I142" s="15" t="s">
        <v>47</v>
      </c>
    </row>
    <row r="143" spans="1:9" x14ac:dyDescent="0.25">
      <c r="A143" s="159" t="s">
        <v>48</v>
      </c>
      <c r="B143" s="159"/>
      <c r="C143" s="159"/>
      <c r="D143" s="159"/>
      <c r="E143" s="159"/>
      <c r="F143" s="17"/>
      <c r="G143" s="17"/>
      <c r="H143" s="18"/>
      <c r="I143" s="19">
        <f>ROUND((SUM(I159:I160)*0.05),0)</f>
        <v>5289</v>
      </c>
    </row>
    <row r="144" spans="1:9" x14ac:dyDescent="0.25">
      <c r="A144" s="159"/>
      <c r="B144" s="159"/>
      <c r="C144" s="159"/>
      <c r="D144" s="159"/>
      <c r="E144" s="159"/>
      <c r="F144" s="17"/>
      <c r="G144" s="20"/>
      <c r="H144" s="21"/>
      <c r="I144" s="19"/>
    </row>
    <row r="145" spans="1:9" x14ac:dyDescent="0.25">
      <c r="A145" s="159"/>
      <c r="B145" s="159"/>
      <c r="C145" s="159"/>
      <c r="D145" s="159"/>
      <c r="E145" s="159"/>
      <c r="F145" s="23"/>
      <c r="G145" s="34"/>
      <c r="H145" s="34"/>
      <c r="I145" s="35"/>
    </row>
    <row r="146" spans="1:9" ht="16.5" x14ac:dyDescent="0.3">
      <c r="A146" s="167" t="s">
        <v>49</v>
      </c>
      <c r="B146" s="167"/>
      <c r="C146" s="167"/>
      <c r="D146" s="167"/>
      <c r="E146" s="167"/>
      <c r="F146" s="14" t="s">
        <v>50</v>
      </c>
      <c r="G146" s="22" t="s">
        <v>51</v>
      </c>
      <c r="H146" s="22" t="s">
        <v>52</v>
      </c>
      <c r="I146" s="15" t="s">
        <v>53</v>
      </c>
    </row>
    <row r="147" spans="1:9" x14ac:dyDescent="0.25">
      <c r="A147" s="159" t="str">
        <f>'A.P.A'!B2</f>
        <v>APA PREPARACION CONCRETO 3000PSI EN OBRA</v>
      </c>
      <c r="B147" s="159"/>
      <c r="C147" s="159"/>
      <c r="D147" s="159"/>
      <c r="E147" s="159"/>
      <c r="F147" s="23" t="s">
        <v>116</v>
      </c>
      <c r="G147" s="24">
        <f>'A.P.A'!I20</f>
        <v>538244</v>
      </c>
      <c r="H147" s="18">
        <v>1.05</v>
      </c>
      <c r="I147" s="24">
        <f>+H147*G147</f>
        <v>565156.20000000007</v>
      </c>
    </row>
    <row r="148" spans="1:9" x14ac:dyDescent="0.25">
      <c r="A148" s="159"/>
      <c r="B148" s="159"/>
      <c r="C148" s="159"/>
      <c r="D148" s="159"/>
      <c r="E148" s="159"/>
      <c r="F148" s="23"/>
      <c r="G148" s="24"/>
      <c r="H148" s="18"/>
      <c r="I148" s="24"/>
    </row>
    <row r="149" spans="1:9" x14ac:dyDescent="0.25">
      <c r="A149" s="159"/>
      <c r="B149" s="159"/>
      <c r="C149" s="159"/>
      <c r="D149" s="159"/>
      <c r="E149" s="159"/>
      <c r="F149" s="23"/>
      <c r="G149" s="18"/>
      <c r="H149" s="18"/>
      <c r="I149" s="24">
        <f>+H149*G149</f>
        <v>0</v>
      </c>
    </row>
    <row r="150" spans="1:9" x14ac:dyDescent="0.25">
      <c r="A150" s="159"/>
      <c r="B150" s="159"/>
      <c r="C150" s="159"/>
      <c r="D150" s="159"/>
      <c r="E150" s="159"/>
      <c r="F150" s="23"/>
      <c r="G150" s="18"/>
      <c r="H150" s="18"/>
      <c r="I150" s="24">
        <f t="shared" ref="I150:I154" si="5">+H150*G150</f>
        <v>0</v>
      </c>
    </row>
    <row r="151" spans="1:9" x14ac:dyDescent="0.25">
      <c r="A151" s="159"/>
      <c r="B151" s="159"/>
      <c r="C151" s="159"/>
      <c r="D151" s="159"/>
      <c r="E151" s="159"/>
      <c r="F151" s="23"/>
      <c r="G151" s="18"/>
      <c r="H151" s="18"/>
      <c r="I151" s="24">
        <f t="shared" si="5"/>
        <v>0</v>
      </c>
    </row>
    <row r="152" spans="1:9" x14ac:dyDescent="0.25">
      <c r="A152" s="159"/>
      <c r="B152" s="159"/>
      <c r="C152" s="159"/>
      <c r="D152" s="159"/>
      <c r="E152" s="159"/>
      <c r="F152" s="23"/>
      <c r="G152" s="18"/>
      <c r="H152" s="18"/>
      <c r="I152" s="24">
        <f t="shared" si="5"/>
        <v>0</v>
      </c>
    </row>
    <row r="153" spans="1:9" x14ac:dyDescent="0.25">
      <c r="A153" s="159"/>
      <c r="B153" s="159"/>
      <c r="C153" s="159"/>
      <c r="D153" s="159"/>
      <c r="E153" s="159"/>
      <c r="F153" s="23"/>
      <c r="G153" s="18"/>
      <c r="H153" s="18"/>
      <c r="I153" s="24">
        <f t="shared" si="5"/>
        <v>0</v>
      </c>
    </row>
    <row r="154" spans="1:9" x14ac:dyDescent="0.25">
      <c r="A154" s="159"/>
      <c r="B154" s="159"/>
      <c r="C154" s="159"/>
      <c r="D154" s="159"/>
      <c r="E154" s="159"/>
      <c r="F154" s="23"/>
      <c r="G154" s="18"/>
      <c r="H154" s="18"/>
      <c r="I154" s="24">
        <f t="shared" si="5"/>
        <v>0</v>
      </c>
    </row>
    <row r="155" spans="1:9" ht="16.5" x14ac:dyDescent="0.3">
      <c r="A155" s="167" t="s">
        <v>61</v>
      </c>
      <c r="B155" s="167"/>
      <c r="C155" s="167"/>
      <c r="D155" s="167"/>
      <c r="E155" s="25" t="s">
        <v>62</v>
      </c>
      <c r="F155" s="14" t="s">
        <v>63</v>
      </c>
      <c r="G155" s="14" t="s">
        <v>64</v>
      </c>
      <c r="H155" s="14" t="s">
        <v>65</v>
      </c>
      <c r="I155" s="15" t="s">
        <v>53</v>
      </c>
    </row>
    <row r="156" spans="1:9" x14ac:dyDescent="0.25">
      <c r="A156" s="159" t="s">
        <v>66</v>
      </c>
      <c r="B156" s="159"/>
      <c r="C156" s="159"/>
      <c r="D156" s="159"/>
      <c r="E156" s="26"/>
      <c r="F156" s="26">
        <v>6</v>
      </c>
      <c r="G156" s="26">
        <f>35000/F156</f>
        <v>5833.333333333333</v>
      </c>
      <c r="H156" s="26">
        <f>+G156*6</f>
        <v>35000</v>
      </c>
      <c r="I156" s="18">
        <f>+E156*G156</f>
        <v>0</v>
      </c>
    </row>
    <row r="157" spans="1:9" x14ac:dyDescent="0.25">
      <c r="A157" s="159" t="s">
        <v>67</v>
      </c>
      <c r="B157" s="159"/>
      <c r="C157" s="159"/>
      <c r="D157" s="159"/>
      <c r="E157" s="26"/>
      <c r="F157" s="26"/>
      <c r="G157" s="26"/>
      <c r="H157" s="26"/>
      <c r="I157" s="18">
        <f>+E157*G157</f>
        <v>0</v>
      </c>
    </row>
    <row r="158" spans="1:9" ht="16.5" x14ac:dyDescent="0.3">
      <c r="A158" s="167" t="s">
        <v>68</v>
      </c>
      <c r="B158" s="167"/>
      <c r="C158" s="167"/>
      <c r="D158" s="167"/>
      <c r="E158" s="14" t="s">
        <v>52</v>
      </c>
      <c r="F158" s="170" t="s">
        <v>69</v>
      </c>
      <c r="G158" s="171"/>
      <c r="H158" s="27" t="s">
        <v>46</v>
      </c>
      <c r="I158" s="28" t="s">
        <v>53</v>
      </c>
    </row>
    <row r="159" spans="1:9" x14ac:dyDescent="0.25">
      <c r="A159" s="168" t="str">
        <f>CUADRILLAS!B10</f>
        <v>CUADRILLA 5</v>
      </c>
      <c r="B159" s="168"/>
      <c r="C159" s="168"/>
      <c r="D159" s="168"/>
      <c r="E159" s="18">
        <v>1</v>
      </c>
      <c r="F159" s="177">
        <f>CUADRILLAS!D10</f>
        <v>476000</v>
      </c>
      <c r="G159" s="177"/>
      <c r="H159" s="21">
        <v>4.5</v>
      </c>
      <c r="I159" s="24">
        <f>+E159*F159/H159</f>
        <v>105777.77777777778</v>
      </c>
    </row>
    <row r="160" spans="1:9" x14ac:dyDescent="0.25">
      <c r="A160" s="168"/>
      <c r="B160" s="168"/>
      <c r="C160" s="168"/>
      <c r="D160" s="168"/>
      <c r="E160" s="18"/>
      <c r="F160" s="177"/>
      <c r="G160" s="177"/>
      <c r="H160" s="21"/>
      <c r="I160" s="24"/>
    </row>
    <row r="161" spans="1:13" ht="16.5" x14ac:dyDescent="0.3">
      <c r="A161" s="160"/>
      <c r="B161" s="161"/>
      <c r="C161" s="161"/>
      <c r="D161" s="161"/>
      <c r="E161" s="162"/>
      <c r="F161" s="30" t="s">
        <v>35</v>
      </c>
      <c r="G161" s="31"/>
      <c r="H161" s="32"/>
      <c r="I161" s="36">
        <f>ROUND((SUM(I143:I160)),0)</f>
        <v>676223</v>
      </c>
    </row>
    <row r="162" spans="1:13" ht="16.5" x14ac:dyDescent="0.3">
      <c r="A162" s="59"/>
      <c r="B162" s="60"/>
      <c r="C162" s="60"/>
      <c r="D162" s="60"/>
      <c r="E162" s="60"/>
      <c r="F162" s="61"/>
      <c r="G162" s="62"/>
      <c r="H162" s="63"/>
      <c r="I162" s="64"/>
    </row>
    <row r="163" spans="1:13" ht="16.5" x14ac:dyDescent="0.3">
      <c r="A163" s="160"/>
      <c r="B163" s="161"/>
      <c r="C163" s="161"/>
      <c r="D163" s="161"/>
      <c r="E163" s="161"/>
      <c r="F163" s="161"/>
      <c r="G163" s="161"/>
      <c r="H163" s="161"/>
      <c r="I163" s="162"/>
    </row>
    <row r="164" spans="1:13" ht="16.5" x14ac:dyDescent="0.3">
      <c r="A164" s="10" t="s">
        <v>40</v>
      </c>
      <c r="B164" s="163" t="str">
        <f>'PRESUPUESTO_ESTUDIO MERCADO '!B8</f>
        <v>Suministros y construccion de piso  de nivelacion en concreto 3000psi con e:0.04 según diseño, formaleta y demas elementos necesarios para su correcta construccion. Acabado allanado</v>
      </c>
      <c r="C164" s="164"/>
      <c r="D164" s="164"/>
      <c r="E164" s="164"/>
      <c r="F164" s="164"/>
      <c r="G164" s="164"/>
      <c r="H164" s="164"/>
      <c r="I164" s="165"/>
    </row>
    <row r="165" spans="1:13" ht="16.5" x14ac:dyDescent="0.3">
      <c r="A165" s="11" t="s">
        <v>123</v>
      </c>
      <c r="B165" s="166"/>
      <c r="C165" s="166"/>
      <c r="D165" s="166"/>
      <c r="E165" s="166"/>
      <c r="F165" s="166"/>
      <c r="G165" s="166"/>
      <c r="H165" s="12" t="s">
        <v>42</v>
      </c>
      <c r="I165" s="13" t="s">
        <v>20</v>
      </c>
    </row>
    <row r="166" spans="1:13" ht="16.5" x14ac:dyDescent="0.3">
      <c r="A166" s="167" t="s">
        <v>44</v>
      </c>
      <c r="B166" s="167"/>
      <c r="C166" s="167"/>
      <c r="D166" s="167"/>
      <c r="E166" s="167"/>
      <c r="F166" s="14" t="s">
        <v>9</v>
      </c>
      <c r="G166" s="14" t="s">
        <v>45</v>
      </c>
      <c r="H166" s="14" t="s">
        <v>46</v>
      </c>
      <c r="I166" s="15" t="s">
        <v>47</v>
      </c>
    </row>
    <row r="167" spans="1:13" x14ac:dyDescent="0.25">
      <c r="A167" s="159" t="s">
        <v>48</v>
      </c>
      <c r="B167" s="159"/>
      <c r="C167" s="159"/>
      <c r="D167" s="159"/>
      <c r="E167" s="159"/>
      <c r="F167" s="17"/>
      <c r="G167" s="17"/>
      <c r="H167" s="18"/>
      <c r="I167" s="19">
        <f>ROUND((SUM(I183:I184)*0.05),0)</f>
        <v>1587</v>
      </c>
    </row>
    <row r="168" spans="1:13" x14ac:dyDescent="0.25">
      <c r="A168" s="159"/>
      <c r="B168" s="159"/>
      <c r="C168" s="159"/>
      <c r="D168" s="159"/>
      <c r="E168" s="159"/>
      <c r="F168" s="17"/>
      <c r="G168" s="20"/>
      <c r="H168" s="21"/>
      <c r="I168" s="19"/>
    </row>
    <row r="169" spans="1:13" x14ac:dyDescent="0.25">
      <c r="A169" s="159"/>
      <c r="B169" s="159"/>
      <c r="C169" s="159"/>
      <c r="D169" s="159"/>
      <c r="E169" s="159"/>
      <c r="F169" s="23"/>
      <c r="G169" s="34"/>
      <c r="H169" s="34"/>
      <c r="I169" s="35"/>
    </row>
    <row r="170" spans="1:13" ht="16.5" x14ac:dyDescent="0.3">
      <c r="A170" s="167" t="s">
        <v>49</v>
      </c>
      <c r="B170" s="167"/>
      <c r="C170" s="167"/>
      <c r="D170" s="167"/>
      <c r="E170" s="167"/>
      <c r="F170" s="14" t="s">
        <v>50</v>
      </c>
      <c r="G170" s="22" t="s">
        <v>51</v>
      </c>
      <c r="H170" s="22" t="s">
        <v>52</v>
      </c>
      <c r="I170" s="15" t="s">
        <v>53</v>
      </c>
      <c r="M170">
        <f>96000/30</f>
        <v>3200</v>
      </c>
    </row>
    <row r="171" spans="1:13" x14ac:dyDescent="0.25">
      <c r="A171" s="159" t="str">
        <f>'A.P.A'!B2</f>
        <v>APA PREPARACION CONCRETO 3000PSI EN OBRA</v>
      </c>
      <c r="B171" s="159"/>
      <c r="C171" s="159"/>
      <c r="D171" s="159"/>
      <c r="E171" s="159"/>
      <c r="F171" s="23" t="s">
        <v>116</v>
      </c>
      <c r="G171" s="24">
        <f>'A.P.A'!I20</f>
        <v>538244</v>
      </c>
      <c r="H171" s="18">
        <v>0.05</v>
      </c>
      <c r="I171" s="24">
        <f>+H171*G171</f>
        <v>26912.2</v>
      </c>
    </row>
    <row r="172" spans="1:13" x14ac:dyDescent="0.25">
      <c r="A172" s="159"/>
      <c r="B172" s="159"/>
      <c r="C172" s="159"/>
      <c r="D172" s="159"/>
      <c r="E172" s="159"/>
      <c r="F172" s="23"/>
      <c r="G172" s="24"/>
      <c r="H172" s="18"/>
      <c r="I172" s="24"/>
    </row>
    <row r="173" spans="1:13" x14ac:dyDescent="0.25">
      <c r="A173" s="159"/>
      <c r="B173" s="159"/>
      <c r="C173" s="159"/>
      <c r="D173" s="159"/>
      <c r="E173" s="159"/>
      <c r="F173" s="23"/>
      <c r="G173" s="18"/>
      <c r="H173" s="18"/>
      <c r="I173" s="24"/>
      <c r="L173">
        <f>0.25*0.25*40</f>
        <v>2.5</v>
      </c>
    </row>
    <row r="174" spans="1:13" x14ac:dyDescent="0.25">
      <c r="A174" s="159"/>
      <c r="B174" s="159"/>
      <c r="C174" s="159"/>
      <c r="D174" s="159"/>
      <c r="E174" s="159"/>
      <c r="F174" s="23"/>
      <c r="G174" s="18"/>
      <c r="H174" s="18"/>
      <c r="I174" s="24">
        <f t="shared" ref="I174:I177" si="6">+H174*G174</f>
        <v>0</v>
      </c>
    </row>
    <row r="175" spans="1:13" x14ac:dyDescent="0.25">
      <c r="A175" s="159"/>
      <c r="B175" s="159"/>
      <c r="C175" s="159"/>
      <c r="D175" s="159"/>
      <c r="E175" s="159"/>
      <c r="F175" s="23"/>
      <c r="G175" s="18"/>
      <c r="H175" s="18"/>
      <c r="I175" s="24">
        <f t="shared" si="6"/>
        <v>0</v>
      </c>
    </row>
    <row r="176" spans="1:13" x14ac:dyDescent="0.25">
      <c r="A176" s="159"/>
      <c r="B176" s="159"/>
      <c r="C176" s="159"/>
      <c r="D176" s="159"/>
      <c r="E176" s="159"/>
      <c r="F176" s="23"/>
      <c r="G176" s="18"/>
      <c r="H176" s="18"/>
      <c r="I176" s="24">
        <f t="shared" si="6"/>
        <v>0</v>
      </c>
    </row>
    <row r="177" spans="1:9" x14ac:dyDescent="0.25">
      <c r="A177" s="159"/>
      <c r="B177" s="159"/>
      <c r="C177" s="159"/>
      <c r="D177" s="159"/>
      <c r="E177" s="159"/>
      <c r="F177" s="23"/>
      <c r="G177" s="18"/>
      <c r="H177" s="18"/>
      <c r="I177" s="24">
        <f t="shared" si="6"/>
        <v>0</v>
      </c>
    </row>
    <row r="178" spans="1:9" x14ac:dyDescent="0.25">
      <c r="A178" s="159"/>
      <c r="B178" s="159"/>
      <c r="C178" s="159"/>
      <c r="D178" s="159"/>
      <c r="E178" s="159"/>
      <c r="F178" s="23"/>
      <c r="G178" s="18"/>
      <c r="H178" s="18"/>
      <c r="I178" s="24">
        <f>+H178*G178</f>
        <v>0</v>
      </c>
    </row>
    <row r="179" spans="1:9" ht="16.5" x14ac:dyDescent="0.3">
      <c r="A179" s="167" t="s">
        <v>61</v>
      </c>
      <c r="B179" s="167"/>
      <c r="C179" s="167"/>
      <c r="D179" s="167"/>
      <c r="E179" s="25" t="s">
        <v>62</v>
      </c>
      <c r="F179" s="14" t="s">
        <v>63</v>
      </c>
      <c r="G179" s="14" t="s">
        <v>64</v>
      </c>
      <c r="H179" s="14" t="s">
        <v>65</v>
      </c>
      <c r="I179" s="15" t="s">
        <v>53</v>
      </c>
    </row>
    <row r="180" spans="1:9" x14ac:dyDescent="0.25">
      <c r="A180" s="159" t="s">
        <v>66</v>
      </c>
      <c r="B180" s="159"/>
      <c r="C180" s="159"/>
      <c r="D180" s="159"/>
      <c r="E180" s="26"/>
      <c r="F180" s="26">
        <v>6</v>
      </c>
      <c r="G180" s="26">
        <f>50000/F180</f>
        <v>8333.3333333333339</v>
      </c>
      <c r="H180" s="26">
        <f>+G180*6</f>
        <v>50000</v>
      </c>
      <c r="I180" s="18">
        <f>+E180*G180</f>
        <v>0</v>
      </c>
    </row>
    <row r="181" spans="1:9" x14ac:dyDescent="0.25">
      <c r="A181" s="159" t="s">
        <v>67</v>
      </c>
      <c r="B181" s="159"/>
      <c r="C181" s="159"/>
      <c r="D181" s="159"/>
      <c r="E181" s="26"/>
      <c r="F181" s="26"/>
      <c r="G181" s="26"/>
      <c r="H181" s="26"/>
      <c r="I181" s="18">
        <f>+E181*G181</f>
        <v>0</v>
      </c>
    </row>
    <row r="182" spans="1:9" ht="16.5" x14ac:dyDescent="0.3">
      <c r="A182" s="167" t="s">
        <v>68</v>
      </c>
      <c r="B182" s="167"/>
      <c r="C182" s="167"/>
      <c r="D182" s="167"/>
      <c r="E182" s="14" t="s">
        <v>52</v>
      </c>
      <c r="F182" s="170" t="s">
        <v>69</v>
      </c>
      <c r="G182" s="171"/>
      <c r="H182" s="27" t="s">
        <v>46</v>
      </c>
      <c r="I182" s="28" t="s">
        <v>53</v>
      </c>
    </row>
    <row r="183" spans="1:9" x14ac:dyDescent="0.25">
      <c r="A183" s="168" t="str">
        <f>CUADRILLAS!B10</f>
        <v>CUADRILLA 5</v>
      </c>
      <c r="B183" s="168"/>
      <c r="C183" s="168"/>
      <c r="D183" s="168"/>
      <c r="E183" s="18">
        <v>1</v>
      </c>
      <c r="F183" s="177">
        <f>CUADRILLAS!D10</f>
        <v>476000</v>
      </c>
      <c r="G183" s="177"/>
      <c r="H183" s="21">
        <v>15</v>
      </c>
      <c r="I183" s="24">
        <f>+E183*F183/H183</f>
        <v>31733.333333333332</v>
      </c>
    </row>
    <row r="184" spans="1:9" x14ac:dyDescent="0.25">
      <c r="A184" s="168"/>
      <c r="B184" s="168"/>
      <c r="C184" s="168"/>
      <c r="D184" s="168"/>
      <c r="E184" s="18"/>
      <c r="F184" s="177"/>
      <c r="G184" s="177"/>
      <c r="H184" s="21"/>
      <c r="I184" s="24"/>
    </row>
    <row r="185" spans="1:9" ht="16.5" x14ac:dyDescent="0.3">
      <c r="A185" s="160"/>
      <c r="B185" s="161"/>
      <c r="C185" s="161"/>
      <c r="D185" s="161"/>
      <c r="E185" s="162"/>
      <c r="F185" s="30" t="s">
        <v>35</v>
      </c>
      <c r="G185" s="31"/>
      <c r="H185" s="32"/>
      <c r="I185" s="36">
        <f>ROUND((SUM(I167:I184)),0)</f>
        <v>60233</v>
      </c>
    </row>
    <row r="186" spans="1:9" ht="16.5" x14ac:dyDescent="0.3">
      <c r="A186" s="59"/>
      <c r="B186" s="60"/>
      <c r="C186" s="60"/>
      <c r="D186" s="60"/>
      <c r="E186" s="60"/>
      <c r="F186" s="61"/>
      <c r="G186" s="62"/>
      <c r="H186" s="63"/>
      <c r="I186" s="64"/>
    </row>
    <row r="187" spans="1:9" ht="16.5" x14ac:dyDescent="0.3">
      <c r="A187" s="10" t="s">
        <v>40</v>
      </c>
      <c r="B187" s="163" t="e">
        <f>'PRESUPUESTO_ESTUDIO MERCADO '!#REF!</f>
        <v>#REF!</v>
      </c>
      <c r="C187" s="164"/>
      <c r="D187" s="164"/>
      <c r="E187" s="164"/>
      <c r="F187" s="164"/>
      <c r="G187" s="164"/>
      <c r="H187" s="164"/>
      <c r="I187" s="165"/>
    </row>
    <row r="188" spans="1:9" ht="16.5" x14ac:dyDescent="0.3">
      <c r="A188" s="11" t="s">
        <v>124</v>
      </c>
      <c r="B188" s="166"/>
      <c r="C188" s="166"/>
      <c r="D188" s="166"/>
      <c r="E188" s="166"/>
      <c r="F188" s="166"/>
      <c r="G188" s="166"/>
      <c r="H188" s="12" t="s">
        <v>42</v>
      </c>
      <c r="I188" s="13" t="s">
        <v>111</v>
      </c>
    </row>
    <row r="189" spans="1:9" ht="16.5" x14ac:dyDescent="0.3">
      <c r="A189" s="167" t="s">
        <v>44</v>
      </c>
      <c r="B189" s="167"/>
      <c r="C189" s="167"/>
      <c r="D189" s="167"/>
      <c r="E189" s="167"/>
      <c r="F189" s="14" t="s">
        <v>9</v>
      </c>
      <c r="G189" s="14" t="s">
        <v>45</v>
      </c>
      <c r="H189" s="14" t="s">
        <v>46</v>
      </c>
      <c r="I189" s="15" t="s">
        <v>47</v>
      </c>
    </row>
    <row r="190" spans="1:9" x14ac:dyDescent="0.25">
      <c r="A190" s="159" t="s">
        <v>48</v>
      </c>
      <c r="B190" s="159"/>
      <c r="C190" s="159"/>
      <c r="D190" s="159"/>
      <c r="E190" s="159"/>
      <c r="F190" s="17"/>
      <c r="G190" s="17"/>
      <c r="H190" s="18"/>
      <c r="I190" s="19">
        <f>ROUND((SUM(I206:I207)*0.05),0)</f>
        <v>14167</v>
      </c>
    </row>
    <row r="191" spans="1:9" x14ac:dyDescent="0.25">
      <c r="A191" s="159" t="s">
        <v>125</v>
      </c>
      <c r="B191" s="159"/>
      <c r="C191" s="159"/>
      <c r="D191" s="159"/>
      <c r="E191" s="159"/>
      <c r="F191" s="17">
        <v>1</v>
      </c>
      <c r="G191" s="20">
        <v>0</v>
      </c>
      <c r="H191" s="21">
        <f>+H206</f>
        <v>1.5</v>
      </c>
      <c r="I191" s="19">
        <f>+F191*G191/H191</f>
        <v>0</v>
      </c>
    </row>
    <row r="192" spans="1:9" x14ac:dyDescent="0.25">
      <c r="A192" s="159" t="s">
        <v>126</v>
      </c>
      <c r="B192" s="159"/>
      <c r="C192" s="159"/>
      <c r="D192" s="159"/>
      <c r="E192" s="159"/>
      <c r="F192" s="17">
        <v>3</v>
      </c>
      <c r="G192" s="17">
        <v>30000</v>
      </c>
      <c r="H192" s="21">
        <f>+H191</f>
        <v>1.5</v>
      </c>
      <c r="I192" s="19">
        <f>+F192*G192/H192</f>
        <v>60000</v>
      </c>
    </row>
    <row r="193" spans="1:9" ht="16.5" x14ac:dyDescent="0.3">
      <c r="A193" s="167" t="s">
        <v>49</v>
      </c>
      <c r="B193" s="167"/>
      <c r="C193" s="167"/>
      <c r="D193" s="167"/>
      <c r="E193" s="167"/>
      <c r="F193" s="14" t="s">
        <v>50</v>
      </c>
      <c r="G193" s="22" t="s">
        <v>51</v>
      </c>
      <c r="H193" s="22" t="s">
        <v>52</v>
      </c>
      <c r="I193" s="15" t="s">
        <v>53</v>
      </c>
    </row>
    <row r="194" spans="1:9" x14ac:dyDescent="0.25">
      <c r="A194" s="159" t="str">
        <f>'A.P.A'!B2</f>
        <v>APA PREPARACION CONCRETO 3000PSI EN OBRA</v>
      </c>
      <c r="B194" s="159"/>
      <c r="C194" s="159"/>
      <c r="D194" s="159"/>
      <c r="E194" s="159"/>
      <c r="F194" s="23" t="s">
        <v>116</v>
      </c>
      <c r="G194" s="24">
        <f>'A.P.A'!I20</f>
        <v>538244</v>
      </c>
      <c r="H194" s="18">
        <v>1</v>
      </c>
      <c r="I194" s="24">
        <f>+H194*G194</f>
        <v>538244</v>
      </c>
    </row>
    <row r="195" spans="1:9" x14ac:dyDescent="0.25">
      <c r="A195" s="159"/>
      <c r="B195" s="159"/>
      <c r="C195" s="159"/>
      <c r="D195" s="159"/>
      <c r="E195" s="159"/>
      <c r="F195" s="23"/>
      <c r="G195" s="24"/>
      <c r="H195" s="18"/>
      <c r="I195" s="24"/>
    </row>
    <row r="196" spans="1:9" x14ac:dyDescent="0.25">
      <c r="A196" s="159"/>
      <c r="B196" s="159"/>
      <c r="C196" s="159"/>
      <c r="D196" s="159"/>
      <c r="E196" s="159"/>
      <c r="F196" s="23"/>
      <c r="G196" s="18"/>
      <c r="H196" s="18"/>
      <c r="I196" s="24">
        <f>+H196*G196</f>
        <v>0</v>
      </c>
    </row>
    <row r="197" spans="1:9" x14ac:dyDescent="0.25">
      <c r="A197" s="159"/>
      <c r="B197" s="159"/>
      <c r="C197" s="159"/>
      <c r="D197" s="159"/>
      <c r="E197" s="159"/>
      <c r="F197" s="23"/>
      <c r="G197" s="18"/>
      <c r="H197" s="18"/>
      <c r="I197" s="24">
        <f t="shared" ref="I197:I201" si="7">+H197*G197</f>
        <v>0</v>
      </c>
    </row>
    <row r="198" spans="1:9" x14ac:dyDescent="0.25">
      <c r="A198" s="159"/>
      <c r="B198" s="159"/>
      <c r="C198" s="159"/>
      <c r="D198" s="159"/>
      <c r="E198" s="159"/>
      <c r="F198" s="23"/>
      <c r="G198" s="18"/>
      <c r="H198" s="18"/>
      <c r="I198" s="24">
        <f t="shared" si="7"/>
        <v>0</v>
      </c>
    </row>
    <row r="199" spans="1:9" x14ac:dyDescent="0.25">
      <c r="A199" s="159"/>
      <c r="B199" s="159"/>
      <c r="C199" s="159"/>
      <c r="D199" s="159"/>
      <c r="E199" s="159"/>
      <c r="F199" s="23"/>
      <c r="G199" s="18"/>
      <c r="H199" s="18"/>
      <c r="I199" s="24">
        <f t="shared" si="7"/>
        <v>0</v>
      </c>
    </row>
    <row r="200" spans="1:9" x14ac:dyDescent="0.25">
      <c r="A200" s="159"/>
      <c r="B200" s="159"/>
      <c r="C200" s="159"/>
      <c r="D200" s="159"/>
      <c r="E200" s="159"/>
      <c r="F200" s="23"/>
      <c r="G200" s="18"/>
      <c r="H200" s="18"/>
      <c r="I200" s="24">
        <f t="shared" si="7"/>
        <v>0</v>
      </c>
    </row>
    <row r="201" spans="1:9" x14ac:dyDescent="0.25">
      <c r="A201" s="159"/>
      <c r="B201" s="159"/>
      <c r="C201" s="159"/>
      <c r="D201" s="159"/>
      <c r="E201" s="159"/>
      <c r="F201" s="23"/>
      <c r="G201" s="18"/>
      <c r="H201" s="18"/>
      <c r="I201" s="24">
        <f t="shared" si="7"/>
        <v>0</v>
      </c>
    </row>
    <row r="202" spans="1:9" ht="16.5" x14ac:dyDescent="0.3">
      <c r="A202" s="167" t="s">
        <v>61</v>
      </c>
      <c r="B202" s="167"/>
      <c r="C202" s="167"/>
      <c r="D202" s="167"/>
      <c r="E202" s="25" t="s">
        <v>62</v>
      </c>
      <c r="F202" s="14" t="s">
        <v>63</v>
      </c>
      <c r="G202" s="14" t="s">
        <v>64</v>
      </c>
      <c r="H202" s="14" t="s">
        <v>65</v>
      </c>
      <c r="I202" s="15" t="s">
        <v>53</v>
      </c>
    </row>
    <row r="203" spans="1:9" x14ac:dyDescent="0.25">
      <c r="A203" s="159" t="s">
        <v>112</v>
      </c>
      <c r="B203" s="159"/>
      <c r="C203" s="159"/>
      <c r="D203" s="159"/>
      <c r="E203" s="26"/>
      <c r="F203" s="26">
        <v>6</v>
      </c>
      <c r="G203" s="26">
        <f>35000/F203</f>
        <v>5833.333333333333</v>
      </c>
      <c r="H203" s="26">
        <f>+G203*6</f>
        <v>35000</v>
      </c>
      <c r="I203" s="18">
        <f>+E203*G203</f>
        <v>0</v>
      </c>
    </row>
    <row r="204" spans="1:9" x14ac:dyDescent="0.25">
      <c r="A204" s="159" t="s">
        <v>67</v>
      </c>
      <c r="B204" s="159"/>
      <c r="C204" s="159"/>
      <c r="D204" s="159"/>
      <c r="E204" s="26"/>
      <c r="F204" s="26"/>
      <c r="G204" s="26"/>
      <c r="H204" s="26"/>
      <c r="I204" s="18">
        <f>+E204*G204</f>
        <v>0</v>
      </c>
    </row>
    <row r="205" spans="1:9" ht="16.5" x14ac:dyDescent="0.3">
      <c r="A205" s="167" t="s">
        <v>68</v>
      </c>
      <c r="B205" s="167"/>
      <c r="C205" s="167"/>
      <c r="D205" s="167"/>
      <c r="E205" s="14" t="s">
        <v>52</v>
      </c>
      <c r="F205" s="170" t="s">
        <v>69</v>
      </c>
      <c r="G205" s="171"/>
      <c r="H205" s="27" t="s">
        <v>46</v>
      </c>
      <c r="I205" s="28" t="s">
        <v>53</v>
      </c>
    </row>
    <row r="206" spans="1:9" x14ac:dyDescent="0.25">
      <c r="A206" s="168" t="str">
        <f>CUADRILLAS!B13</f>
        <v>CUADRILLA 8</v>
      </c>
      <c r="B206" s="168"/>
      <c r="C206" s="168"/>
      <c r="D206" s="168"/>
      <c r="E206" s="18">
        <v>1</v>
      </c>
      <c r="F206" s="177">
        <f>CUADRILLAS!D13</f>
        <v>425000</v>
      </c>
      <c r="G206" s="177"/>
      <c r="H206" s="21">
        <v>1.5</v>
      </c>
      <c r="I206" s="24">
        <f>+(E206*F206)/H206</f>
        <v>283333.33333333331</v>
      </c>
    </row>
    <row r="207" spans="1:9" x14ac:dyDescent="0.25">
      <c r="A207" s="168"/>
      <c r="B207" s="168"/>
      <c r="C207" s="168"/>
      <c r="D207" s="168"/>
      <c r="E207" s="18"/>
      <c r="F207" s="177"/>
      <c r="G207" s="177"/>
      <c r="H207" s="18"/>
      <c r="I207" s="24"/>
    </row>
    <row r="208" spans="1:9" ht="16.5" x14ac:dyDescent="0.3">
      <c r="A208" s="160"/>
      <c r="B208" s="161"/>
      <c r="C208" s="161"/>
      <c r="D208" s="161"/>
      <c r="E208" s="162"/>
      <c r="F208" s="30" t="s">
        <v>35</v>
      </c>
      <c r="G208" s="31"/>
      <c r="H208" s="32"/>
      <c r="I208" s="33">
        <f>ROUND((SUM(I190:I207)),0)</f>
        <v>895744</v>
      </c>
    </row>
    <row r="209" spans="1:9" ht="16.5" x14ac:dyDescent="0.3">
      <c r="A209" s="184"/>
      <c r="B209" s="185"/>
      <c r="C209" s="185"/>
      <c r="D209" s="185"/>
      <c r="E209" s="185"/>
      <c r="F209" s="185"/>
      <c r="G209" s="185"/>
      <c r="H209" s="185"/>
      <c r="I209" s="186"/>
    </row>
    <row r="210" spans="1:9" ht="16.5" x14ac:dyDescent="0.3">
      <c r="A210" s="10" t="s">
        <v>40</v>
      </c>
      <c r="B210" s="163" t="e">
        <f>'PRESUPUESTO_ESTUDIO MERCADO '!#REF!</f>
        <v>#REF!</v>
      </c>
      <c r="C210" s="164"/>
      <c r="D210" s="164"/>
      <c r="E210" s="164"/>
      <c r="F210" s="164"/>
      <c r="G210" s="164"/>
      <c r="H210" s="164"/>
      <c r="I210" s="165"/>
    </row>
    <row r="211" spans="1:9" ht="16.5" x14ac:dyDescent="0.3">
      <c r="A211" s="11" t="s">
        <v>127</v>
      </c>
      <c r="B211" s="166"/>
      <c r="C211" s="166"/>
      <c r="D211" s="166"/>
      <c r="E211" s="166"/>
      <c r="F211" s="166"/>
      <c r="G211" s="166"/>
      <c r="H211" s="12" t="s">
        <v>42</v>
      </c>
      <c r="I211" s="13" t="s">
        <v>111</v>
      </c>
    </row>
    <row r="212" spans="1:9" ht="16.5" x14ac:dyDescent="0.3">
      <c r="A212" s="167" t="s">
        <v>44</v>
      </c>
      <c r="B212" s="167"/>
      <c r="C212" s="167"/>
      <c r="D212" s="167"/>
      <c r="E212" s="167"/>
      <c r="F212" s="14" t="s">
        <v>9</v>
      </c>
      <c r="G212" s="14" t="s">
        <v>45</v>
      </c>
      <c r="H212" s="14" t="s">
        <v>46</v>
      </c>
      <c r="I212" s="15" t="s">
        <v>47</v>
      </c>
    </row>
    <row r="213" spans="1:9" x14ac:dyDescent="0.25">
      <c r="A213" s="159" t="s">
        <v>48</v>
      </c>
      <c r="B213" s="159"/>
      <c r="C213" s="159"/>
      <c r="D213" s="159"/>
      <c r="E213" s="159"/>
      <c r="F213" s="17"/>
      <c r="G213" s="17"/>
      <c r="H213" s="18"/>
      <c r="I213" s="19">
        <f>ROUND((SUM(I229:I230)*0.05),0)</f>
        <v>2479</v>
      </c>
    </row>
    <row r="214" spans="1:9" x14ac:dyDescent="0.25">
      <c r="A214" s="159" t="s">
        <v>125</v>
      </c>
      <c r="B214" s="159"/>
      <c r="C214" s="159"/>
      <c r="D214" s="159"/>
      <c r="E214" s="159"/>
      <c r="F214" s="17">
        <v>1</v>
      </c>
      <c r="G214" s="20">
        <v>60000</v>
      </c>
      <c r="H214" s="21">
        <f>+H229</f>
        <v>12</v>
      </c>
      <c r="I214" s="19">
        <f>+F214*G214/H214</f>
        <v>5000</v>
      </c>
    </row>
    <row r="215" spans="1:9" x14ac:dyDescent="0.25">
      <c r="A215" s="159"/>
      <c r="B215" s="159"/>
      <c r="C215" s="159"/>
      <c r="D215" s="159"/>
      <c r="E215" s="159"/>
      <c r="F215" s="17"/>
      <c r="G215" s="17"/>
      <c r="H215" s="21"/>
      <c r="I215" s="19"/>
    </row>
    <row r="216" spans="1:9" ht="16.5" x14ac:dyDescent="0.3">
      <c r="A216" s="167" t="s">
        <v>49</v>
      </c>
      <c r="B216" s="167"/>
      <c r="C216" s="167"/>
      <c r="D216" s="167"/>
      <c r="E216" s="167"/>
      <c r="F216" s="14" t="s">
        <v>50</v>
      </c>
      <c r="G216" s="22" t="s">
        <v>51</v>
      </c>
      <c r="H216" s="22" t="s">
        <v>52</v>
      </c>
      <c r="I216" s="15" t="s">
        <v>53</v>
      </c>
    </row>
    <row r="217" spans="1:9" x14ac:dyDescent="0.25">
      <c r="A217" s="159" t="str">
        <f>'A.P.A'!B2</f>
        <v>APA PREPARACION CONCRETO 3000PSI EN OBRA</v>
      </c>
      <c r="B217" s="159"/>
      <c r="C217" s="159"/>
      <c r="D217" s="159"/>
      <c r="E217" s="159"/>
      <c r="F217" s="23" t="s">
        <v>116</v>
      </c>
      <c r="G217" s="24">
        <f>'A.P.A'!I20</f>
        <v>538244</v>
      </c>
      <c r="H217" s="18">
        <v>1.05</v>
      </c>
      <c r="I217" s="24">
        <f>+H217*G217</f>
        <v>565156.20000000007</v>
      </c>
    </row>
    <row r="218" spans="1:9" x14ac:dyDescent="0.25">
      <c r="A218" s="159" t="s">
        <v>128</v>
      </c>
      <c r="B218" s="159"/>
      <c r="C218" s="159"/>
      <c r="D218" s="159"/>
      <c r="E218" s="159"/>
      <c r="F218" s="23" t="s">
        <v>80</v>
      </c>
      <c r="G218" s="24">
        <v>6000</v>
      </c>
      <c r="H218" s="18">
        <v>7.0000000000000007E-2</v>
      </c>
      <c r="I218" s="24">
        <f>+H218*G218</f>
        <v>420.00000000000006</v>
      </c>
    </row>
    <row r="219" spans="1:9" x14ac:dyDescent="0.25">
      <c r="A219" s="159" t="s">
        <v>129</v>
      </c>
      <c r="B219" s="159"/>
      <c r="C219" s="159"/>
      <c r="D219" s="159"/>
      <c r="E219" s="159"/>
      <c r="F219" s="23" t="s">
        <v>80</v>
      </c>
      <c r="G219" s="18">
        <v>7000</v>
      </c>
      <c r="H219" s="18">
        <v>0.75</v>
      </c>
      <c r="I219" s="24">
        <f>+H219*G219</f>
        <v>5250</v>
      </c>
    </row>
    <row r="220" spans="1:9" x14ac:dyDescent="0.25">
      <c r="A220" s="159" t="s">
        <v>130</v>
      </c>
      <c r="B220" s="159"/>
      <c r="C220" s="159"/>
      <c r="D220" s="159"/>
      <c r="E220" s="159"/>
      <c r="F220" s="23" t="s">
        <v>131</v>
      </c>
      <c r="G220" s="18">
        <v>800</v>
      </c>
      <c r="H220" s="18">
        <v>2.9</v>
      </c>
      <c r="I220" s="24">
        <f>+G220*H220</f>
        <v>2320</v>
      </c>
    </row>
    <row r="221" spans="1:9" x14ac:dyDescent="0.25">
      <c r="A221" s="159" t="s">
        <v>132</v>
      </c>
      <c r="B221" s="159"/>
      <c r="C221" s="159"/>
      <c r="D221" s="159"/>
      <c r="E221" s="159"/>
      <c r="F221" s="23" t="s">
        <v>131</v>
      </c>
      <c r="G221" s="18">
        <v>800</v>
      </c>
      <c r="H221" s="18">
        <v>5</v>
      </c>
      <c r="I221" s="24">
        <f t="shared" ref="I221:I224" si="8">+G221*H221</f>
        <v>4000</v>
      </c>
    </row>
    <row r="222" spans="1:9" x14ac:dyDescent="0.25">
      <c r="A222" s="159" t="s">
        <v>133</v>
      </c>
      <c r="B222" s="159"/>
      <c r="C222" s="159"/>
      <c r="D222" s="159"/>
      <c r="E222" s="159"/>
      <c r="F222" s="23" t="s">
        <v>131</v>
      </c>
      <c r="G222" s="18">
        <v>800</v>
      </c>
      <c r="H222" s="18">
        <v>7.2</v>
      </c>
      <c r="I222" s="24">
        <f t="shared" si="8"/>
        <v>5760</v>
      </c>
    </row>
    <row r="223" spans="1:9" x14ac:dyDescent="0.25">
      <c r="A223" s="159" t="s">
        <v>134</v>
      </c>
      <c r="B223" s="159"/>
      <c r="C223" s="159"/>
      <c r="D223" s="159"/>
      <c r="E223" s="159"/>
      <c r="F223" s="23" t="s">
        <v>131</v>
      </c>
      <c r="G223" s="18">
        <v>1000</v>
      </c>
      <c r="H223" s="18">
        <v>2.8</v>
      </c>
      <c r="I223" s="24">
        <f t="shared" si="8"/>
        <v>2800</v>
      </c>
    </row>
    <row r="224" spans="1:9" x14ac:dyDescent="0.25">
      <c r="A224" s="159" t="s">
        <v>135</v>
      </c>
      <c r="B224" s="159"/>
      <c r="C224" s="159"/>
      <c r="D224" s="159"/>
      <c r="E224" s="159"/>
      <c r="F224" s="23" t="s">
        <v>131</v>
      </c>
      <c r="G224" s="18">
        <v>1000</v>
      </c>
      <c r="H224" s="18">
        <v>2.5</v>
      </c>
      <c r="I224" s="24">
        <f t="shared" si="8"/>
        <v>2500</v>
      </c>
    </row>
    <row r="225" spans="1:9" ht="16.5" x14ac:dyDescent="0.3">
      <c r="A225" s="167" t="s">
        <v>61</v>
      </c>
      <c r="B225" s="167"/>
      <c r="C225" s="167"/>
      <c r="D225" s="167"/>
      <c r="E225" s="25" t="s">
        <v>62</v>
      </c>
      <c r="F225" s="14" t="s">
        <v>63</v>
      </c>
      <c r="G225" s="14" t="s">
        <v>64</v>
      </c>
      <c r="H225" s="14" t="s">
        <v>65</v>
      </c>
      <c r="I225" s="15" t="s">
        <v>53</v>
      </c>
    </row>
    <row r="226" spans="1:9" x14ac:dyDescent="0.25">
      <c r="A226" s="159" t="s">
        <v>112</v>
      </c>
      <c r="B226" s="159"/>
      <c r="C226" s="159"/>
      <c r="D226" s="159"/>
      <c r="E226" s="26"/>
      <c r="F226" s="26">
        <v>6</v>
      </c>
      <c r="G226" s="26">
        <f>35000/F226</f>
        <v>5833.333333333333</v>
      </c>
      <c r="H226" s="26">
        <f>+G226*6</f>
        <v>35000</v>
      </c>
      <c r="I226" s="18">
        <f>+E226*G226</f>
        <v>0</v>
      </c>
    </row>
    <row r="227" spans="1:9" x14ac:dyDescent="0.25">
      <c r="A227" s="159" t="s">
        <v>67</v>
      </c>
      <c r="B227" s="159"/>
      <c r="C227" s="159"/>
      <c r="D227" s="159"/>
      <c r="E227" s="26"/>
      <c r="F227" s="26"/>
      <c r="G227" s="26"/>
      <c r="H227" s="26"/>
      <c r="I227" s="18">
        <f>+E227*G227</f>
        <v>0</v>
      </c>
    </row>
    <row r="228" spans="1:9" ht="16.5" x14ac:dyDescent="0.3">
      <c r="A228" s="167" t="s">
        <v>68</v>
      </c>
      <c r="B228" s="167"/>
      <c r="C228" s="167"/>
      <c r="D228" s="167"/>
      <c r="E228" s="14" t="s">
        <v>52</v>
      </c>
      <c r="F228" s="170" t="s">
        <v>69</v>
      </c>
      <c r="G228" s="171"/>
      <c r="H228" s="27" t="s">
        <v>46</v>
      </c>
      <c r="I228" s="28" t="s">
        <v>53</v>
      </c>
    </row>
    <row r="229" spans="1:9" x14ac:dyDescent="0.25">
      <c r="A229" s="168" t="str">
        <f>CUADRILLAS!B11</f>
        <v>CUADRILLA 6</v>
      </c>
      <c r="B229" s="168"/>
      <c r="C229" s="168"/>
      <c r="D229" s="168"/>
      <c r="E229" s="18">
        <v>1</v>
      </c>
      <c r="F229" s="177">
        <f>CUADRILLAS!D11</f>
        <v>595000</v>
      </c>
      <c r="G229" s="177"/>
      <c r="H229" s="21">
        <v>12</v>
      </c>
      <c r="I229" s="24">
        <f>+(E229*F229)/H229</f>
        <v>49583.333333333336</v>
      </c>
    </row>
    <row r="230" spans="1:9" x14ac:dyDescent="0.25">
      <c r="A230" s="168"/>
      <c r="B230" s="168"/>
      <c r="C230" s="168"/>
      <c r="D230" s="168"/>
      <c r="E230" s="18"/>
      <c r="F230" s="177"/>
      <c r="G230" s="177"/>
      <c r="H230" s="18"/>
      <c r="I230" s="24"/>
    </row>
    <row r="231" spans="1:9" ht="16.5" x14ac:dyDescent="0.3">
      <c r="A231" s="160"/>
      <c r="B231" s="161"/>
      <c r="C231" s="161"/>
      <c r="D231" s="161"/>
      <c r="E231" s="162"/>
      <c r="F231" s="30" t="s">
        <v>35</v>
      </c>
      <c r="G231" s="31"/>
      <c r="H231" s="32"/>
      <c r="I231" s="33">
        <f>ROUND((SUM(I213:I230)),0)</f>
        <v>645269</v>
      </c>
    </row>
    <row r="232" spans="1:9" x14ac:dyDescent="0.25">
      <c r="A232" s="65"/>
      <c r="B232" s="65"/>
      <c r="C232" s="65"/>
      <c r="D232" s="65"/>
      <c r="E232" s="65"/>
      <c r="F232" s="65"/>
      <c r="G232" s="65"/>
      <c r="H232" s="65"/>
      <c r="I232" s="65"/>
    </row>
    <row r="233" spans="1:9" ht="16.5" x14ac:dyDescent="0.3">
      <c r="A233" s="10" t="s">
        <v>40</v>
      </c>
      <c r="B233" s="163" t="e">
        <f>'PRESUPUESTO_ESTUDIO MERCADO '!#REF!</f>
        <v>#REF!</v>
      </c>
      <c r="C233" s="164"/>
      <c r="D233" s="164"/>
      <c r="E233" s="164"/>
      <c r="F233" s="164"/>
      <c r="G233" s="164"/>
      <c r="H233" s="164"/>
      <c r="I233" s="165"/>
    </row>
    <row r="234" spans="1:9" ht="16.5" x14ac:dyDescent="0.3">
      <c r="A234" s="11" t="s">
        <v>127</v>
      </c>
      <c r="B234" s="166"/>
      <c r="C234" s="166"/>
      <c r="D234" s="166"/>
      <c r="E234" s="166"/>
      <c r="F234" s="166"/>
      <c r="G234" s="166"/>
      <c r="H234" s="12" t="s">
        <v>42</v>
      </c>
      <c r="I234" s="13" t="s">
        <v>111</v>
      </c>
    </row>
    <row r="235" spans="1:9" ht="16.5" x14ac:dyDescent="0.3">
      <c r="A235" s="167" t="s">
        <v>44</v>
      </c>
      <c r="B235" s="167"/>
      <c r="C235" s="167"/>
      <c r="D235" s="167"/>
      <c r="E235" s="167"/>
      <c r="F235" s="14" t="s">
        <v>9</v>
      </c>
      <c r="G235" s="14" t="s">
        <v>45</v>
      </c>
      <c r="H235" s="14" t="s">
        <v>46</v>
      </c>
      <c r="I235" s="15" t="s">
        <v>47</v>
      </c>
    </row>
    <row r="236" spans="1:9" x14ac:dyDescent="0.25">
      <c r="A236" s="159" t="s">
        <v>48</v>
      </c>
      <c r="B236" s="159"/>
      <c r="C236" s="159"/>
      <c r="D236" s="159"/>
      <c r="E236" s="159"/>
      <c r="F236" s="17"/>
      <c r="G236" s="17"/>
      <c r="H236" s="18"/>
      <c r="I236" s="19">
        <f>ROUND((SUM(I252:I253)*0.05),0)</f>
        <v>5289</v>
      </c>
    </row>
    <row r="237" spans="1:9" x14ac:dyDescent="0.25">
      <c r="A237" s="159"/>
      <c r="B237" s="159"/>
      <c r="C237" s="159"/>
      <c r="D237" s="159"/>
      <c r="E237" s="159"/>
      <c r="F237" s="17"/>
      <c r="G237" s="20"/>
      <c r="H237" s="21"/>
      <c r="I237" s="19"/>
    </row>
    <row r="238" spans="1:9" x14ac:dyDescent="0.25">
      <c r="A238" s="159"/>
      <c r="B238" s="159"/>
      <c r="C238" s="159"/>
      <c r="D238" s="159"/>
      <c r="E238" s="159"/>
      <c r="F238" s="17"/>
      <c r="G238" s="17"/>
      <c r="H238" s="21"/>
      <c r="I238" s="19"/>
    </row>
    <row r="239" spans="1:9" ht="16.5" x14ac:dyDescent="0.3">
      <c r="A239" s="167" t="s">
        <v>49</v>
      </c>
      <c r="B239" s="167"/>
      <c r="C239" s="167"/>
      <c r="D239" s="167"/>
      <c r="E239" s="167"/>
      <c r="F239" s="14" t="s">
        <v>50</v>
      </c>
      <c r="G239" s="22" t="s">
        <v>51</v>
      </c>
      <c r="H239" s="22" t="s">
        <v>52</v>
      </c>
      <c r="I239" s="15" t="s">
        <v>53</v>
      </c>
    </row>
    <row r="240" spans="1:9" x14ac:dyDescent="0.25">
      <c r="A240" s="159" t="str">
        <f>'A.P.A'!B2</f>
        <v>APA PREPARACION CONCRETO 3000PSI EN OBRA</v>
      </c>
      <c r="B240" s="159"/>
      <c r="C240" s="159"/>
      <c r="D240" s="159"/>
      <c r="E240" s="159"/>
      <c r="F240" s="23" t="s">
        <v>116</v>
      </c>
      <c r="G240" s="24">
        <f>'A.P.A'!I20</f>
        <v>538244</v>
      </c>
      <c r="H240" s="18">
        <v>1.05</v>
      </c>
      <c r="I240" s="24">
        <f>+H240*G240</f>
        <v>565156.20000000007</v>
      </c>
    </row>
    <row r="241" spans="1:9" x14ac:dyDescent="0.25">
      <c r="A241" s="16" t="s">
        <v>132</v>
      </c>
      <c r="B241" s="16"/>
      <c r="C241" s="16"/>
      <c r="D241" s="16"/>
      <c r="E241" s="16"/>
      <c r="F241" s="23" t="s">
        <v>131</v>
      </c>
      <c r="G241" s="18">
        <v>800</v>
      </c>
      <c r="H241" s="18">
        <v>2</v>
      </c>
      <c r="I241" s="24">
        <f t="shared" ref="I241:I244" si="9">+G241*H241</f>
        <v>1600</v>
      </c>
    </row>
    <row r="242" spans="1:9" x14ac:dyDescent="0.25">
      <c r="A242" s="159" t="s">
        <v>133</v>
      </c>
      <c r="B242" s="159"/>
      <c r="C242" s="159"/>
      <c r="D242" s="159"/>
      <c r="E242" s="159"/>
      <c r="F242" s="23" t="s">
        <v>131</v>
      </c>
      <c r="G242" s="18">
        <v>800</v>
      </c>
      <c r="H242" s="18">
        <v>2</v>
      </c>
      <c r="I242" s="24">
        <f t="shared" si="9"/>
        <v>1600</v>
      </c>
    </row>
    <row r="243" spans="1:9" x14ac:dyDescent="0.25">
      <c r="A243" s="159" t="s">
        <v>134</v>
      </c>
      <c r="B243" s="159"/>
      <c r="C243" s="159"/>
      <c r="D243" s="159"/>
      <c r="E243" s="159"/>
      <c r="F243" s="23" t="s">
        <v>131</v>
      </c>
      <c r="G243" s="18">
        <v>1000</v>
      </c>
      <c r="H243" s="18">
        <v>2</v>
      </c>
      <c r="I243" s="24">
        <f t="shared" si="9"/>
        <v>2000</v>
      </c>
    </row>
    <row r="244" spans="1:9" x14ac:dyDescent="0.25">
      <c r="A244" s="159" t="s">
        <v>135</v>
      </c>
      <c r="B244" s="159"/>
      <c r="C244" s="159"/>
      <c r="D244" s="159"/>
      <c r="E244" s="159"/>
      <c r="F244" s="23" t="s">
        <v>131</v>
      </c>
      <c r="G244" s="18">
        <v>1000</v>
      </c>
      <c r="H244" s="18">
        <v>4</v>
      </c>
      <c r="I244" s="24">
        <f t="shared" si="9"/>
        <v>4000</v>
      </c>
    </row>
    <row r="245" spans="1:9" x14ac:dyDescent="0.25">
      <c r="A245" s="159"/>
      <c r="B245" s="159"/>
      <c r="C245" s="159"/>
      <c r="D245" s="159"/>
      <c r="E245" s="159"/>
      <c r="F245" s="23"/>
      <c r="G245" s="18"/>
      <c r="H245" s="18"/>
      <c r="I245" s="24"/>
    </row>
    <row r="246" spans="1:9" x14ac:dyDescent="0.25">
      <c r="A246" s="159"/>
      <c r="B246" s="159"/>
      <c r="C246" s="159"/>
      <c r="D246" s="159"/>
      <c r="E246" s="159"/>
      <c r="F246" s="23"/>
      <c r="G246" s="18"/>
      <c r="H246" s="18"/>
      <c r="I246" s="24"/>
    </row>
    <row r="247" spans="1:9" x14ac:dyDescent="0.25">
      <c r="A247" s="159"/>
      <c r="B247" s="159"/>
      <c r="C247" s="159"/>
      <c r="D247" s="159"/>
      <c r="E247" s="159"/>
      <c r="F247" s="23"/>
      <c r="G247" s="18"/>
      <c r="H247" s="18"/>
      <c r="I247" s="24"/>
    </row>
    <row r="248" spans="1:9" ht="16.5" x14ac:dyDescent="0.3">
      <c r="A248" s="167" t="s">
        <v>61</v>
      </c>
      <c r="B248" s="167"/>
      <c r="C248" s="167"/>
      <c r="D248" s="167"/>
      <c r="E248" s="25" t="s">
        <v>62</v>
      </c>
      <c r="F248" s="14" t="s">
        <v>63</v>
      </c>
      <c r="G248" s="14" t="s">
        <v>64</v>
      </c>
      <c r="H248" s="14" t="s">
        <v>65</v>
      </c>
      <c r="I248" s="15" t="s">
        <v>53</v>
      </c>
    </row>
    <row r="249" spans="1:9" x14ac:dyDescent="0.25">
      <c r="A249" s="159" t="s">
        <v>112</v>
      </c>
      <c r="B249" s="159"/>
      <c r="C249" s="159"/>
      <c r="D249" s="159"/>
      <c r="E249" s="26"/>
      <c r="F249" s="26">
        <v>6</v>
      </c>
      <c r="G249" s="26">
        <f>35000/F249</f>
        <v>5833.333333333333</v>
      </c>
      <c r="H249" s="26">
        <f>+G249*6</f>
        <v>35000</v>
      </c>
      <c r="I249" s="18">
        <f>+E249*G249</f>
        <v>0</v>
      </c>
    </row>
    <row r="250" spans="1:9" x14ac:dyDescent="0.25">
      <c r="A250" s="159" t="s">
        <v>67</v>
      </c>
      <c r="B250" s="159"/>
      <c r="C250" s="159"/>
      <c r="D250" s="159"/>
      <c r="E250" s="26"/>
      <c r="F250" s="26"/>
      <c r="G250" s="26"/>
      <c r="H250" s="26"/>
      <c r="I250" s="18">
        <f>+E250*G250</f>
        <v>0</v>
      </c>
    </row>
    <row r="251" spans="1:9" ht="16.5" x14ac:dyDescent="0.3">
      <c r="A251" s="167" t="s">
        <v>68</v>
      </c>
      <c r="B251" s="167"/>
      <c r="C251" s="167"/>
      <c r="D251" s="167"/>
      <c r="E251" s="14" t="s">
        <v>52</v>
      </c>
      <c r="F251" s="170" t="s">
        <v>69</v>
      </c>
      <c r="G251" s="171"/>
      <c r="H251" s="27" t="s">
        <v>46</v>
      </c>
      <c r="I251" s="28" t="s">
        <v>53</v>
      </c>
    </row>
    <row r="252" spans="1:9" x14ac:dyDescent="0.25">
      <c r="A252" s="168" t="str">
        <f>CUADRILLAS!B10</f>
        <v>CUADRILLA 5</v>
      </c>
      <c r="B252" s="168"/>
      <c r="C252" s="168"/>
      <c r="D252" s="168"/>
      <c r="E252" s="18">
        <v>1</v>
      </c>
      <c r="F252" s="177">
        <f>CUADRILLAS!D10</f>
        <v>476000</v>
      </c>
      <c r="G252" s="177"/>
      <c r="H252" s="21">
        <v>4.5</v>
      </c>
      <c r="I252" s="24">
        <f>+(E252*F252)/H252</f>
        <v>105777.77777777778</v>
      </c>
    </row>
    <row r="253" spans="1:9" x14ac:dyDescent="0.25">
      <c r="A253" s="168"/>
      <c r="B253" s="168"/>
      <c r="C253" s="168"/>
      <c r="D253" s="168"/>
      <c r="E253" s="18"/>
      <c r="F253" s="177"/>
      <c r="G253" s="177"/>
      <c r="H253" s="18"/>
      <c r="I253" s="24"/>
    </row>
    <row r="254" spans="1:9" ht="16.5" x14ac:dyDescent="0.3">
      <c r="A254" s="160"/>
      <c r="B254" s="161"/>
      <c r="C254" s="161"/>
      <c r="D254" s="161"/>
      <c r="E254" s="162"/>
      <c r="F254" s="30" t="s">
        <v>35</v>
      </c>
      <c r="G254" s="31"/>
      <c r="H254" s="32"/>
      <c r="I254" s="33">
        <f>ROUND((SUM(I236:I253)),0)</f>
        <v>685423</v>
      </c>
    </row>
    <row r="255" spans="1:9" x14ac:dyDescent="0.25">
      <c r="A255" s="65"/>
      <c r="B255" s="65"/>
      <c r="C255" s="65"/>
      <c r="D255" s="65"/>
      <c r="E255" s="65"/>
      <c r="F255" s="65"/>
      <c r="G255" s="65"/>
      <c r="H255" s="65"/>
      <c r="I255" s="65"/>
    </row>
    <row r="256" spans="1:9" ht="16.5" x14ac:dyDescent="0.3">
      <c r="A256" s="10" t="s">
        <v>40</v>
      </c>
      <c r="B256" s="163" t="e">
        <f>'PRESUPUESTO_ESTUDIO MERCADO '!#REF!</f>
        <v>#REF!</v>
      </c>
      <c r="C256" s="164"/>
      <c r="D256" s="164"/>
      <c r="E256" s="164"/>
      <c r="F256" s="164"/>
      <c r="G256" s="164"/>
      <c r="H256" s="164"/>
      <c r="I256" s="165"/>
    </row>
    <row r="257" spans="1:9" ht="16.5" x14ac:dyDescent="0.3">
      <c r="A257" s="11" t="s">
        <v>136</v>
      </c>
      <c r="B257" s="166"/>
      <c r="C257" s="166"/>
      <c r="D257" s="166"/>
      <c r="E257" s="166"/>
      <c r="F257" s="166"/>
      <c r="G257" s="166"/>
      <c r="H257" s="12" t="s">
        <v>42</v>
      </c>
      <c r="I257" s="13" t="s">
        <v>111</v>
      </c>
    </row>
    <row r="258" spans="1:9" ht="16.5" x14ac:dyDescent="0.3">
      <c r="A258" s="167" t="s">
        <v>44</v>
      </c>
      <c r="B258" s="167"/>
      <c r="C258" s="167"/>
      <c r="D258" s="167"/>
      <c r="E258" s="167"/>
      <c r="F258" s="14" t="s">
        <v>9</v>
      </c>
      <c r="G258" s="14" t="s">
        <v>45</v>
      </c>
      <c r="H258" s="14" t="s">
        <v>46</v>
      </c>
      <c r="I258" s="15" t="s">
        <v>47</v>
      </c>
    </row>
    <row r="259" spans="1:9" x14ac:dyDescent="0.25">
      <c r="A259" s="159" t="s">
        <v>48</v>
      </c>
      <c r="B259" s="159"/>
      <c r="C259" s="159"/>
      <c r="D259" s="159"/>
      <c r="E259" s="159"/>
      <c r="F259" s="17"/>
      <c r="G259" s="17"/>
      <c r="H259" s="18"/>
      <c r="I259" s="19">
        <f>ROUND((SUM(I275:I276)*0.05),0)</f>
        <v>14875</v>
      </c>
    </row>
    <row r="260" spans="1:9" x14ac:dyDescent="0.25">
      <c r="A260" s="159" t="s">
        <v>125</v>
      </c>
      <c r="B260" s="159"/>
      <c r="C260" s="159"/>
      <c r="D260" s="159"/>
      <c r="E260" s="159"/>
      <c r="F260" s="17">
        <v>1</v>
      </c>
      <c r="G260" s="20">
        <v>60000</v>
      </c>
      <c r="H260" s="21">
        <f>+H275</f>
        <v>2</v>
      </c>
      <c r="I260" s="19">
        <f>+F260*G260/H260</f>
        <v>30000</v>
      </c>
    </row>
    <row r="261" spans="1:9" x14ac:dyDescent="0.25">
      <c r="A261" s="159"/>
      <c r="B261" s="159"/>
      <c r="C261" s="159"/>
      <c r="D261" s="159"/>
      <c r="E261" s="159"/>
      <c r="F261" s="23"/>
      <c r="G261" s="34"/>
      <c r="H261" s="34"/>
      <c r="I261" s="35"/>
    </row>
    <row r="262" spans="1:9" ht="16.5" x14ac:dyDescent="0.3">
      <c r="A262" s="167" t="s">
        <v>49</v>
      </c>
      <c r="B262" s="167"/>
      <c r="C262" s="167"/>
      <c r="D262" s="167"/>
      <c r="E262" s="167"/>
      <c r="F262" s="14" t="s">
        <v>50</v>
      </c>
      <c r="G262" s="22" t="s">
        <v>51</v>
      </c>
      <c r="H262" s="22" t="s">
        <v>52</v>
      </c>
      <c r="I262" s="15" t="s">
        <v>53</v>
      </c>
    </row>
    <row r="263" spans="1:9" x14ac:dyDescent="0.25">
      <c r="A263" s="159" t="str">
        <f>'A.P.A'!B2</f>
        <v>APA PREPARACION CONCRETO 3000PSI EN OBRA</v>
      </c>
      <c r="B263" s="159"/>
      <c r="C263" s="159"/>
      <c r="D263" s="159"/>
      <c r="E263" s="159"/>
      <c r="F263" s="23" t="s">
        <v>116</v>
      </c>
      <c r="G263" s="24">
        <f>'A.P.A'!I20</f>
        <v>538244</v>
      </c>
      <c r="H263" s="18">
        <v>1.05</v>
      </c>
      <c r="I263" s="24">
        <f>+H263*G263</f>
        <v>565156.20000000007</v>
      </c>
    </row>
    <row r="264" spans="1:9" x14ac:dyDescent="0.25">
      <c r="A264" s="174" t="s">
        <v>130</v>
      </c>
      <c r="B264" s="175"/>
      <c r="C264" s="175"/>
      <c r="D264" s="175"/>
      <c r="E264" s="176"/>
      <c r="F264" s="23" t="s">
        <v>131</v>
      </c>
      <c r="G264" s="18">
        <v>800</v>
      </c>
      <c r="H264" s="18">
        <v>2.9</v>
      </c>
      <c r="I264" s="24">
        <f>+H264*G264</f>
        <v>2320</v>
      </c>
    </row>
    <row r="265" spans="1:9" x14ac:dyDescent="0.25">
      <c r="A265" s="174" t="s">
        <v>132</v>
      </c>
      <c r="B265" s="175"/>
      <c r="C265" s="175"/>
      <c r="D265" s="175"/>
      <c r="E265" s="176"/>
      <c r="F265" s="23" t="s">
        <v>131</v>
      </c>
      <c r="G265" s="18">
        <v>800</v>
      </c>
      <c r="H265" s="18">
        <v>5</v>
      </c>
      <c r="I265" s="24">
        <f>+H265*G265</f>
        <v>4000</v>
      </c>
    </row>
    <row r="266" spans="1:9" x14ac:dyDescent="0.25">
      <c r="A266" s="174" t="s">
        <v>133</v>
      </c>
      <c r="B266" s="175"/>
      <c r="C266" s="175"/>
      <c r="D266" s="175"/>
      <c r="E266" s="176"/>
      <c r="F266" s="23" t="s">
        <v>131</v>
      </c>
      <c r="G266" s="18">
        <v>1000</v>
      </c>
      <c r="H266" s="18">
        <v>7.2</v>
      </c>
      <c r="I266" s="24">
        <f>+G266*H266</f>
        <v>7200</v>
      </c>
    </row>
    <row r="267" spans="1:9" x14ac:dyDescent="0.25">
      <c r="A267" s="159" t="s">
        <v>135</v>
      </c>
      <c r="B267" s="159"/>
      <c r="C267" s="159"/>
      <c r="D267" s="159"/>
      <c r="E267" s="159"/>
      <c r="F267" s="23" t="s">
        <v>131</v>
      </c>
      <c r="G267" s="18">
        <v>1500</v>
      </c>
      <c r="H267" s="18">
        <v>2.5</v>
      </c>
      <c r="I267" s="24">
        <f t="shared" ref="I267:I270" si="10">+G267*H267</f>
        <v>3750</v>
      </c>
    </row>
    <row r="268" spans="1:9" x14ac:dyDescent="0.25">
      <c r="A268" s="174"/>
      <c r="B268" s="175"/>
      <c r="C268" s="175"/>
      <c r="D268" s="175"/>
      <c r="E268" s="176"/>
      <c r="F268" s="23"/>
      <c r="G268" s="18"/>
      <c r="H268" s="18"/>
      <c r="I268" s="24">
        <f t="shared" si="10"/>
        <v>0</v>
      </c>
    </row>
    <row r="269" spans="1:9" x14ac:dyDescent="0.25">
      <c r="A269" s="159"/>
      <c r="B269" s="159"/>
      <c r="C269" s="159"/>
      <c r="D269" s="159"/>
      <c r="E269" s="159"/>
      <c r="F269" s="23"/>
      <c r="G269" s="18"/>
      <c r="H269" s="18"/>
      <c r="I269" s="24">
        <f t="shared" si="10"/>
        <v>0</v>
      </c>
    </row>
    <row r="270" spans="1:9" x14ac:dyDescent="0.25">
      <c r="A270" s="159"/>
      <c r="B270" s="159"/>
      <c r="C270" s="159"/>
      <c r="D270" s="159"/>
      <c r="E270" s="159"/>
      <c r="F270" s="23"/>
      <c r="G270" s="18"/>
      <c r="H270" s="18"/>
      <c r="I270" s="24">
        <f t="shared" si="10"/>
        <v>0</v>
      </c>
    </row>
    <row r="271" spans="1:9" ht="16.5" x14ac:dyDescent="0.3">
      <c r="A271" s="167" t="s">
        <v>61</v>
      </c>
      <c r="B271" s="167"/>
      <c r="C271" s="167"/>
      <c r="D271" s="167"/>
      <c r="E271" s="25" t="s">
        <v>62</v>
      </c>
      <c r="F271" s="14" t="s">
        <v>63</v>
      </c>
      <c r="G271" s="14" t="s">
        <v>64</v>
      </c>
      <c r="H271" s="14" t="s">
        <v>65</v>
      </c>
      <c r="I271" s="15" t="s">
        <v>53</v>
      </c>
    </row>
    <row r="272" spans="1:9" x14ac:dyDescent="0.25">
      <c r="A272" s="159" t="s">
        <v>66</v>
      </c>
      <c r="B272" s="159"/>
      <c r="C272" s="159"/>
      <c r="D272" s="159"/>
      <c r="E272" s="26"/>
      <c r="F272" s="26">
        <v>6</v>
      </c>
      <c r="G272" s="26">
        <f>35000/F272</f>
        <v>5833.333333333333</v>
      </c>
      <c r="H272" s="26">
        <f>+G272*6</f>
        <v>35000</v>
      </c>
      <c r="I272" s="18">
        <f>+E272*G272</f>
        <v>0</v>
      </c>
    </row>
    <row r="273" spans="1:9" x14ac:dyDescent="0.25">
      <c r="A273" s="159" t="s">
        <v>67</v>
      </c>
      <c r="B273" s="159"/>
      <c r="C273" s="159"/>
      <c r="D273" s="159"/>
      <c r="E273" s="26"/>
      <c r="F273" s="26"/>
      <c r="G273" s="26"/>
      <c r="H273" s="26"/>
      <c r="I273" s="18">
        <f>+E273*G273</f>
        <v>0</v>
      </c>
    </row>
    <row r="274" spans="1:9" ht="16.5" x14ac:dyDescent="0.3">
      <c r="A274" s="167" t="s">
        <v>68</v>
      </c>
      <c r="B274" s="167"/>
      <c r="C274" s="167"/>
      <c r="D274" s="167"/>
      <c r="E274" s="14" t="s">
        <v>52</v>
      </c>
      <c r="F274" s="170" t="s">
        <v>69</v>
      </c>
      <c r="G274" s="171"/>
      <c r="H274" s="27" t="s">
        <v>46</v>
      </c>
      <c r="I274" s="28" t="s">
        <v>53</v>
      </c>
    </row>
    <row r="275" spans="1:9" x14ac:dyDescent="0.25">
      <c r="A275" s="168" t="str">
        <f>CUADRILLAS!B11</f>
        <v>CUADRILLA 6</v>
      </c>
      <c r="B275" s="168"/>
      <c r="C275" s="168"/>
      <c r="D275" s="168"/>
      <c r="E275" s="18">
        <v>1</v>
      </c>
      <c r="F275" s="177">
        <f>CUADRILLAS!D11</f>
        <v>595000</v>
      </c>
      <c r="G275" s="177"/>
      <c r="H275" s="21">
        <v>2</v>
      </c>
      <c r="I275" s="24">
        <f>+E275*F275/H275</f>
        <v>297500</v>
      </c>
    </row>
    <row r="276" spans="1:9" x14ac:dyDescent="0.25">
      <c r="A276" s="168"/>
      <c r="B276" s="168"/>
      <c r="C276" s="168"/>
      <c r="D276" s="168"/>
      <c r="E276" s="18"/>
      <c r="F276" s="177"/>
      <c r="G276" s="177"/>
      <c r="H276" s="21"/>
      <c r="I276" s="24"/>
    </row>
    <row r="277" spans="1:9" ht="16.5" x14ac:dyDescent="0.3">
      <c r="A277" s="160"/>
      <c r="B277" s="161"/>
      <c r="C277" s="161"/>
      <c r="D277" s="161"/>
      <c r="E277" s="162"/>
      <c r="F277" s="30" t="s">
        <v>35</v>
      </c>
      <c r="G277" s="31"/>
      <c r="H277" s="32"/>
      <c r="I277" s="36">
        <f>ROUND((SUM(I259:I276)),0)</f>
        <v>924801</v>
      </c>
    </row>
    <row r="278" spans="1:9" ht="16.5" x14ac:dyDescent="0.3">
      <c r="A278" s="10" t="s">
        <v>40</v>
      </c>
      <c r="B278" s="163" t="e">
        <f>'PRESUPUESTO_ESTUDIO MERCADO '!#REF!</f>
        <v>#REF!</v>
      </c>
      <c r="C278" s="164"/>
      <c r="D278" s="164"/>
      <c r="E278" s="164"/>
      <c r="F278" s="164"/>
      <c r="G278" s="164"/>
      <c r="H278" s="164"/>
      <c r="I278" s="165"/>
    </row>
    <row r="279" spans="1:9" ht="16.5" x14ac:dyDescent="0.3">
      <c r="A279" s="11" t="s">
        <v>137</v>
      </c>
      <c r="B279" s="166"/>
      <c r="C279" s="166"/>
      <c r="D279" s="166"/>
      <c r="E279" s="166"/>
      <c r="F279" s="166"/>
      <c r="G279" s="166"/>
      <c r="H279" s="12" t="s">
        <v>42</v>
      </c>
      <c r="I279" s="13" t="s">
        <v>99</v>
      </c>
    </row>
    <row r="280" spans="1:9" ht="16.5" x14ac:dyDescent="0.3">
      <c r="A280" s="167" t="s">
        <v>44</v>
      </c>
      <c r="B280" s="167"/>
      <c r="C280" s="167"/>
      <c r="D280" s="167"/>
      <c r="E280" s="167"/>
      <c r="F280" s="14" t="s">
        <v>9</v>
      </c>
      <c r="G280" s="14" t="s">
        <v>45</v>
      </c>
      <c r="H280" s="14" t="s">
        <v>46</v>
      </c>
      <c r="I280" s="15" t="s">
        <v>47</v>
      </c>
    </row>
    <row r="281" spans="1:9" x14ac:dyDescent="0.25">
      <c r="A281" s="159" t="s">
        <v>48</v>
      </c>
      <c r="B281" s="159"/>
      <c r="C281" s="159"/>
      <c r="D281" s="159"/>
      <c r="E281" s="159"/>
      <c r="F281" s="17"/>
      <c r="G281" s="17"/>
      <c r="H281" s="18"/>
      <c r="I281" s="19">
        <f>ROUND((SUM(I297:I298)*0.05),0)</f>
        <v>96</v>
      </c>
    </row>
    <row r="282" spans="1:9" x14ac:dyDescent="0.25">
      <c r="A282" s="159"/>
      <c r="B282" s="159"/>
      <c r="C282" s="159"/>
      <c r="D282" s="159"/>
      <c r="E282" s="159"/>
      <c r="F282" s="17"/>
      <c r="G282" s="20"/>
      <c r="H282" s="21"/>
      <c r="I282" s="19"/>
    </row>
    <row r="283" spans="1:9" x14ac:dyDescent="0.25">
      <c r="A283" s="159"/>
      <c r="B283" s="159"/>
      <c r="C283" s="159"/>
      <c r="D283" s="159"/>
      <c r="E283" s="159"/>
      <c r="F283" s="17"/>
      <c r="G283" s="17"/>
      <c r="H283" s="21"/>
      <c r="I283" s="19"/>
    </row>
    <row r="284" spans="1:9" ht="16.5" x14ac:dyDescent="0.3">
      <c r="A284" s="167" t="s">
        <v>49</v>
      </c>
      <c r="B284" s="167"/>
      <c r="C284" s="167"/>
      <c r="D284" s="167"/>
      <c r="E284" s="167"/>
      <c r="F284" s="14" t="s">
        <v>50</v>
      </c>
      <c r="G284" s="22" t="s">
        <v>51</v>
      </c>
      <c r="H284" s="22" t="s">
        <v>52</v>
      </c>
      <c r="I284" s="15" t="s">
        <v>53</v>
      </c>
    </row>
    <row r="285" spans="1:9" x14ac:dyDescent="0.25">
      <c r="A285" s="159" t="s">
        <v>138</v>
      </c>
      <c r="B285" s="159"/>
      <c r="C285" s="159"/>
      <c r="D285" s="159"/>
      <c r="E285" s="159"/>
      <c r="F285" s="23" t="s">
        <v>139</v>
      </c>
      <c r="G285" s="24">
        <v>3000</v>
      </c>
      <c r="H285" s="18">
        <v>1.05</v>
      </c>
      <c r="I285" s="24">
        <f>+H285*G285</f>
        <v>3150</v>
      </c>
    </row>
    <row r="286" spans="1:9" x14ac:dyDescent="0.25">
      <c r="A286" s="159" t="s">
        <v>140</v>
      </c>
      <c r="B286" s="159"/>
      <c r="C286" s="159"/>
      <c r="D286" s="159"/>
      <c r="E286" s="159"/>
      <c r="F286" s="23" t="s">
        <v>99</v>
      </c>
      <c r="G286" s="24">
        <v>6000</v>
      </c>
      <c r="H286" s="18">
        <f>0.05</f>
        <v>0.05</v>
      </c>
      <c r="I286" s="24">
        <f>+H286*G286</f>
        <v>300</v>
      </c>
    </row>
    <row r="287" spans="1:9" x14ac:dyDescent="0.25">
      <c r="A287" s="159"/>
      <c r="B287" s="159"/>
      <c r="C287" s="159"/>
      <c r="D287" s="159"/>
      <c r="E287" s="159"/>
      <c r="F287" s="23"/>
      <c r="G287" s="18"/>
      <c r="H287" s="18"/>
      <c r="I287" s="24">
        <f>+H287*G287</f>
        <v>0</v>
      </c>
    </row>
    <row r="288" spans="1:9" x14ac:dyDescent="0.25">
      <c r="A288" s="159"/>
      <c r="B288" s="159"/>
      <c r="C288" s="159"/>
      <c r="D288" s="159"/>
      <c r="E288" s="159"/>
      <c r="F288" s="23"/>
      <c r="G288" s="18"/>
      <c r="H288" s="18"/>
      <c r="I288" s="24">
        <f>+G288*H288</f>
        <v>0</v>
      </c>
    </row>
    <row r="289" spans="1:9" x14ac:dyDescent="0.25">
      <c r="A289" s="159"/>
      <c r="B289" s="159"/>
      <c r="C289" s="159"/>
      <c r="D289" s="159"/>
      <c r="E289" s="159"/>
      <c r="F289" s="23"/>
      <c r="G289" s="18"/>
      <c r="H289" s="18"/>
      <c r="I289" s="24">
        <f t="shared" ref="I289:I292" si="11">+G289*H289</f>
        <v>0</v>
      </c>
    </row>
    <row r="290" spans="1:9" x14ac:dyDescent="0.25">
      <c r="A290" s="159"/>
      <c r="B290" s="159"/>
      <c r="C290" s="159"/>
      <c r="D290" s="159"/>
      <c r="E290" s="159"/>
      <c r="F290" s="23"/>
      <c r="G290" s="18"/>
      <c r="H290" s="18"/>
      <c r="I290" s="24">
        <f t="shared" si="11"/>
        <v>0</v>
      </c>
    </row>
    <row r="291" spans="1:9" x14ac:dyDescent="0.25">
      <c r="A291" s="159"/>
      <c r="B291" s="159"/>
      <c r="C291" s="159"/>
      <c r="D291" s="159"/>
      <c r="E291" s="159"/>
      <c r="F291" s="23"/>
      <c r="G291" s="18"/>
      <c r="H291" s="18"/>
      <c r="I291" s="24">
        <f t="shared" si="11"/>
        <v>0</v>
      </c>
    </row>
    <row r="292" spans="1:9" x14ac:dyDescent="0.25">
      <c r="A292" s="159"/>
      <c r="B292" s="159"/>
      <c r="C292" s="159"/>
      <c r="D292" s="159"/>
      <c r="E292" s="159"/>
      <c r="F292" s="23"/>
      <c r="G292" s="18"/>
      <c r="H292" s="18"/>
      <c r="I292" s="24">
        <f t="shared" si="11"/>
        <v>0</v>
      </c>
    </row>
    <row r="293" spans="1:9" ht="16.5" x14ac:dyDescent="0.3">
      <c r="A293" s="167" t="s">
        <v>61</v>
      </c>
      <c r="B293" s="167"/>
      <c r="C293" s="167"/>
      <c r="D293" s="167"/>
      <c r="E293" s="25" t="s">
        <v>62</v>
      </c>
      <c r="F293" s="14" t="s">
        <v>63</v>
      </c>
      <c r="G293" s="14" t="s">
        <v>64</v>
      </c>
      <c r="H293" s="14" t="s">
        <v>65</v>
      </c>
      <c r="I293" s="15" t="s">
        <v>53</v>
      </c>
    </row>
    <row r="294" spans="1:9" x14ac:dyDescent="0.25">
      <c r="A294" s="159" t="s">
        <v>112</v>
      </c>
      <c r="B294" s="159"/>
      <c r="C294" s="159"/>
      <c r="D294" s="159"/>
      <c r="E294" s="26"/>
      <c r="F294" s="26">
        <v>6</v>
      </c>
      <c r="G294" s="26">
        <f>35000/F294</f>
        <v>5833.333333333333</v>
      </c>
      <c r="H294" s="26">
        <f>+G294*6</f>
        <v>35000</v>
      </c>
      <c r="I294" s="18">
        <f>+E294*G294</f>
        <v>0</v>
      </c>
    </row>
    <row r="295" spans="1:9" x14ac:dyDescent="0.25">
      <c r="A295" s="159" t="s">
        <v>67</v>
      </c>
      <c r="B295" s="159"/>
      <c r="C295" s="159"/>
      <c r="D295" s="159"/>
      <c r="E295" s="26"/>
      <c r="F295" s="26"/>
      <c r="G295" s="26"/>
      <c r="H295" s="26"/>
      <c r="I295" s="18">
        <f>+E295*G295</f>
        <v>0</v>
      </c>
    </row>
    <row r="296" spans="1:9" ht="16.5" x14ac:dyDescent="0.3">
      <c r="A296" s="167" t="s">
        <v>68</v>
      </c>
      <c r="B296" s="167"/>
      <c r="C296" s="167"/>
      <c r="D296" s="167"/>
      <c r="E296" s="14" t="s">
        <v>52</v>
      </c>
      <c r="F296" s="170" t="s">
        <v>69</v>
      </c>
      <c r="G296" s="171"/>
      <c r="H296" s="27" t="s">
        <v>46</v>
      </c>
      <c r="I296" s="28" t="s">
        <v>53</v>
      </c>
    </row>
    <row r="297" spans="1:9" x14ac:dyDescent="0.25">
      <c r="A297" s="168" t="str">
        <f>CUADRILLAS!B9</f>
        <v xml:space="preserve">CUADRILLA 4 </v>
      </c>
      <c r="B297" s="168"/>
      <c r="C297" s="168"/>
      <c r="D297" s="168"/>
      <c r="E297" s="18">
        <v>1</v>
      </c>
      <c r="F297" s="177">
        <f>CUADRILLAS!D9</f>
        <v>289000</v>
      </c>
      <c r="G297" s="177"/>
      <c r="H297" s="21">
        <v>150</v>
      </c>
      <c r="I297" s="24">
        <f>+(E297*F297)/H297</f>
        <v>1926.6666666666667</v>
      </c>
    </row>
    <row r="298" spans="1:9" x14ac:dyDescent="0.25">
      <c r="A298" s="168"/>
      <c r="B298" s="168"/>
      <c r="C298" s="168"/>
      <c r="D298" s="168"/>
      <c r="E298" s="18"/>
      <c r="F298" s="177"/>
      <c r="G298" s="177"/>
      <c r="H298" s="18"/>
      <c r="I298" s="24"/>
    </row>
    <row r="299" spans="1:9" ht="16.5" x14ac:dyDescent="0.3">
      <c r="A299" s="160"/>
      <c r="B299" s="161"/>
      <c r="C299" s="161"/>
      <c r="D299" s="161"/>
      <c r="E299" s="162"/>
      <c r="F299" s="30" t="s">
        <v>35</v>
      </c>
      <c r="G299" s="31"/>
      <c r="H299" s="32"/>
      <c r="I299" s="33">
        <f>ROUND((SUM(I281:I298)),0)</f>
        <v>5473</v>
      </c>
    </row>
    <row r="300" spans="1:9" ht="16.5" x14ac:dyDescent="0.3">
      <c r="A300" s="160"/>
      <c r="B300" s="161"/>
      <c r="C300" s="161"/>
      <c r="D300" s="161"/>
      <c r="E300" s="161"/>
      <c r="F300" s="161"/>
      <c r="G300" s="161"/>
      <c r="H300" s="161"/>
      <c r="I300" s="162"/>
    </row>
    <row r="301" spans="1:9" x14ac:dyDescent="0.25">
      <c r="A301" s="65"/>
      <c r="B301" s="65"/>
      <c r="C301" s="65"/>
      <c r="D301" s="65"/>
      <c r="E301" s="65"/>
      <c r="F301" s="65"/>
      <c r="G301" s="65"/>
      <c r="H301" s="65"/>
      <c r="I301" s="65"/>
    </row>
    <row r="302" spans="1:9" ht="16.5" x14ac:dyDescent="0.3">
      <c r="A302" s="10" t="s">
        <v>40</v>
      </c>
      <c r="B302" s="163" t="e">
        <f>'PRESUPUESTO_ESTUDIO MERCADO '!#REF!</f>
        <v>#REF!</v>
      </c>
      <c r="C302" s="164"/>
      <c r="D302" s="164"/>
      <c r="E302" s="164"/>
      <c r="F302" s="164"/>
      <c r="G302" s="164"/>
      <c r="H302" s="164"/>
      <c r="I302" s="165"/>
    </row>
    <row r="303" spans="1:9" ht="16.5" x14ac:dyDescent="0.3">
      <c r="A303" s="11" t="s">
        <v>141</v>
      </c>
      <c r="B303" s="166"/>
      <c r="C303" s="166"/>
      <c r="D303" s="166"/>
      <c r="E303" s="166"/>
      <c r="F303" s="166"/>
      <c r="G303" s="166"/>
      <c r="H303" s="12" t="s">
        <v>42</v>
      </c>
      <c r="I303" s="13" t="s">
        <v>20</v>
      </c>
    </row>
    <row r="304" spans="1:9" ht="16.5" x14ac:dyDescent="0.3">
      <c r="A304" s="167" t="s">
        <v>44</v>
      </c>
      <c r="B304" s="167"/>
      <c r="C304" s="167"/>
      <c r="D304" s="167"/>
      <c r="E304" s="167"/>
      <c r="F304" s="14" t="s">
        <v>9</v>
      </c>
      <c r="G304" s="14" t="s">
        <v>45</v>
      </c>
      <c r="H304" s="14" t="s">
        <v>46</v>
      </c>
      <c r="I304" s="15" t="s">
        <v>47</v>
      </c>
    </row>
    <row r="305" spans="1:12" x14ac:dyDescent="0.25">
      <c r="A305" s="159" t="s">
        <v>48</v>
      </c>
      <c r="B305" s="159"/>
      <c r="C305" s="159"/>
      <c r="D305" s="159"/>
      <c r="E305" s="159"/>
      <c r="F305" s="17"/>
      <c r="G305" s="17"/>
      <c r="H305" s="18"/>
      <c r="I305" s="19">
        <f>ROUND((SUM(I322:I323)*0.05),0)</f>
        <v>966</v>
      </c>
    </row>
    <row r="306" spans="1:12" x14ac:dyDescent="0.25">
      <c r="A306" s="159"/>
      <c r="B306" s="159"/>
      <c r="C306" s="159"/>
      <c r="D306" s="159"/>
      <c r="E306" s="159"/>
      <c r="F306" s="17"/>
      <c r="G306" s="20"/>
      <c r="H306" s="21"/>
      <c r="I306" s="19"/>
    </row>
    <row r="307" spans="1:12" x14ac:dyDescent="0.25">
      <c r="A307" s="159"/>
      <c r="B307" s="159"/>
      <c r="C307" s="159"/>
      <c r="D307" s="159"/>
      <c r="E307" s="159"/>
      <c r="F307" s="17"/>
      <c r="G307" s="17"/>
      <c r="H307" s="21"/>
      <c r="I307" s="19"/>
    </row>
    <row r="308" spans="1:12" x14ac:dyDescent="0.25">
      <c r="A308" s="16"/>
      <c r="B308" s="16"/>
      <c r="C308" s="16"/>
      <c r="D308" s="16"/>
      <c r="E308" s="16"/>
      <c r="F308" s="17"/>
      <c r="G308" s="17"/>
      <c r="H308" s="21"/>
      <c r="I308" s="19"/>
    </row>
    <row r="309" spans="1:12" ht="16.5" x14ac:dyDescent="0.3">
      <c r="A309" s="167" t="s">
        <v>49</v>
      </c>
      <c r="B309" s="167"/>
      <c r="C309" s="167"/>
      <c r="D309" s="167"/>
      <c r="E309" s="167"/>
      <c r="F309" s="14" t="s">
        <v>50</v>
      </c>
      <c r="G309" s="22" t="s">
        <v>51</v>
      </c>
      <c r="H309" s="22" t="s">
        <v>52</v>
      </c>
      <c r="I309" s="15" t="s">
        <v>53</v>
      </c>
    </row>
    <row r="310" spans="1:12" x14ac:dyDescent="0.25">
      <c r="A310" s="159" t="s">
        <v>142</v>
      </c>
      <c r="B310" s="159"/>
      <c r="C310" s="159"/>
      <c r="D310" s="159"/>
      <c r="E310" s="159"/>
      <c r="F310" s="23" t="s">
        <v>43</v>
      </c>
      <c r="G310" s="24">
        <v>3000</v>
      </c>
      <c r="H310" s="18">
        <v>12.5</v>
      </c>
      <c r="I310" s="24">
        <f>+H310*G310</f>
        <v>37500</v>
      </c>
    </row>
    <row r="311" spans="1:12" x14ac:dyDescent="0.25">
      <c r="A311" s="159" t="str">
        <f>'A.P.A'!B69</f>
        <v>APA PREPARACION MORTERO 1:4 EN OBRA</v>
      </c>
      <c r="B311" s="159"/>
      <c r="C311" s="159"/>
      <c r="D311" s="159"/>
      <c r="E311" s="159"/>
      <c r="F311" s="23" t="s">
        <v>111</v>
      </c>
      <c r="G311" s="24">
        <f>'A.P.A'!I90</f>
        <v>491083</v>
      </c>
      <c r="H311" s="18">
        <f>0.03</f>
        <v>0.03</v>
      </c>
      <c r="I311" s="24">
        <f>+H311*G311</f>
        <v>14732.49</v>
      </c>
    </row>
    <row r="312" spans="1:12" x14ac:dyDescent="0.25">
      <c r="A312" s="159" t="s">
        <v>143</v>
      </c>
      <c r="B312" s="159"/>
      <c r="C312" s="159"/>
      <c r="D312" s="159"/>
      <c r="E312" s="159"/>
      <c r="F312" s="23" t="s">
        <v>74</v>
      </c>
      <c r="G312" s="18">
        <v>75000</v>
      </c>
      <c r="H312" s="18">
        <v>0.05</v>
      </c>
      <c r="I312" s="24">
        <f>+H312*G312</f>
        <v>3750</v>
      </c>
    </row>
    <row r="313" spans="1:12" x14ac:dyDescent="0.25">
      <c r="A313" s="159"/>
      <c r="B313" s="159"/>
      <c r="C313" s="159"/>
      <c r="D313" s="159"/>
      <c r="E313" s="159"/>
      <c r="F313" s="23"/>
      <c r="G313" s="18"/>
      <c r="H313" s="18"/>
      <c r="I313" s="24">
        <f>+G313*H313</f>
        <v>0</v>
      </c>
    </row>
    <row r="314" spans="1:12" x14ac:dyDescent="0.25">
      <c r="A314" s="159"/>
      <c r="B314" s="159"/>
      <c r="C314" s="159"/>
      <c r="D314" s="159"/>
      <c r="E314" s="159"/>
      <c r="F314" s="23"/>
      <c r="G314" s="18"/>
      <c r="H314" s="18"/>
      <c r="I314" s="24">
        <f t="shared" ref="I314:I317" si="12">+G314*H314</f>
        <v>0</v>
      </c>
      <c r="L314" s="73"/>
    </row>
    <row r="315" spans="1:12" x14ac:dyDescent="0.25">
      <c r="A315" s="159"/>
      <c r="B315" s="159"/>
      <c r="C315" s="159"/>
      <c r="D315" s="159"/>
      <c r="E315" s="159"/>
      <c r="F315" s="23"/>
      <c r="G315" s="18"/>
      <c r="H315" s="18"/>
      <c r="I315" s="24">
        <f t="shared" si="12"/>
        <v>0</v>
      </c>
    </row>
    <row r="316" spans="1:12" x14ac:dyDescent="0.25">
      <c r="A316" s="159"/>
      <c r="B316" s="159"/>
      <c r="C316" s="159"/>
      <c r="D316" s="159"/>
      <c r="E316" s="159"/>
      <c r="F316" s="23"/>
      <c r="G316" s="18"/>
      <c r="H316" s="18"/>
      <c r="I316" s="24">
        <f t="shared" si="12"/>
        <v>0</v>
      </c>
    </row>
    <row r="317" spans="1:12" x14ac:dyDescent="0.25">
      <c r="A317" s="159"/>
      <c r="B317" s="159"/>
      <c r="C317" s="159"/>
      <c r="D317" s="159"/>
      <c r="E317" s="159"/>
      <c r="F317" s="23"/>
      <c r="G317" s="18"/>
      <c r="H317" s="18"/>
      <c r="I317" s="24">
        <f t="shared" si="12"/>
        <v>0</v>
      </c>
    </row>
    <row r="318" spans="1:12" ht="16.5" x14ac:dyDescent="0.3">
      <c r="A318" s="167" t="s">
        <v>61</v>
      </c>
      <c r="B318" s="167"/>
      <c r="C318" s="167"/>
      <c r="D318" s="167"/>
      <c r="E318" s="25" t="s">
        <v>62</v>
      </c>
      <c r="F318" s="14" t="s">
        <v>63</v>
      </c>
      <c r="G318" s="14" t="s">
        <v>64</v>
      </c>
      <c r="H318" s="14" t="s">
        <v>65</v>
      </c>
      <c r="I318" s="15" t="s">
        <v>53</v>
      </c>
    </row>
    <row r="319" spans="1:12" x14ac:dyDescent="0.25">
      <c r="A319" s="159" t="s">
        <v>66</v>
      </c>
      <c r="B319" s="159"/>
      <c r="C319" s="159"/>
      <c r="D319" s="159"/>
      <c r="E319" s="26">
        <f>4.6*H310/1000</f>
        <v>5.7499999999999996E-2</v>
      </c>
      <c r="F319" s="26">
        <v>6</v>
      </c>
      <c r="G319" s="26">
        <f>50000/F319</f>
        <v>8333.3333333333339</v>
      </c>
      <c r="H319" s="26">
        <f>+G319*6</f>
        <v>50000</v>
      </c>
      <c r="I319" s="18">
        <f>+E319*G319</f>
        <v>479.16666666666669</v>
      </c>
    </row>
    <row r="320" spans="1:12" x14ac:dyDescent="0.25">
      <c r="A320" s="159" t="s">
        <v>67</v>
      </c>
      <c r="B320" s="159"/>
      <c r="C320" s="159"/>
      <c r="D320" s="159"/>
      <c r="E320" s="26"/>
      <c r="F320" s="26"/>
      <c r="G320" s="26"/>
      <c r="H320" s="26"/>
      <c r="I320" s="18">
        <f>+E320*G320</f>
        <v>0</v>
      </c>
    </row>
    <row r="321" spans="1:9" ht="16.5" x14ac:dyDescent="0.3">
      <c r="A321" s="167" t="s">
        <v>68</v>
      </c>
      <c r="B321" s="167"/>
      <c r="C321" s="167"/>
      <c r="D321" s="167"/>
      <c r="E321" s="14" t="s">
        <v>52</v>
      </c>
      <c r="F321" s="170" t="s">
        <v>69</v>
      </c>
      <c r="G321" s="171"/>
      <c r="H321" s="27" t="s">
        <v>46</v>
      </c>
      <c r="I321" s="28" t="s">
        <v>53</v>
      </c>
    </row>
    <row r="322" spans="1:9" x14ac:dyDescent="0.25">
      <c r="A322" s="168" t="str">
        <f>CUADRILLAS!B13</f>
        <v>CUADRILLA 8</v>
      </c>
      <c r="B322" s="168"/>
      <c r="C322" s="168"/>
      <c r="D322" s="168"/>
      <c r="E322" s="18">
        <v>1</v>
      </c>
      <c r="F322" s="177">
        <f>CUADRILLAS!D13</f>
        <v>425000</v>
      </c>
      <c r="G322" s="177"/>
      <c r="H322" s="21">
        <v>22</v>
      </c>
      <c r="I322" s="24">
        <f>+(E322*F322)/H322</f>
        <v>19318.18181818182</v>
      </c>
    </row>
    <row r="323" spans="1:9" x14ac:dyDescent="0.25">
      <c r="A323" s="168"/>
      <c r="B323" s="168"/>
      <c r="C323" s="168"/>
      <c r="D323" s="168"/>
      <c r="E323" s="18"/>
      <c r="F323" s="177"/>
      <c r="G323" s="177"/>
      <c r="H323" s="18"/>
      <c r="I323" s="24"/>
    </row>
    <row r="324" spans="1:9" ht="16.5" x14ac:dyDescent="0.3">
      <c r="A324" s="160"/>
      <c r="B324" s="161"/>
      <c r="C324" s="161"/>
      <c r="D324" s="161"/>
      <c r="E324" s="162"/>
      <c r="F324" s="30" t="s">
        <v>35</v>
      </c>
      <c r="G324" s="31"/>
      <c r="H324" s="32"/>
      <c r="I324" s="33">
        <f>ROUND((SUM(I305:I323)),0)</f>
        <v>76746</v>
      </c>
    </row>
    <row r="325" spans="1:9" ht="16.5" x14ac:dyDescent="0.3">
      <c r="A325" s="160"/>
      <c r="B325" s="161"/>
      <c r="C325" s="161"/>
      <c r="D325" s="161"/>
      <c r="E325" s="161"/>
      <c r="F325" s="161"/>
      <c r="G325" s="161"/>
      <c r="H325" s="161"/>
      <c r="I325" s="162"/>
    </row>
    <row r="326" spans="1:9" ht="16.5" x14ac:dyDescent="0.3">
      <c r="A326" s="10" t="s">
        <v>40</v>
      </c>
      <c r="B326" s="163" t="e">
        <f>'PRESUPUESTO_ESTUDIO MERCADO '!#REF!</f>
        <v>#REF!</v>
      </c>
      <c r="C326" s="164"/>
      <c r="D326" s="164"/>
      <c r="E326" s="164"/>
      <c r="F326" s="164"/>
      <c r="G326" s="164"/>
      <c r="H326" s="164"/>
      <c r="I326" s="165"/>
    </row>
    <row r="327" spans="1:9" ht="16.5" x14ac:dyDescent="0.3">
      <c r="A327" s="11" t="s">
        <v>144</v>
      </c>
      <c r="B327" s="166"/>
      <c r="C327" s="166"/>
      <c r="D327" s="166"/>
      <c r="E327" s="166"/>
      <c r="F327" s="166"/>
      <c r="G327" s="166"/>
      <c r="H327" s="12" t="s">
        <v>42</v>
      </c>
      <c r="I327" s="13" t="s">
        <v>20</v>
      </c>
    </row>
    <row r="328" spans="1:9" ht="16.5" x14ac:dyDescent="0.3">
      <c r="A328" s="167" t="s">
        <v>44</v>
      </c>
      <c r="B328" s="167"/>
      <c r="C328" s="167"/>
      <c r="D328" s="167"/>
      <c r="E328" s="167"/>
      <c r="F328" s="14" t="s">
        <v>9</v>
      </c>
      <c r="G328" s="14" t="s">
        <v>45</v>
      </c>
      <c r="H328" s="14" t="s">
        <v>46</v>
      </c>
      <c r="I328" s="15" t="s">
        <v>47</v>
      </c>
    </row>
    <row r="329" spans="1:9" x14ac:dyDescent="0.25">
      <c r="A329" s="159" t="s">
        <v>48</v>
      </c>
      <c r="B329" s="159"/>
      <c r="C329" s="159"/>
      <c r="D329" s="159"/>
      <c r="E329" s="159"/>
      <c r="F329" s="17"/>
      <c r="G329" s="17"/>
      <c r="H329" s="18"/>
      <c r="I329" s="19">
        <f>ROUND((SUM(I345:I346)*0.05),0)</f>
        <v>1417</v>
      </c>
    </row>
    <row r="330" spans="1:9" x14ac:dyDescent="0.25">
      <c r="A330" s="159" t="s">
        <v>145</v>
      </c>
      <c r="B330" s="159"/>
      <c r="C330" s="159"/>
      <c r="D330" s="159"/>
      <c r="E330" s="159"/>
      <c r="F330" s="17">
        <v>2</v>
      </c>
      <c r="G330" s="17">
        <v>6000</v>
      </c>
      <c r="H330" s="21">
        <f>+H345</f>
        <v>15</v>
      </c>
      <c r="I330" s="19">
        <f>+F330*G330/H330</f>
        <v>800</v>
      </c>
    </row>
    <row r="331" spans="1:9" x14ac:dyDescent="0.25">
      <c r="A331" s="174"/>
      <c r="B331" s="175"/>
      <c r="C331" s="175"/>
      <c r="D331" s="175"/>
      <c r="E331" s="176"/>
      <c r="F331" s="17"/>
      <c r="G331" s="17"/>
      <c r="H331" s="21"/>
      <c r="I331" s="19"/>
    </row>
    <row r="332" spans="1:9" ht="16.5" x14ac:dyDescent="0.3">
      <c r="A332" s="167" t="s">
        <v>49</v>
      </c>
      <c r="B332" s="167"/>
      <c r="C332" s="167"/>
      <c r="D332" s="167"/>
      <c r="E332" s="167"/>
      <c r="F332" s="14" t="s">
        <v>50</v>
      </c>
      <c r="G332" s="22" t="s">
        <v>51</v>
      </c>
      <c r="H332" s="22" t="s">
        <v>52</v>
      </c>
      <c r="I332" s="15" t="s">
        <v>53</v>
      </c>
    </row>
    <row r="333" spans="1:9" x14ac:dyDescent="0.25">
      <c r="A333" s="159" t="str">
        <f>'A.P.A'!B69</f>
        <v>APA PREPARACION MORTERO 1:4 EN OBRA</v>
      </c>
      <c r="B333" s="159"/>
      <c r="C333" s="159"/>
      <c r="D333" s="159"/>
      <c r="E333" s="159"/>
      <c r="F333" s="23" t="s">
        <v>111</v>
      </c>
      <c r="G333" s="24">
        <f>'A.P.A'!I90</f>
        <v>491083</v>
      </c>
      <c r="H333" s="18">
        <v>0.03</v>
      </c>
      <c r="I333" s="24">
        <f>+H333*G333</f>
        <v>14732.49</v>
      </c>
    </row>
    <row r="334" spans="1:9" x14ac:dyDescent="0.25">
      <c r="A334" s="159"/>
      <c r="B334" s="159"/>
      <c r="C334" s="159"/>
      <c r="D334" s="159"/>
      <c r="E334" s="159"/>
      <c r="F334" s="23"/>
      <c r="G334" s="24"/>
      <c r="H334" s="18"/>
      <c r="I334" s="24">
        <f>+H334*G334</f>
        <v>0</v>
      </c>
    </row>
    <row r="335" spans="1:9" x14ac:dyDescent="0.25">
      <c r="A335" s="174"/>
      <c r="B335" s="175"/>
      <c r="C335" s="175"/>
      <c r="D335" s="175"/>
      <c r="E335" s="176"/>
      <c r="F335" s="23"/>
      <c r="G335" s="18"/>
      <c r="H335" s="18"/>
      <c r="I335" s="24">
        <f>+H335*G335</f>
        <v>0</v>
      </c>
    </row>
    <row r="336" spans="1:9" x14ac:dyDescent="0.25">
      <c r="A336" s="174"/>
      <c r="B336" s="175"/>
      <c r="C336" s="175"/>
      <c r="D336" s="175"/>
      <c r="E336" s="176"/>
      <c r="F336" s="23"/>
      <c r="G336" s="18"/>
      <c r="H336" s="18"/>
      <c r="I336" s="24">
        <f>+G336*H336</f>
        <v>0</v>
      </c>
    </row>
    <row r="337" spans="1:13" x14ac:dyDescent="0.25">
      <c r="A337" s="159"/>
      <c r="B337" s="159"/>
      <c r="C337" s="159"/>
      <c r="D337" s="159"/>
      <c r="E337" s="159"/>
      <c r="F337" s="23"/>
      <c r="G337" s="18"/>
      <c r="H337" s="18"/>
      <c r="I337" s="24">
        <f t="shared" ref="I337:I340" si="13">+G337*H337</f>
        <v>0</v>
      </c>
    </row>
    <row r="338" spans="1:13" x14ac:dyDescent="0.25">
      <c r="A338" s="174"/>
      <c r="B338" s="175"/>
      <c r="C338" s="175"/>
      <c r="D338" s="175"/>
      <c r="E338" s="176"/>
      <c r="F338" s="23"/>
      <c r="G338" s="18"/>
      <c r="H338" s="18"/>
      <c r="I338" s="24">
        <f t="shared" si="13"/>
        <v>0</v>
      </c>
      <c r="M338" s="74"/>
    </row>
    <row r="339" spans="1:13" x14ac:dyDescent="0.25">
      <c r="A339" s="159"/>
      <c r="B339" s="159"/>
      <c r="C339" s="159"/>
      <c r="D339" s="159"/>
      <c r="E339" s="159"/>
      <c r="F339" s="23"/>
      <c r="G339" s="18"/>
      <c r="H339" s="18"/>
      <c r="I339" s="24">
        <f t="shared" si="13"/>
        <v>0</v>
      </c>
      <c r="M339" s="75"/>
    </row>
    <row r="340" spans="1:13" x14ac:dyDescent="0.25">
      <c r="A340" s="159"/>
      <c r="B340" s="159"/>
      <c r="C340" s="159"/>
      <c r="D340" s="159"/>
      <c r="E340" s="159"/>
      <c r="F340" s="23"/>
      <c r="G340" s="18"/>
      <c r="H340" s="18"/>
      <c r="I340" s="24">
        <f t="shared" si="13"/>
        <v>0</v>
      </c>
    </row>
    <row r="341" spans="1:13" ht="16.5" x14ac:dyDescent="0.3">
      <c r="A341" s="167" t="s">
        <v>61</v>
      </c>
      <c r="B341" s="167"/>
      <c r="C341" s="167"/>
      <c r="D341" s="167"/>
      <c r="E341" s="25" t="s">
        <v>62</v>
      </c>
      <c r="F341" s="14" t="s">
        <v>63</v>
      </c>
      <c r="G341" s="14" t="s">
        <v>64</v>
      </c>
      <c r="H341" s="14" t="s">
        <v>65</v>
      </c>
      <c r="I341" s="15" t="s">
        <v>53</v>
      </c>
    </row>
    <row r="342" spans="1:13" x14ac:dyDescent="0.25">
      <c r="A342" s="159" t="s">
        <v>66</v>
      </c>
      <c r="B342" s="159"/>
      <c r="C342" s="159"/>
      <c r="D342" s="159"/>
      <c r="E342" s="26"/>
      <c r="F342" s="26">
        <v>6</v>
      </c>
      <c r="G342" s="26">
        <f>35000/F342</f>
        <v>5833.333333333333</v>
      </c>
      <c r="H342" s="26">
        <f>+G342*6</f>
        <v>35000</v>
      </c>
      <c r="I342" s="18">
        <f>+E342*G342</f>
        <v>0</v>
      </c>
    </row>
    <row r="343" spans="1:13" x14ac:dyDescent="0.25">
      <c r="A343" s="159" t="s">
        <v>67</v>
      </c>
      <c r="B343" s="159"/>
      <c r="C343" s="159"/>
      <c r="D343" s="159"/>
      <c r="E343" s="26"/>
      <c r="F343" s="26"/>
      <c r="G343" s="26"/>
      <c r="H343" s="26"/>
      <c r="I343" s="18">
        <f>+E343*G343</f>
        <v>0</v>
      </c>
    </row>
    <row r="344" spans="1:13" ht="16.5" x14ac:dyDescent="0.3">
      <c r="A344" s="167" t="s">
        <v>68</v>
      </c>
      <c r="B344" s="167"/>
      <c r="C344" s="167"/>
      <c r="D344" s="167"/>
      <c r="E344" s="14" t="s">
        <v>52</v>
      </c>
      <c r="F344" s="170" t="s">
        <v>69</v>
      </c>
      <c r="G344" s="171"/>
      <c r="H344" s="27" t="s">
        <v>46</v>
      </c>
      <c r="I344" s="28" t="s">
        <v>53</v>
      </c>
    </row>
    <row r="345" spans="1:13" x14ac:dyDescent="0.25">
      <c r="A345" s="168" t="str">
        <f>CUADRILLAS!B13</f>
        <v>CUADRILLA 8</v>
      </c>
      <c r="B345" s="168"/>
      <c r="C345" s="168"/>
      <c r="D345" s="168"/>
      <c r="E345" s="18">
        <v>1</v>
      </c>
      <c r="F345" s="177">
        <f>CUADRILLAS!D13</f>
        <v>425000</v>
      </c>
      <c r="G345" s="177"/>
      <c r="H345" s="21">
        <v>15</v>
      </c>
      <c r="I345" s="24">
        <f>+E345*F345/H345</f>
        <v>28333.333333333332</v>
      </c>
    </row>
    <row r="346" spans="1:13" x14ac:dyDescent="0.25">
      <c r="A346" s="168"/>
      <c r="B346" s="168"/>
      <c r="C346" s="168"/>
      <c r="D346" s="168"/>
      <c r="E346" s="18"/>
      <c r="F346" s="177"/>
      <c r="G346" s="177"/>
      <c r="H346" s="21"/>
      <c r="I346" s="24"/>
    </row>
    <row r="347" spans="1:13" ht="16.5" x14ac:dyDescent="0.3">
      <c r="A347" s="160"/>
      <c r="B347" s="161"/>
      <c r="C347" s="161"/>
      <c r="D347" s="161"/>
      <c r="E347" s="162"/>
      <c r="F347" s="30" t="s">
        <v>35</v>
      </c>
      <c r="G347" s="31"/>
      <c r="H347" s="32"/>
      <c r="I347" s="36">
        <f>ROUND((SUM(I329:I346)),0)</f>
        <v>45283</v>
      </c>
    </row>
    <row r="348" spans="1:13" ht="16.5" x14ac:dyDescent="0.3">
      <c r="A348" s="10" t="s">
        <v>40</v>
      </c>
      <c r="B348" s="163" t="e">
        <f>'PRESUPUESTO_ESTUDIO MERCADO '!#REF!</f>
        <v>#REF!</v>
      </c>
      <c r="C348" s="164"/>
      <c r="D348" s="164"/>
      <c r="E348" s="164"/>
      <c r="F348" s="164"/>
      <c r="G348" s="164"/>
      <c r="H348" s="164"/>
      <c r="I348" s="165"/>
    </row>
    <row r="349" spans="1:13" ht="16.5" x14ac:dyDescent="0.3">
      <c r="A349" s="11" t="s">
        <v>146</v>
      </c>
      <c r="B349" s="166"/>
      <c r="C349" s="166"/>
      <c r="D349" s="166"/>
      <c r="E349" s="166"/>
      <c r="F349" s="166"/>
      <c r="G349" s="166"/>
      <c r="H349" s="12" t="s">
        <v>42</v>
      </c>
      <c r="I349" s="13" t="s">
        <v>20</v>
      </c>
    </row>
    <row r="350" spans="1:13" ht="16.5" x14ac:dyDescent="0.3">
      <c r="A350" s="167" t="s">
        <v>44</v>
      </c>
      <c r="B350" s="167"/>
      <c r="C350" s="167"/>
      <c r="D350" s="167"/>
      <c r="E350" s="167"/>
      <c r="F350" s="14" t="s">
        <v>9</v>
      </c>
      <c r="G350" s="14" t="s">
        <v>45</v>
      </c>
      <c r="H350" s="14" t="s">
        <v>46</v>
      </c>
      <c r="I350" s="15" t="s">
        <v>47</v>
      </c>
    </row>
    <row r="351" spans="1:13" x14ac:dyDescent="0.25">
      <c r="A351" s="159" t="s">
        <v>48</v>
      </c>
      <c r="B351" s="159"/>
      <c r="C351" s="159"/>
      <c r="D351" s="159"/>
      <c r="E351" s="159"/>
      <c r="F351" s="17"/>
      <c r="G351" s="17"/>
      <c r="H351" s="18"/>
      <c r="I351" s="19">
        <f>ROUND((SUM(I367:I368)*0.05),0)</f>
        <v>276</v>
      </c>
    </row>
    <row r="352" spans="1:13" x14ac:dyDescent="0.25">
      <c r="A352" s="159" t="s">
        <v>145</v>
      </c>
      <c r="B352" s="159"/>
      <c r="C352" s="159"/>
      <c r="D352" s="159"/>
      <c r="E352" s="159"/>
      <c r="F352" s="17">
        <v>2</v>
      </c>
      <c r="G352" s="17">
        <v>3000</v>
      </c>
      <c r="H352" s="21">
        <f>+H367</f>
        <v>40</v>
      </c>
      <c r="I352" s="19">
        <f>+F352*G352/H352</f>
        <v>150</v>
      </c>
    </row>
    <row r="353" spans="1:9" x14ac:dyDescent="0.25">
      <c r="A353" s="159"/>
      <c r="B353" s="159"/>
      <c r="C353" s="159"/>
      <c r="D353" s="159"/>
      <c r="E353" s="159"/>
      <c r="F353" s="17"/>
      <c r="G353" s="17"/>
      <c r="H353" s="21"/>
      <c r="I353" s="19"/>
    </row>
    <row r="354" spans="1:9" ht="16.5" x14ac:dyDescent="0.3">
      <c r="A354" s="167" t="s">
        <v>49</v>
      </c>
      <c r="B354" s="167"/>
      <c r="C354" s="167"/>
      <c r="D354" s="167"/>
      <c r="E354" s="167"/>
      <c r="F354" s="14" t="s">
        <v>50</v>
      </c>
      <c r="G354" s="22" t="s">
        <v>51</v>
      </c>
      <c r="H354" s="22" t="s">
        <v>52</v>
      </c>
      <c r="I354" s="15" t="s">
        <v>53</v>
      </c>
    </row>
    <row r="355" spans="1:9" x14ac:dyDescent="0.25">
      <c r="A355" s="159" t="s">
        <v>147</v>
      </c>
      <c r="B355" s="159"/>
      <c r="C355" s="159"/>
      <c r="D355" s="159"/>
      <c r="E355" s="159"/>
      <c r="F355" s="23" t="s">
        <v>99</v>
      </c>
      <c r="G355" s="24">
        <v>2500</v>
      </c>
      <c r="H355" s="18">
        <v>1.05</v>
      </c>
      <c r="I355" s="24">
        <f>+H355*G355</f>
        <v>2625</v>
      </c>
    </row>
    <row r="356" spans="1:9" x14ac:dyDescent="0.25">
      <c r="A356" s="159" t="s">
        <v>148</v>
      </c>
      <c r="B356" s="159"/>
      <c r="C356" s="159"/>
      <c r="D356" s="159"/>
      <c r="E356" s="159"/>
      <c r="F356" s="23" t="s">
        <v>43</v>
      </c>
      <c r="G356" s="24">
        <v>900</v>
      </c>
      <c r="H356" s="18">
        <v>0.2</v>
      </c>
      <c r="I356" s="24">
        <f>+H356*G356</f>
        <v>180</v>
      </c>
    </row>
    <row r="357" spans="1:9" x14ac:dyDescent="0.25">
      <c r="A357" s="159"/>
      <c r="B357" s="159"/>
      <c r="C357" s="159"/>
      <c r="D357" s="159"/>
      <c r="E357" s="159"/>
      <c r="F357" s="23"/>
      <c r="G357" s="18"/>
      <c r="H357" s="18"/>
      <c r="I357" s="24">
        <f>+H357*G357</f>
        <v>0</v>
      </c>
    </row>
    <row r="358" spans="1:9" x14ac:dyDescent="0.25">
      <c r="A358" s="159"/>
      <c r="B358" s="159"/>
      <c r="C358" s="159"/>
      <c r="D358" s="159"/>
      <c r="E358" s="159"/>
      <c r="F358" s="23"/>
      <c r="G358" s="18"/>
      <c r="H358" s="18"/>
      <c r="I358" s="24">
        <f>+G358*H358</f>
        <v>0</v>
      </c>
    </row>
    <row r="359" spans="1:9" x14ac:dyDescent="0.25">
      <c r="A359" s="159"/>
      <c r="B359" s="159"/>
      <c r="C359" s="159"/>
      <c r="D359" s="159"/>
      <c r="E359" s="159"/>
      <c r="F359" s="23"/>
      <c r="G359" s="18"/>
      <c r="H359" s="18"/>
      <c r="I359" s="24">
        <f t="shared" ref="I359:I362" si="14">+G359*H359</f>
        <v>0</v>
      </c>
    </row>
    <row r="360" spans="1:9" x14ac:dyDescent="0.25">
      <c r="A360" s="159"/>
      <c r="B360" s="159"/>
      <c r="C360" s="159"/>
      <c r="D360" s="159"/>
      <c r="E360" s="159"/>
      <c r="F360" s="23"/>
      <c r="G360" s="18"/>
      <c r="H360" s="18"/>
      <c r="I360" s="24">
        <f t="shared" si="14"/>
        <v>0</v>
      </c>
    </row>
    <row r="361" spans="1:9" x14ac:dyDescent="0.25">
      <c r="A361" s="159"/>
      <c r="B361" s="159"/>
      <c r="C361" s="159"/>
      <c r="D361" s="159"/>
      <c r="E361" s="159"/>
      <c r="F361" s="23"/>
      <c r="G361" s="18"/>
      <c r="H361" s="18"/>
      <c r="I361" s="24">
        <f t="shared" si="14"/>
        <v>0</v>
      </c>
    </row>
    <row r="362" spans="1:9" x14ac:dyDescent="0.25">
      <c r="A362" s="159"/>
      <c r="B362" s="159"/>
      <c r="C362" s="159"/>
      <c r="D362" s="159"/>
      <c r="E362" s="159"/>
      <c r="F362" s="23"/>
      <c r="G362" s="18"/>
      <c r="H362" s="18"/>
      <c r="I362" s="24">
        <f t="shared" si="14"/>
        <v>0</v>
      </c>
    </row>
    <row r="363" spans="1:9" ht="16.5" x14ac:dyDescent="0.3">
      <c r="A363" s="167" t="s">
        <v>61</v>
      </c>
      <c r="B363" s="167"/>
      <c r="C363" s="167"/>
      <c r="D363" s="167"/>
      <c r="E363" s="25" t="s">
        <v>62</v>
      </c>
      <c r="F363" s="14" t="s">
        <v>63</v>
      </c>
      <c r="G363" s="14" t="s">
        <v>64</v>
      </c>
      <c r="H363" s="14" t="s">
        <v>65</v>
      </c>
      <c r="I363" s="15" t="s">
        <v>53</v>
      </c>
    </row>
    <row r="364" spans="1:9" x14ac:dyDescent="0.25">
      <c r="A364" s="159" t="s">
        <v>66</v>
      </c>
      <c r="B364" s="159"/>
      <c r="C364" s="159"/>
      <c r="D364" s="159"/>
      <c r="E364" s="26">
        <f>4.6*H355/1000</f>
        <v>4.8300000000000001E-3</v>
      </c>
      <c r="F364" s="26">
        <v>6</v>
      </c>
      <c r="G364" s="26">
        <f>35000/F364</f>
        <v>5833.333333333333</v>
      </c>
      <c r="H364" s="26">
        <f>+G364*6</f>
        <v>35000</v>
      </c>
      <c r="I364" s="18"/>
    </row>
    <row r="365" spans="1:9" x14ac:dyDescent="0.25">
      <c r="A365" s="159" t="s">
        <v>67</v>
      </c>
      <c r="B365" s="159"/>
      <c r="C365" s="159"/>
      <c r="D365" s="159"/>
      <c r="E365" s="26"/>
      <c r="F365" s="26"/>
      <c r="G365" s="26"/>
      <c r="H365" s="26"/>
      <c r="I365" s="18">
        <f>+E365*G365</f>
        <v>0</v>
      </c>
    </row>
    <row r="366" spans="1:9" ht="16.5" x14ac:dyDescent="0.3">
      <c r="A366" s="167" t="s">
        <v>68</v>
      </c>
      <c r="B366" s="167"/>
      <c r="C366" s="167"/>
      <c r="D366" s="167"/>
      <c r="E366" s="14" t="s">
        <v>52</v>
      </c>
      <c r="F366" s="170" t="s">
        <v>69</v>
      </c>
      <c r="G366" s="171"/>
      <c r="H366" s="27" t="s">
        <v>46</v>
      </c>
      <c r="I366" s="28" t="s">
        <v>53</v>
      </c>
    </row>
    <row r="367" spans="1:9" x14ac:dyDescent="0.25">
      <c r="A367" s="168" t="str">
        <f>CUADRILLAS!A17</f>
        <v>OFICIAL OBRA BLANCA</v>
      </c>
      <c r="B367" s="168"/>
      <c r="C367" s="168"/>
      <c r="D367" s="168"/>
      <c r="E367" s="18">
        <v>1</v>
      </c>
      <c r="F367" s="177">
        <f>CUADRILLAS!B17*1.7</f>
        <v>136000</v>
      </c>
      <c r="G367" s="177"/>
      <c r="H367" s="21">
        <v>40</v>
      </c>
      <c r="I367" s="24">
        <f>+(E367*F367)/H367</f>
        <v>3400</v>
      </c>
    </row>
    <row r="368" spans="1:9" x14ac:dyDescent="0.25">
      <c r="A368" s="168" t="str">
        <f>CUADRILLAS!A23</f>
        <v>AYUDANTE ENTENDIDO</v>
      </c>
      <c r="B368" s="168"/>
      <c r="C368" s="168"/>
      <c r="D368" s="168"/>
      <c r="E368" s="18">
        <v>1</v>
      </c>
      <c r="F368" s="177">
        <f>CUADRILLAS!B23*1.7</f>
        <v>85000</v>
      </c>
      <c r="G368" s="177"/>
      <c r="H368" s="21">
        <v>40</v>
      </c>
      <c r="I368" s="24">
        <f>+(E368*F368)/H368</f>
        <v>2125</v>
      </c>
    </row>
    <row r="369" spans="1:9" ht="16.5" x14ac:dyDescent="0.3">
      <c r="A369" s="160"/>
      <c r="B369" s="161"/>
      <c r="C369" s="161"/>
      <c r="D369" s="161"/>
      <c r="E369" s="162"/>
      <c r="F369" s="30" t="s">
        <v>35</v>
      </c>
      <c r="G369" s="31"/>
      <c r="H369" s="32"/>
      <c r="I369" s="33">
        <f>ROUND((SUM(I351:I368)),0)</f>
        <v>8756</v>
      </c>
    </row>
    <row r="370" spans="1:9" ht="16.5" x14ac:dyDescent="0.3">
      <c r="A370" s="160"/>
      <c r="B370" s="161"/>
      <c r="C370" s="161"/>
      <c r="D370" s="161"/>
      <c r="E370" s="161"/>
      <c r="F370" s="161"/>
      <c r="G370" s="161"/>
      <c r="H370" s="161"/>
      <c r="I370" s="162"/>
    </row>
    <row r="371" spans="1:9" ht="16.5" x14ac:dyDescent="0.3">
      <c r="A371" s="10" t="s">
        <v>40</v>
      </c>
      <c r="B371" s="181" t="str">
        <f>'PRESUPUESTO_ESTUDIO MERCADO '!B10</f>
        <v>Suministro  y aplicación de pintura acrilica, Vinilo Tipo 1 de primera calidad sobre muros revocados y/o estucados, tres manos o las necesarias para obtener una superficie pareja y homogénea. Incluye suministro y transporte de los materiales, tapa poros, adecuación de la superficie a intervenir hasta obtener una superficie pareja y homogénea, color a definir</v>
      </c>
      <c r="C371" s="182"/>
      <c r="D371" s="182"/>
      <c r="E371" s="182"/>
      <c r="F371" s="182"/>
      <c r="G371" s="182"/>
      <c r="H371" s="182"/>
      <c r="I371" s="183"/>
    </row>
    <row r="372" spans="1:9" ht="16.5" x14ac:dyDescent="0.3">
      <c r="A372" s="11" t="s">
        <v>149</v>
      </c>
      <c r="B372" s="166"/>
      <c r="C372" s="166"/>
      <c r="D372" s="166"/>
      <c r="E372" s="166"/>
      <c r="F372" s="166"/>
      <c r="G372" s="166"/>
      <c r="H372" s="12" t="s">
        <v>42</v>
      </c>
      <c r="I372" s="13" t="s">
        <v>20</v>
      </c>
    </row>
    <row r="373" spans="1:9" ht="16.5" x14ac:dyDescent="0.3">
      <c r="A373" s="167" t="s">
        <v>44</v>
      </c>
      <c r="B373" s="167"/>
      <c r="C373" s="167"/>
      <c r="D373" s="167"/>
      <c r="E373" s="167"/>
      <c r="F373" s="14" t="s">
        <v>9</v>
      </c>
      <c r="G373" s="14" t="s">
        <v>45</v>
      </c>
      <c r="H373" s="14" t="s">
        <v>46</v>
      </c>
      <c r="I373" s="15" t="s">
        <v>47</v>
      </c>
    </row>
    <row r="374" spans="1:9" x14ac:dyDescent="0.25">
      <c r="A374" s="159" t="s">
        <v>48</v>
      </c>
      <c r="B374" s="159"/>
      <c r="C374" s="159"/>
      <c r="D374" s="159"/>
      <c r="E374" s="159"/>
      <c r="F374" s="17"/>
      <c r="G374" s="17"/>
      <c r="H374" s="18"/>
      <c r="I374" s="19">
        <f>ROUND((SUM(I390:I391)*0.05),0)</f>
        <v>502</v>
      </c>
    </row>
    <row r="375" spans="1:9" x14ac:dyDescent="0.25">
      <c r="A375" s="159" t="s">
        <v>145</v>
      </c>
      <c r="B375" s="159"/>
      <c r="C375" s="159"/>
      <c r="D375" s="159"/>
      <c r="E375" s="159"/>
      <c r="F375" s="17">
        <v>1</v>
      </c>
      <c r="G375" s="17"/>
      <c r="H375" s="21"/>
      <c r="I375" s="19"/>
    </row>
    <row r="376" spans="1:9" x14ac:dyDescent="0.25">
      <c r="A376" s="174"/>
      <c r="B376" s="175"/>
      <c r="C376" s="175"/>
      <c r="D376" s="175"/>
      <c r="E376" s="176"/>
      <c r="F376" s="17"/>
      <c r="G376" s="17"/>
      <c r="H376" s="21"/>
      <c r="I376" s="19"/>
    </row>
    <row r="377" spans="1:9" ht="16.5" x14ac:dyDescent="0.3">
      <c r="A377" s="167" t="s">
        <v>49</v>
      </c>
      <c r="B377" s="167"/>
      <c r="C377" s="167"/>
      <c r="D377" s="167"/>
      <c r="E377" s="167"/>
      <c r="F377" s="14" t="s">
        <v>50</v>
      </c>
      <c r="G377" s="22" t="s">
        <v>51</v>
      </c>
      <c r="H377" s="22" t="s">
        <v>52</v>
      </c>
      <c r="I377" s="15" t="s">
        <v>53</v>
      </c>
    </row>
    <row r="378" spans="1:9" x14ac:dyDescent="0.25">
      <c r="A378" s="159" t="s">
        <v>150</v>
      </c>
      <c r="B378" s="159"/>
      <c r="C378" s="159"/>
      <c r="D378" s="159"/>
      <c r="E378" s="159"/>
      <c r="F378" s="23" t="s">
        <v>151</v>
      </c>
      <c r="G378" s="24">
        <v>80000</v>
      </c>
      <c r="H378" s="18">
        <v>0.05</v>
      </c>
      <c r="I378" s="24">
        <f>+H378*G378</f>
        <v>4000</v>
      </c>
    </row>
    <row r="379" spans="1:9" x14ac:dyDescent="0.25">
      <c r="A379" s="159"/>
      <c r="B379" s="159"/>
      <c r="C379" s="159"/>
      <c r="D379" s="159"/>
      <c r="E379" s="159"/>
      <c r="F379" s="23"/>
      <c r="G379" s="24"/>
      <c r="H379" s="18"/>
      <c r="I379" s="24">
        <f>+H379*G379</f>
        <v>0</v>
      </c>
    </row>
    <row r="380" spans="1:9" x14ac:dyDescent="0.25">
      <c r="A380" s="174"/>
      <c r="B380" s="175"/>
      <c r="C380" s="175"/>
      <c r="D380" s="175"/>
      <c r="E380" s="176"/>
      <c r="F380" s="23"/>
      <c r="G380" s="18"/>
      <c r="H380" s="18"/>
      <c r="I380" s="24">
        <f>+H380*G380</f>
        <v>0</v>
      </c>
    </row>
    <row r="381" spans="1:9" x14ac:dyDescent="0.25">
      <c r="A381" s="174"/>
      <c r="B381" s="175"/>
      <c r="C381" s="175"/>
      <c r="D381" s="175"/>
      <c r="E381" s="176"/>
      <c r="F381" s="23"/>
      <c r="G381" s="18"/>
      <c r="H381" s="18"/>
      <c r="I381" s="24">
        <f>+G381*H381</f>
        <v>0</v>
      </c>
    </row>
    <row r="382" spans="1:9" x14ac:dyDescent="0.25">
      <c r="A382" s="159"/>
      <c r="B382" s="159"/>
      <c r="C382" s="159"/>
      <c r="D382" s="159"/>
      <c r="E382" s="159"/>
      <c r="F382" s="23"/>
      <c r="G382" s="18"/>
      <c r="H382" s="18"/>
      <c r="I382" s="24">
        <f t="shared" ref="I382:I385" si="15">+G382*H382</f>
        <v>0</v>
      </c>
    </row>
    <row r="383" spans="1:9" x14ac:dyDescent="0.25">
      <c r="A383" s="174"/>
      <c r="B383" s="175"/>
      <c r="C383" s="175"/>
      <c r="D383" s="175"/>
      <c r="E383" s="176"/>
      <c r="F383" s="23"/>
      <c r="G383" s="18"/>
      <c r="H383" s="18"/>
      <c r="I383" s="24">
        <f t="shared" si="15"/>
        <v>0</v>
      </c>
    </row>
    <row r="384" spans="1:9" x14ac:dyDescent="0.25">
      <c r="A384" s="159"/>
      <c r="B384" s="159"/>
      <c r="C384" s="159"/>
      <c r="D384" s="159"/>
      <c r="E384" s="159"/>
      <c r="F384" s="23"/>
      <c r="G384" s="18"/>
      <c r="H384" s="18"/>
      <c r="I384" s="24">
        <f t="shared" si="15"/>
        <v>0</v>
      </c>
    </row>
    <row r="385" spans="1:9" x14ac:dyDescent="0.25">
      <c r="A385" s="159"/>
      <c r="B385" s="159"/>
      <c r="C385" s="159"/>
      <c r="D385" s="159"/>
      <c r="E385" s="159"/>
      <c r="F385" s="23"/>
      <c r="G385" s="18"/>
      <c r="H385" s="18"/>
      <c r="I385" s="24">
        <f t="shared" si="15"/>
        <v>0</v>
      </c>
    </row>
    <row r="386" spans="1:9" ht="16.5" x14ac:dyDescent="0.3">
      <c r="A386" s="167" t="s">
        <v>61</v>
      </c>
      <c r="B386" s="167"/>
      <c r="C386" s="167"/>
      <c r="D386" s="167"/>
      <c r="E386" s="25" t="s">
        <v>62</v>
      </c>
      <c r="F386" s="14" t="s">
        <v>63</v>
      </c>
      <c r="G386" s="14" t="s">
        <v>64</v>
      </c>
      <c r="H386" s="14" t="s">
        <v>65</v>
      </c>
      <c r="I386" s="15" t="s">
        <v>53</v>
      </c>
    </row>
    <row r="387" spans="1:9" x14ac:dyDescent="0.25">
      <c r="A387" s="159" t="s">
        <v>66</v>
      </c>
      <c r="B387" s="159"/>
      <c r="C387" s="159"/>
      <c r="D387" s="159"/>
      <c r="E387" s="26"/>
      <c r="F387" s="26"/>
      <c r="G387" s="26"/>
      <c r="H387" s="26"/>
      <c r="I387" s="18">
        <f>+E387*G387</f>
        <v>0</v>
      </c>
    </row>
    <row r="388" spans="1:9" x14ac:dyDescent="0.25">
      <c r="A388" s="159" t="s">
        <v>67</v>
      </c>
      <c r="B388" s="159"/>
      <c r="C388" s="159"/>
      <c r="D388" s="159"/>
      <c r="E388" s="26"/>
      <c r="F388" s="26"/>
      <c r="G388" s="26"/>
      <c r="H388" s="26"/>
      <c r="I388" s="18">
        <f>+E388*G388</f>
        <v>0</v>
      </c>
    </row>
    <row r="389" spans="1:9" ht="16.5" x14ac:dyDescent="0.3">
      <c r="A389" s="167" t="s">
        <v>68</v>
      </c>
      <c r="B389" s="167"/>
      <c r="C389" s="167"/>
      <c r="D389" s="167"/>
      <c r="E389" s="14" t="s">
        <v>52</v>
      </c>
      <c r="F389" s="170" t="s">
        <v>69</v>
      </c>
      <c r="G389" s="171"/>
      <c r="H389" s="27" t="s">
        <v>46</v>
      </c>
      <c r="I389" s="28" t="s">
        <v>53</v>
      </c>
    </row>
    <row r="390" spans="1:9" x14ac:dyDescent="0.25">
      <c r="A390" s="168" t="s">
        <v>152</v>
      </c>
      <c r="B390" s="168"/>
      <c r="C390" s="168"/>
      <c r="D390" s="168"/>
      <c r="E390" s="18">
        <v>1</v>
      </c>
      <c r="F390" s="177">
        <f>CUADRILLAS!B17*1.7</f>
        <v>136000</v>
      </c>
      <c r="G390" s="177"/>
      <c r="H390" s="21">
        <v>22</v>
      </c>
      <c r="I390" s="24">
        <f>+E390*F390/H390</f>
        <v>6181.818181818182</v>
      </c>
    </row>
    <row r="391" spans="1:9" x14ac:dyDescent="0.25">
      <c r="A391" s="168" t="s">
        <v>153</v>
      </c>
      <c r="B391" s="168"/>
      <c r="C391" s="168"/>
      <c r="D391" s="168"/>
      <c r="E391" s="18">
        <v>1</v>
      </c>
      <c r="F391" s="177">
        <f>CUADRILLAS!B23*1.7</f>
        <v>85000</v>
      </c>
      <c r="G391" s="177"/>
      <c r="H391" s="21">
        <v>22</v>
      </c>
      <c r="I391" s="24">
        <f>+E391*F391/H391</f>
        <v>3863.6363636363635</v>
      </c>
    </row>
    <row r="392" spans="1:9" ht="16.5" x14ac:dyDescent="0.3">
      <c r="A392" s="160"/>
      <c r="B392" s="161"/>
      <c r="C392" s="161"/>
      <c r="D392" s="161"/>
      <c r="E392" s="162"/>
      <c r="F392" s="30" t="s">
        <v>35</v>
      </c>
      <c r="G392" s="31"/>
      <c r="H392" s="32"/>
      <c r="I392" s="36">
        <f>ROUND((SUM(I374:I391)),0)</f>
        <v>14547</v>
      </c>
    </row>
    <row r="393" spans="1:9" ht="16.5" x14ac:dyDescent="0.3">
      <c r="A393" s="10" t="s">
        <v>40</v>
      </c>
      <c r="B393" s="181" t="e">
        <f>'PRESUPUESTO_ESTUDIO MERCADO '!#REF!</f>
        <v>#REF!</v>
      </c>
      <c r="C393" s="182"/>
      <c r="D393" s="182"/>
      <c r="E393" s="182"/>
      <c r="F393" s="182"/>
      <c r="G393" s="182"/>
      <c r="H393" s="182"/>
      <c r="I393" s="183"/>
    </row>
    <row r="394" spans="1:9" ht="16.5" x14ac:dyDescent="0.3">
      <c r="A394" s="11" t="s">
        <v>149</v>
      </c>
      <c r="B394" s="166"/>
      <c r="C394" s="166"/>
      <c r="D394" s="166"/>
      <c r="E394" s="166"/>
      <c r="F394" s="166"/>
      <c r="G394" s="166"/>
      <c r="H394" s="12" t="s">
        <v>42</v>
      </c>
      <c r="I394" s="13" t="s">
        <v>20</v>
      </c>
    </row>
    <row r="395" spans="1:9" ht="16.5" x14ac:dyDescent="0.3">
      <c r="A395" s="167" t="s">
        <v>44</v>
      </c>
      <c r="B395" s="167"/>
      <c r="C395" s="167"/>
      <c r="D395" s="167"/>
      <c r="E395" s="167"/>
      <c r="F395" s="14" t="s">
        <v>9</v>
      </c>
      <c r="G395" s="14" t="s">
        <v>45</v>
      </c>
      <c r="H395" s="14" t="s">
        <v>46</v>
      </c>
      <c r="I395" s="15" t="s">
        <v>47</v>
      </c>
    </row>
    <row r="396" spans="1:9" x14ac:dyDescent="0.25">
      <c r="A396" s="159" t="s">
        <v>48</v>
      </c>
      <c r="B396" s="159"/>
      <c r="C396" s="159"/>
      <c r="D396" s="159"/>
      <c r="E396" s="159"/>
      <c r="F396" s="17"/>
      <c r="G396" s="17"/>
      <c r="H396" s="18"/>
      <c r="I396" s="19">
        <f>ROUND((SUM(I412:I413)*0.05),0)</f>
        <v>737</v>
      </c>
    </row>
    <row r="397" spans="1:9" x14ac:dyDescent="0.25">
      <c r="A397" s="159" t="s">
        <v>145</v>
      </c>
      <c r="B397" s="159"/>
      <c r="C397" s="159"/>
      <c r="D397" s="159"/>
      <c r="E397" s="159"/>
      <c r="F397" s="17">
        <v>1</v>
      </c>
      <c r="G397" s="17"/>
      <c r="H397" s="21"/>
      <c r="I397" s="19"/>
    </row>
    <row r="398" spans="1:9" x14ac:dyDescent="0.25">
      <c r="A398" s="174"/>
      <c r="B398" s="175"/>
      <c r="C398" s="175"/>
      <c r="D398" s="175"/>
      <c r="E398" s="176"/>
      <c r="F398" s="17"/>
      <c r="G398" s="17"/>
      <c r="H398" s="21"/>
      <c r="I398" s="19"/>
    </row>
    <row r="399" spans="1:9" ht="16.5" x14ac:dyDescent="0.3">
      <c r="A399" s="167" t="s">
        <v>49</v>
      </c>
      <c r="B399" s="167"/>
      <c r="C399" s="167"/>
      <c r="D399" s="167"/>
      <c r="E399" s="167"/>
      <c r="F399" s="14" t="s">
        <v>50</v>
      </c>
      <c r="G399" s="22" t="s">
        <v>51</v>
      </c>
      <c r="H399" s="22" t="s">
        <v>52</v>
      </c>
      <c r="I399" s="15" t="s">
        <v>53</v>
      </c>
    </row>
    <row r="400" spans="1:9" x14ac:dyDescent="0.25">
      <c r="A400" s="159" t="s">
        <v>150</v>
      </c>
      <c r="B400" s="159"/>
      <c r="C400" s="159"/>
      <c r="D400" s="159"/>
      <c r="E400" s="159"/>
      <c r="F400" s="23" t="s">
        <v>151</v>
      </c>
      <c r="G400" s="24">
        <v>250000</v>
      </c>
      <c r="H400" s="18">
        <v>0.05</v>
      </c>
      <c r="I400" s="24">
        <f>+H400*G400</f>
        <v>12500</v>
      </c>
    </row>
    <row r="401" spans="1:9" x14ac:dyDescent="0.25">
      <c r="A401" s="159"/>
      <c r="B401" s="159"/>
      <c r="C401" s="159"/>
      <c r="D401" s="159"/>
      <c r="E401" s="159"/>
      <c r="F401" s="23"/>
      <c r="G401" s="24"/>
      <c r="H401" s="18"/>
      <c r="I401" s="24">
        <f>+H401*G401</f>
        <v>0</v>
      </c>
    </row>
    <row r="402" spans="1:9" x14ac:dyDescent="0.25">
      <c r="A402" s="174"/>
      <c r="B402" s="175"/>
      <c r="C402" s="175"/>
      <c r="D402" s="175"/>
      <c r="E402" s="176"/>
      <c r="F402" s="23"/>
      <c r="G402" s="18"/>
      <c r="H402" s="18"/>
      <c r="I402" s="24">
        <f>+H402*G402</f>
        <v>0</v>
      </c>
    </row>
    <row r="403" spans="1:9" x14ac:dyDescent="0.25">
      <c r="A403" s="174"/>
      <c r="B403" s="175"/>
      <c r="C403" s="175"/>
      <c r="D403" s="175"/>
      <c r="E403" s="176"/>
      <c r="F403" s="23"/>
      <c r="G403" s="18"/>
      <c r="H403" s="18"/>
      <c r="I403" s="24">
        <f>+G403*H403</f>
        <v>0</v>
      </c>
    </row>
    <row r="404" spans="1:9" x14ac:dyDescent="0.25">
      <c r="A404" s="159"/>
      <c r="B404" s="159"/>
      <c r="C404" s="159"/>
      <c r="D404" s="159"/>
      <c r="E404" s="159"/>
      <c r="F404" s="23"/>
      <c r="G404" s="18"/>
      <c r="H404" s="18"/>
      <c r="I404" s="24">
        <f t="shared" ref="I404:I407" si="16">+G404*H404</f>
        <v>0</v>
      </c>
    </row>
    <row r="405" spans="1:9" x14ac:dyDescent="0.25">
      <c r="A405" s="174"/>
      <c r="B405" s="175"/>
      <c r="C405" s="175"/>
      <c r="D405" s="175"/>
      <c r="E405" s="176"/>
      <c r="F405" s="23"/>
      <c r="G405" s="18"/>
      <c r="H405" s="18"/>
      <c r="I405" s="24">
        <f t="shared" si="16"/>
        <v>0</v>
      </c>
    </row>
    <row r="406" spans="1:9" x14ac:dyDescent="0.25">
      <c r="A406" s="159"/>
      <c r="B406" s="159"/>
      <c r="C406" s="159"/>
      <c r="D406" s="159"/>
      <c r="E406" s="159"/>
      <c r="F406" s="23"/>
      <c r="G406" s="18"/>
      <c r="H406" s="18"/>
      <c r="I406" s="24">
        <f t="shared" si="16"/>
        <v>0</v>
      </c>
    </row>
    <row r="407" spans="1:9" x14ac:dyDescent="0.25">
      <c r="A407" s="159"/>
      <c r="B407" s="159"/>
      <c r="C407" s="159"/>
      <c r="D407" s="159"/>
      <c r="E407" s="159"/>
      <c r="F407" s="23"/>
      <c r="G407" s="18"/>
      <c r="H407" s="18"/>
      <c r="I407" s="24">
        <f t="shared" si="16"/>
        <v>0</v>
      </c>
    </row>
    <row r="408" spans="1:9" ht="16.5" x14ac:dyDescent="0.3">
      <c r="A408" s="167" t="s">
        <v>61</v>
      </c>
      <c r="B408" s="167"/>
      <c r="C408" s="167"/>
      <c r="D408" s="167"/>
      <c r="E408" s="25" t="s">
        <v>62</v>
      </c>
      <c r="F408" s="14" t="s">
        <v>63</v>
      </c>
      <c r="G408" s="14" t="s">
        <v>64</v>
      </c>
      <c r="H408" s="14" t="s">
        <v>65</v>
      </c>
      <c r="I408" s="15" t="s">
        <v>53</v>
      </c>
    </row>
    <row r="409" spans="1:9" x14ac:dyDescent="0.25">
      <c r="A409" s="159" t="s">
        <v>66</v>
      </c>
      <c r="B409" s="159"/>
      <c r="C409" s="159"/>
      <c r="D409" s="159"/>
      <c r="E409" s="26"/>
      <c r="F409" s="26"/>
      <c r="G409" s="26"/>
      <c r="H409" s="26"/>
      <c r="I409" s="18">
        <f>+E409*G409</f>
        <v>0</v>
      </c>
    </row>
    <row r="410" spans="1:9" x14ac:dyDescent="0.25">
      <c r="A410" s="159" t="s">
        <v>67</v>
      </c>
      <c r="B410" s="159"/>
      <c r="C410" s="159"/>
      <c r="D410" s="159"/>
      <c r="E410" s="26"/>
      <c r="F410" s="26"/>
      <c r="G410" s="26"/>
      <c r="H410" s="26"/>
      <c r="I410" s="18">
        <f>+E410*G410</f>
        <v>0</v>
      </c>
    </row>
    <row r="411" spans="1:9" ht="16.5" x14ac:dyDescent="0.3">
      <c r="A411" s="167" t="s">
        <v>68</v>
      </c>
      <c r="B411" s="167"/>
      <c r="C411" s="167"/>
      <c r="D411" s="167"/>
      <c r="E411" s="14" t="s">
        <v>52</v>
      </c>
      <c r="F411" s="170" t="s">
        <v>69</v>
      </c>
      <c r="G411" s="171"/>
      <c r="H411" s="27" t="s">
        <v>46</v>
      </c>
      <c r="I411" s="28" t="s">
        <v>53</v>
      </c>
    </row>
    <row r="412" spans="1:9" x14ac:dyDescent="0.25">
      <c r="A412" s="168" t="s">
        <v>152</v>
      </c>
      <c r="B412" s="168"/>
      <c r="C412" s="168"/>
      <c r="D412" s="168"/>
      <c r="E412" s="18">
        <v>1</v>
      </c>
      <c r="F412" s="177">
        <f>CUADRILLAS!B16*1.7</f>
        <v>136000</v>
      </c>
      <c r="G412" s="177"/>
      <c r="H412" s="21">
        <v>15</v>
      </c>
      <c r="I412" s="24">
        <f>+E412*F412/H412</f>
        <v>9066.6666666666661</v>
      </c>
    </row>
    <row r="413" spans="1:9" x14ac:dyDescent="0.25">
      <c r="A413" s="168" t="s">
        <v>153</v>
      </c>
      <c r="B413" s="168"/>
      <c r="C413" s="168"/>
      <c r="D413" s="168"/>
      <c r="E413" s="18">
        <v>1</v>
      </c>
      <c r="F413" s="177">
        <f>CUADRILLAS!B23*1.7</f>
        <v>85000</v>
      </c>
      <c r="G413" s="177"/>
      <c r="H413" s="21">
        <v>15</v>
      </c>
      <c r="I413" s="24">
        <f>+E413*F413/H413</f>
        <v>5666.666666666667</v>
      </c>
    </row>
    <row r="414" spans="1:9" ht="16.5" x14ac:dyDescent="0.3">
      <c r="A414" s="160"/>
      <c r="B414" s="161"/>
      <c r="C414" s="161"/>
      <c r="D414" s="161"/>
      <c r="E414" s="162"/>
      <c r="F414" s="30" t="s">
        <v>35</v>
      </c>
      <c r="G414" s="31"/>
      <c r="H414" s="32"/>
      <c r="I414" s="36">
        <f>ROUND((SUM(I396:I413)),0)</f>
        <v>27970</v>
      </c>
    </row>
    <row r="416" spans="1:9" ht="16.5" x14ac:dyDescent="0.3">
      <c r="A416" s="10" t="s">
        <v>40</v>
      </c>
      <c r="B416" s="163" t="e">
        <f>'PRESUPUESTO_ESTUDIO MERCADO '!#REF!</f>
        <v>#REF!</v>
      </c>
      <c r="C416" s="164"/>
      <c r="D416" s="164"/>
      <c r="E416" s="164"/>
      <c r="F416" s="164"/>
      <c r="G416" s="164"/>
      <c r="H416" s="164"/>
      <c r="I416" s="165"/>
    </row>
    <row r="417" spans="1:9" ht="16.5" x14ac:dyDescent="0.3">
      <c r="A417" s="11" t="s">
        <v>72</v>
      </c>
      <c r="B417" s="166"/>
      <c r="C417" s="166"/>
      <c r="D417" s="166"/>
      <c r="E417" s="166"/>
      <c r="F417" s="166"/>
      <c r="G417" s="166"/>
      <c r="H417" s="12" t="s">
        <v>42</v>
      </c>
      <c r="I417" s="13" t="s">
        <v>20</v>
      </c>
    </row>
    <row r="418" spans="1:9" ht="16.5" customHeight="1" x14ac:dyDescent="0.3">
      <c r="A418" s="167" t="s">
        <v>44</v>
      </c>
      <c r="B418" s="167"/>
      <c r="C418" s="167"/>
      <c r="D418" s="167"/>
      <c r="E418" s="167"/>
      <c r="F418" s="14" t="s">
        <v>9</v>
      </c>
      <c r="G418" s="14" t="s">
        <v>45</v>
      </c>
      <c r="H418" s="14" t="s">
        <v>46</v>
      </c>
      <c r="I418" s="15" t="s">
        <v>47</v>
      </c>
    </row>
    <row r="419" spans="1:9" x14ac:dyDescent="0.25">
      <c r="A419" s="159" t="s">
        <v>48</v>
      </c>
      <c r="B419" s="159"/>
      <c r="C419" s="159"/>
      <c r="D419" s="159"/>
      <c r="E419" s="159"/>
      <c r="F419" s="17"/>
      <c r="G419" s="17"/>
      <c r="H419" s="18"/>
      <c r="I419" s="19">
        <f>ROUND((SUM(I435:I436)*0.05),0)</f>
        <v>1190</v>
      </c>
    </row>
    <row r="420" spans="1:9" x14ac:dyDescent="0.25">
      <c r="A420" s="159"/>
      <c r="B420" s="159"/>
      <c r="C420" s="159"/>
      <c r="D420" s="159"/>
      <c r="E420" s="159"/>
      <c r="F420" s="17"/>
      <c r="G420" s="17"/>
      <c r="H420" s="21"/>
      <c r="I420" s="19"/>
    </row>
    <row r="421" spans="1:9" x14ac:dyDescent="0.25">
      <c r="A421" s="174"/>
      <c r="B421" s="175"/>
      <c r="C421" s="175"/>
      <c r="D421" s="175"/>
      <c r="E421" s="176"/>
      <c r="F421" s="17"/>
      <c r="G421" s="17"/>
      <c r="H421" s="21"/>
      <c r="I421" s="19"/>
    </row>
    <row r="422" spans="1:9" ht="16.5" x14ac:dyDescent="0.3">
      <c r="A422" s="167" t="s">
        <v>49</v>
      </c>
      <c r="B422" s="167"/>
      <c r="C422" s="167"/>
      <c r="D422" s="167"/>
      <c r="E422" s="167"/>
      <c r="F422" s="14" t="s">
        <v>50</v>
      </c>
      <c r="G422" s="22" t="s">
        <v>51</v>
      </c>
      <c r="H422" s="22" t="s">
        <v>52</v>
      </c>
      <c r="I422" s="15" t="s">
        <v>53</v>
      </c>
    </row>
    <row r="423" spans="1:9" x14ac:dyDescent="0.25">
      <c r="A423" s="159" t="str">
        <f>'A.P.A'!B22</f>
        <v>APA PREPARACION CONCRETO 2500PSI EN OBRA</v>
      </c>
      <c r="B423" s="159"/>
      <c r="C423" s="159"/>
      <c r="D423" s="159"/>
      <c r="E423" s="159"/>
      <c r="F423" s="23" t="s">
        <v>111</v>
      </c>
      <c r="G423" s="24">
        <f>'A.P.A'!I44</f>
        <v>369679</v>
      </c>
      <c r="H423" s="18">
        <f>0.07</f>
        <v>7.0000000000000007E-2</v>
      </c>
      <c r="I423" s="24">
        <f>+H423*G423</f>
        <v>25877.530000000002</v>
      </c>
    </row>
    <row r="424" spans="1:9" x14ac:dyDescent="0.25">
      <c r="A424" s="159"/>
      <c r="B424" s="159"/>
      <c r="C424" s="159"/>
      <c r="D424" s="159"/>
      <c r="E424" s="159"/>
      <c r="F424" s="23"/>
      <c r="G424" s="24"/>
      <c r="H424" s="18"/>
      <c r="I424" s="24"/>
    </row>
    <row r="425" spans="1:9" x14ac:dyDescent="0.25">
      <c r="A425" s="174"/>
      <c r="B425" s="175"/>
      <c r="C425" s="175"/>
      <c r="D425" s="175"/>
      <c r="E425" s="176"/>
      <c r="F425" s="23"/>
      <c r="G425" s="18"/>
      <c r="H425" s="18"/>
      <c r="I425" s="24"/>
    </row>
    <row r="426" spans="1:9" x14ac:dyDescent="0.25">
      <c r="A426" s="174"/>
      <c r="B426" s="175"/>
      <c r="C426" s="175"/>
      <c r="D426" s="175"/>
      <c r="E426" s="176"/>
      <c r="F426" s="23"/>
      <c r="G426" s="18"/>
      <c r="H426" s="18"/>
      <c r="I426" s="24">
        <f>+G426*H426</f>
        <v>0</v>
      </c>
    </row>
    <row r="427" spans="1:9" x14ac:dyDescent="0.25">
      <c r="A427" s="159"/>
      <c r="B427" s="159"/>
      <c r="C427" s="159"/>
      <c r="D427" s="159"/>
      <c r="E427" s="159"/>
      <c r="F427" s="23"/>
      <c r="G427" s="18"/>
      <c r="H427" s="18"/>
      <c r="I427" s="24">
        <f t="shared" ref="I427:I430" si="17">+G427*H427</f>
        <v>0</v>
      </c>
    </row>
    <row r="428" spans="1:9" x14ac:dyDescent="0.25">
      <c r="A428" s="174"/>
      <c r="B428" s="175"/>
      <c r="C428" s="175"/>
      <c r="D428" s="175"/>
      <c r="E428" s="176"/>
      <c r="F428" s="23"/>
      <c r="G428" s="18"/>
      <c r="H428" s="18"/>
      <c r="I428" s="24">
        <f t="shared" si="17"/>
        <v>0</v>
      </c>
    </row>
    <row r="429" spans="1:9" x14ac:dyDescent="0.25">
      <c r="A429" s="159"/>
      <c r="B429" s="159"/>
      <c r="C429" s="159"/>
      <c r="D429" s="159"/>
      <c r="E429" s="159"/>
      <c r="F429" s="23"/>
      <c r="G429" s="18"/>
      <c r="H429" s="18"/>
      <c r="I429" s="24">
        <f t="shared" si="17"/>
        <v>0</v>
      </c>
    </row>
    <row r="430" spans="1:9" x14ac:dyDescent="0.25">
      <c r="A430" s="159"/>
      <c r="B430" s="159"/>
      <c r="C430" s="159"/>
      <c r="D430" s="159"/>
      <c r="E430" s="159"/>
      <c r="F430" s="23"/>
      <c r="G430" s="18"/>
      <c r="H430" s="18"/>
      <c r="I430" s="24">
        <f t="shared" si="17"/>
        <v>0</v>
      </c>
    </row>
    <row r="431" spans="1:9" ht="16.5" x14ac:dyDescent="0.3">
      <c r="A431" s="167" t="s">
        <v>61</v>
      </c>
      <c r="B431" s="167"/>
      <c r="C431" s="167"/>
      <c r="D431" s="167"/>
      <c r="E431" s="25" t="s">
        <v>62</v>
      </c>
      <c r="F431" s="14" t="s">
        <v>63</v>
      </c>
      <c r="G431" s="14" t="s">
        <v>64</v>
      </c>
      <c r="H431" s="14" t="s">
        <v>65</v>
      </c>
      <c r="I431" s="15" t="s">
        <v>53</v>
      </c>
    </row>
    <row r="432" spans="1:9" x14ac:dyDescent="0.25">
      <c r="A432" s="159" t="s">
        <v>66</v>
      </c>
      <c r="B432" s="159"/>
      <c r="C432" s="159"/>
      <c r="D432" s="159"/>
      <c r="E432" s="26"/>
      <c r="F432" s="26">
        <v>6</v>
      </c>
      <c r="G432" s="26">
        <f>35000/F432</f>
        <v>5833.333333333333</v>
      </c>
      <c r="H432" s="26">
        <f>+G432*6</f>
        <v>35000</v>
      </c>
      <c r="I432" s="18">
        <f>+E432*G432</f>
        <v>0</v>
      </c>
    </row>
    <row r="433" spans="1:9" x14ac:dyDescent="0.25">
      <c r="A433" s="159" t="s">
        <v>67</v>
      </c>
      <c r="B433" s="159"/>
      <c r="C433" s="159"/>
      <c r="D433" s="159"/>
      <c r="E433" s="26"/>
      <c r="F433" s="26"/>
      <c r="G433" s="26"/>
      <c r="H433" s="26"/>
      <c r="I433" s="18">
        <f>+E433*G433</f>
        <v>0</v>
      </c>
    </row>
    <row r="434" spans="1:9" ht="16.5" x14ac:dyDescent="0.3">
      <c r="A434" s="167" t="s">
        <v>68</v>
      </c>
      <c r="B434" s="167"/>
      <c r="C434" s="167"/>
      <c r="D434" s="167"/>
      <c r="E434" s="14" t="s">
        <v>52</v>
      </c>
      <c r="F434" s="170" t="s">
        <v>69</v>
      </c>
      <c r="G434" s="171"/>
      <c r="H434" s="27" t="s">
        <v>46</v>
      </c>
      <c r="I434" s="28" t="s">
        <v>53</v>
      </c>
    </row>
    <row r="435" spans="1:9" x14ac:dyDescent="0.25">
      <c r="A435" s="168" t="str">
        <f>CUADRILLAS!B10</f>
        <v>CUADRILLA 5</v>
      </c>
      <c r="B435" s="168"/>
      <c r="C435" s="168"/>
      <c r="D435" s="168"/>
      <c r="E435" s="18">
        <v>1</v>
      </c>
      <c r="F435" s="177">
        <f>CUADRILLAS!D10</f>
        <v>476000</v>
      </c>
      <c r="G435" s="177"/>
      <c r="H435" s="21">
        <v>20</v>
      </c>
      <c r="I435" s="24">
        <f>+E435*F435/H435</f>
        <v>23800</v>
      </c>
    </row>
    <row r="436" spans="1:9" x14ac:dyDescent="0.25">
      <c r="A436" s="168"/>
      <c r="B436" s="168"/>
      <c r="C436" s="168"/>
      <c r="D436" s="168"/>
      <c r="E436" s="18"/>
      <c r="F436" s="177"/>
      <c r="G436" s="177"/>
      <c r="H436" s="21"/>
      <c r="I436" s="24"/>
    </row>
    <row r="437" spans="1:9" ht="16.5" x14ac:dyDescent="0.3">
      <c r="A437" s="160"/>
      <c r="B437" s="161"/>
      <c r="C437" s="161"/>
      <c r="D437" s="161"/>
      <c r="E437" s="162"/>
      <c r="F437" s="30" t="s">
        <v>35</v>
      </c>
      <c r="G437" s="31"/>
      <c r="H437" s="32"/>
      <c r="I437" s="36">
        <f>ROUND((SUM(I419:I436)),0)</f>
        <v>50868</v>
      </c>
    </row>
    <row r="438" spans="1:9" ht="16.5" x14ac:dyDescent="0.3">
      <c r="A438" s="67"/>
      <c r="B438" s="68"/>
      <c r="C438" s="68"/>
      <c r="D438" s="68"/>
      <c r="E438" s="68"/>
      <c r="F438" s="76"/>
      <c r="G438" s="77"/>
      <c r="H438" s="78"/>
      <c r="I438" s="79"/>
    </row>
    <row r="439" spans="1:9" ht="16.5" x14ac:dyDescent="0.3">
      <c r="A439" s="10" t="s">
        <v>40</v>
      </c>
      <c r="B439" s="181" t="str">
        <f>'PRESUPUESTO_ESTUDIO MERCADO '!B9</f>
        <v>Suministro  e instalacion de CERAMICA para paredes de la cocina a 2.4 m de altura, incluye pegante ceramico tipo pegacor o similar, molduras, boca puertas y demas elementos necesarios para su correcta instalacion y funcionamiento</v>
      </c>
      <c r="C439" s="182"/>
      <c r="D439" s="182"/>
      <c r="E439" s="182"/>
      <c r="F439" s="182"/>
      <c r="G439" s="182"/>
      <c r="H439" s="182"/>
      <c r="I439" s="183"/>
    </row>
    <row r="440" spans="1:9" ht="16.5" customHeight="1" x14ac:dyDescent="0.3">
      <c r="A440" s="11" t="s">
        <v>154</v>
      </c>
      <c r="B440" s="166"/>
      <c r="C440" s="166"/>
      <c r="D440" s="166"/>
      <c r="E440" s="166"/>
      <c r="F440" s="166"/>
      <c r="G440" s="166"/>
      <c r="H440" s="12" t="s">
        <v>42</v>
      </c>
      <c r="I440" s="13" t="s">
        <v>20</v>
      </c>
    </row>
    <row r="441" spans="1:9" ht="16.5" x14ac:dyDescent="0.3">
      <c r="A441" s="167" t="s">
        <v>44</v>
      </c>
      <c r="B441" s="167"/>
      <c r="C441" s="167"/>
      <c r="D441" s="167"/>
      <c r="E441" s="167"/>
      <c r="F441" s="14" t="s">
        <v>9</v>
      </c>
      <c r="G441" s="14" t="s">
        <v>45</v>
      </c>
      <c r="H441" s="14" t="s">
        <v>46</v>
      </c>
      <c r="I441" s="15" t="s">
        <v>47</v>
      </c>
    </row>
    <row r="442" spans="1:9" x14ac:dyDescent="0.25">
      <c r="A442" s="159" t="s">
        <v>48</v>
      </c>
      <c r="B442" s="159"/>
      <c r="C442" s="159"/>
      <c r="D442" s="159"/>
      <c r="E442" s="159"/>
      <c r="F442" s="17"/>
      <c r="G442" s="17"/>
      <c r="H442" s="18"/>
      <c r="I442" s="19">
        <f>ROUND((SUM(I458:I459)*0.05),0)</f>
        <v>1381</v>
      </c>
    </row>
    <row r="443" spans="1:9" x14ac:dyDescent="0.25">
      <c r="A443" s="159" t="s">
        <v>155</v>
      </c>
      <c r="B443" s="159"/>
      <c r="C443" s="159"/>
      <c r="D443" s="159"/>
      <c r="E443" s="159"/>
      <c r="F443" s="17">
        <v>1</v>
      </c>
      <c r="G443" s="17">
        <v>80000</v>
      </c>
      <c r="H443" s="21">
        <v>9</v>
      </c>
      <c r="I443" s="19">
        <f>F443*G443/H443</f>
        <v>8888.8888888888887</v>
      </c>
    </row>
    <row r="444" spans="1:9" x14ac:dyDescent="0.25">
      <c r="A444" s="159"/>
      <c r="B444" s="159"/>
      <c r="C444" s="159"/>
      <c r="D444" s="159"/>
      <c r="E444" s="159"/>
      <c r="F444" s="17"/>
      <c r="G444" s="17"/>
      <c r="H444" s="21"/>
      <c r="I444" s="19"/>
    </row>
    <row r="445" spans="1:9" ht="16.5" x14ac:dyDescent="0.3">
      <c r="A445" s="167" t="s">
        <v>49</v>
      </c>
      <c r="B445" s="167"/>
      <c r="C445" s="167"/>
      <c r="D445" s="167"/>
      <c r="E445" s="167"/>
      <c r="F445" s="14" t="s">
        <v>50</v>
      </c>
      <c r="G445" s="22" t="s">
        <v>51</v>
      </c>
      <c r="H445" s="22" t="s">
        <v>52</v>
      </c>
      <c r="I445" s="15" t="s">
        <v>53</v>
      </c>
    </row>
    <row r="446" spans="1:9" x14ac:dyDescent="0.25">
      <c r="A446" s="159" t="s">
        <v>156</v>
      </c>
      <c r="B446" s="159"/>
      <c r="C446" s="159"/>
      <c r="D446" s="159"/>
      <c r="E446" s="159"/>
      <c r="F446" s="23" t="s">
        <v>80</v>
      </c>
      <c r="G446" s="24">
        <v>60000</v>
      </c>
      <c r="H446" s="18">
        <v>1.05</v>
      </c>
      <c r="I446" s="24">
        <f>+H446*G446</f>
        <v>63000</v>
      </c>
    </row>
    <row r="447" spans="1:9" x14ac:dyDescent="0.25">
      <c r="A447" s="159" t="s">
        <v>157</v>
      </c>
      <c r="B447" s="159"/>
      <c r="C447" s="159"/>
      <c r="D447" s="159"/>
      <c r="E447" s="159"/>
      <c r="F447" s="23" t="s">
        <v>99</v>
      </c>
      <c r="G447" s="24">
        <v>1700</v>
      </c>
      <c r="H447" s="18">
        <v>8</v>
      </c>
      <c r="I447" s="24">
        <f>+H447*G447</f>
        <v>13600</v>
      </c>
    </row>
    <row r="448" spans="1:9" x14ac:dyDescent="0.25">
      <c r="A448" s="159" t="s">
        <v>158</v>
      </c>
      <c r="B448" s="159"/>
      <c r="C448" s="159"/>
      <c r="D448" s="159"/>
      <c r="E448" s="159"/>
      <c r="F448" s="23" t="s">
        <v>99</v>
      </c>
      <c r="G448" s="18">
        <v>7000</v>
      </c>
      <c r="H448" s="18">
        <v>0.32</v>
      </c>
      <c r="I448" s="24">
        <f>+H448*G448</f>
        <v>2240</v>
      </c>
    </row>
    <row r="449" spans="1:13" x14ac:dyDescent="0.25">
      <c r="A449" s="159"/>
      <c r="B449" s="159"/>
      <c r="C449" s="159"/>
      <c r="D449" s="159"/>
      <c r="E449" s="159"/>
      <c r="F449" s="23"/>
      <c r="G449" s="18"/>
      <c r="H449" s="18"/>
      <c r="I449" s="24"/>
      <c r="M449" s="106"/>
    </row>
    <row r="450" spans="1:13" x14ac:dyDescent="0.25">
      <c r="A450" s="159"/>
      <c r="B450" s="159"/>
      <c r="C450" s="159"/>
      <c r="D450" s="159"/>
      <c r="E450" s="159"/>
      <c r="F450" s="23"/>
      <c r="G450" s="18"/>
      <c r="H450" s="18"/>
      <c r="I450" s="24">
        <f t="shared" ref="I450:I453" si="18">+G450*H450</f>
        <v>0</v>
      </c>
    </row>
    <row r="451" spans="1:13" x14ac:dyDescent="0.25">
      <c r="A451" s="159"/>
      <c r="B451" s="159"/>
      <c r="C451" s="159"/>
      <c r="D451" s="159"/>
      <c r="E451" s="159"/>
      <c r="F451" s="23"/>
      <c r="G451" s="18"/>
      <c r="H451" s="18"/>
      <c r="I451" s="24">
        <f t="shared" si="18"/>
        <v>0</v>
      </c>
    </row>
    <row r="452" spans="1:13" x14ac:dyDescent="0.25">
      <c r="A452" s="159"/>
      <c r="B452" s="159"/>
      <c r="C452" s="159"/>
      <c r="D452" s="159"/>
      <c r="E452" s="159"/>
      <c r="F452" s="23"/>
      <c r="G452" s="18"/>
      <c r="H452" s="18"/>
      <c r="I452" s="24">
        <f t="shared" si="18"/>
        <v>0</v>
      </c>
    </row>
    <row r="453" spans="1:13" x14ac:dyDescent="0.25">
      <c r="A453" s="159"/>
      <c r="B453" s="159"/>
      <c r="C453" s="159"/>
      <c r="D453" s="159"/>
      <c r="E453" s="159"/>
      <c r="F453" s="23"/>
      <c r="G453" s="18"/>
      <c r="H453" s="18"/>
      <c r="I453" s="24">
        <f t="shared" si="18"/>
        <v>0</v>
      </c>
    </row>
    <row r="454" spans="1:13" ht="16.5" x14ac:dyDescent="0.3">
      <c r="A454" s="167" t="s">
        <v>61</v>
      </c>
      <c r="B454" s="167"/>
      <c r="C454" s="167"/>
      <c r="D454" s="167"/>
      <c r="E454" s="25" t="s">
        <v>62</v>
      </c>
      <c r="F454" s="14" t="s">
        <v>63</v>
      </c>
      <c r="G454" s="14" t="s">
        <v>64</v>
      </c>
      <c r="H454" s="14" t="s">
        <v>65</v>
      </c>
      <c r="I454" s="15" t="s">
        <v>53</v>
      </c>
    </row>
    <row r="455" spans="1:13" x14ac:dyDescent="0.25">
      <c r="A455" s="159" t="s">
        <v>66</v>
      </c>
      <c r="B455" s="159"/>
      <c r="C455" s="159"/>
      <c r="D455" s="159"/>
      <c r="E455" s="26"/>
      <c r="F455" s="26"/>
      <c r="G455" s="26"/>
      <c r="H455" s="26"/>
      <c r="I455" s="18">
        <f>+E455*G455</f>
        <v>0</v>
      </c>
    </row>
    <row r="456" spans="1:13" x14ac:dyDescent="0.25">
      <c r="A456" s="159" t="s">
        <v>67</v>
      </c>
      <c r="B456" s="159"/>
      <c r="C456" s="159"/>
      <c r="D456" s="159"/>
      <c r="E456" s="26"/>
      <c r="F456" s="26"/>
      <c r="G456" s="26"/>
      <c r="H456" s="26"/>
      <c r="I456" s="18">
        <f>+E456*G456</f>
        <v>0</v>
      </c>
    </row>
    <row r="457" spans="1:13" ht="16.5" x14ac:dyDescent="0.3">
      <c r="A457" s="167" t="s">
        <v>68</v>
      </c>
      <c r="B457" s="167"/>
      <c r="C457" s="167"/>
      <c r="D457" s="167"/>
      <c r="E457" s="14" t="s">
        <v>52</v>
      </c>
      <c r="F457" s="170" t="s">
        <v>69</v>
      </c>
      <c r="G457" s="171"/>
      <c r="H457" s="27" t="s">
        <v>46</v>
      </c>
      <c r="I457" s="28" t="s">
        <v>53</v>
      </c>
    </row>
    <row r="458" spans="1:13" x14ac:dyDescent="0.25">
      <c r="A458" s="168" t="str">
        <f>CUADRILLAS!A17</f>
        <v>OFICIAL OBRA BLANCA</v>
      </c>
      <c r="B458" s="168"/>
      <c r="C458" s="168"/>
      <c r="D458" s="168"/>
      <c r="E458" s="18">
        <v>1</v>
      </c>
      <c r="F458" s="207">
        <f>CUADRILLAS!B16*1.7</f>
        <v>136000</v>
      </c>
      <c r="G458" s="208"/>
      <c r="H458" s="21">
        <v>8</v>
      </c>
      <c r="I458" s="24">
        <f>+(E458*F458)/H458</f>
        <v>17000</v>
      </c>
    </row>
    <row r="459" spans="1:13" x14ac:dyDescent="0.25">
      <c r="A459" s="168" t="str">
        <f>CUADRILLAS!A23</f>
        <v>AYUDANTE ENTENDIDO</v>
      </c>
      <c r="B459" s="168"/>
      <c r="C459" s="168"/>
      <c r="D459" s="168"/>
      <c r="E459" s="18">
        <v>1</v>
      </c>
      <c r="F459" s="207">
        <f>CUADRILLAS!B23*1.7</f>
        <v>85000</v>
      </c>
      <c r="G459" s="208"/>
      <c r="H459" s="21">
        <v>8</v>
      </c>
      <c r="I459" s="24">
        <f>+(E459*F459)/H459</f>
        <v>10625</v>
      </c>
    </row>
    <row r="460" spans="1:13" ht="16.5" x14ac:dyDescent="0.3">
      <c r="A460" s="160"/>
      <c r="B460" s="161"/>
      <c r="C460" s="161"/>
      <c r="D460" s="161"/>
      <c r="E460" s="162"/>
      <c r="F460" s="30" t="s">
        <v>35</v>
      </c>
      <c r="G460" s="31"/>
      <c r="H460" s="32"/>
      <c r="I460" s="33">
        <f>ROUND((SUM(I442:I459)),0)</f>
        <v>116735</v>
      </c>
    </row>
    <row r="462" spans="1:13" ht="16.5" x14ac:dyDescent="0.3">
      <c r="A462" s="10" t="s">
        <v>40</v>
      </c>
      <c r="B462" s="181" t="str">
        <f>'PRESUPUESTO_ESTUDIO MERCADO '!B7</f>
        <v>Suministro  e instalacion de CERAMICA ANTIDESLIZANTE 40x60 negro,  incluye pegante ceramico tipo pegacor o similar, molduras, boca puertas y demas elementos necesarios para su correcta instalacion y funcionamiento</v>
      </c>
      <c r="C462" s="182"/>
      <c r="D462" s="182"/>
      <c r="E462" s="182"/>
      <c r="F462" s="182"/>
      <c r="G462" s="182"/>
      <c r="H462" s="182"/>
      <c r="I462" s="183"/>
    </row>
    <row r="463" spans="1:13" ht="16.5" x14ac:dyDescent="0.3">
      <c r="A463" s="11" t="s">
        <v>154</v>
      </c>
      <c r="B463" s="166"/>
      <c r="C463" s="166"/>
      <c r="D463" s="166"/>
      <c r="E463" s="166"/>
      <c r="F463" s="166"/>
      <c r="G463" s="166"/>
      <c r="H463" s="12" t="s">
        <v>42</v>
      </c>
      <c r="I463" s="13" t="s">
        <v>20</v>
      </c>
    </row>
    <row r="464" spans="1:13" ht="16.5" x14ac:dyDescent="0.3">
      <c r="A464" s="167" t="s">
        <v>44</v>
      </c>
      <c r="B464" s="167"/>
      <c r="C464" s="167"/>
      <c r="D464" s="167"/>
      <c r="E464" s="167"/>
      <c r="F464" s="14" t="s">
        <v>9</v>
      </c>
      <c r="G464" s="14" t="s">
        <v>45</v>
      </c>
      <c r="H464" s="14" t="s">
        <v>46</v>
      </c>
      <c r="I464" s="15" t="s">
        <v>47</v>
      </c>
    </row>
    <row r="465" spans="1:9" x14ac:dyDescent="0.25">
      <c r="A465" s="159" t="s">
        <v>48</v>
      </c>
      <c r="B465" s="159"/>
      <c r="C465" s="159"/>
      <c r="D465" s="159"/>
      <c r="E465" s="159"/>
      <c r="F465" s="17"/>
      <c r="G465" s="17"/>
      <c r="H465" s="18"/>
      <c r="I465" s="19">
        <f>ROUND((SUM(I481:I482)*0.05),0)</f>
        <v>1381</v>
      </c>
    </row>
    <row r="466" spans="1:9" x14ac:dyDescent="0.25">
      <c r="A466" s="159" t="s">
        <v>155</v>
      </c>
      <c r="B466" s="159"/>
      <c r="C466" s="159"/>
      <c r="D466" s="159"/>
      <c r="E466" s="159"/>
      <c r="F466" s="17">
        <v>1</v>
      </c>
      <c r="G466" s="17">
        <v>80000</v>
      </c>
      <c r="H466" s="21">
        <v>9</v>
      </c>
      <c r="I466" s="19">
        <f>F466*G466/H466</f>
        <v>8888.8888888888887</v>
      </c>
    </row>
    <row r="467" spans="1:9" x14ac:dyDescent="0.25">
      <c r="A467" s="159"/>
      <c r="B467" s="159"/>
      <c r="C467" s="159"/>
      <c r="D467" s="159"/>
      <c r="E467" s="159"/>
      <c r="F467" s="17"/>
      <c r="G467" s="17"/>
      <c r="H467" s="21"/>
      <c r="I467" s="19"/>
    </row>
    <row r="468" spans="1:9" ht="16.5" x14ac:dyDescent="0.3">
      <c r="A468" s="167" t="s">
        <v>49</v>
      </c>
      <c r="B468" s="167"/>
      <c r="C468" s="167"/>
      <c r="D468" s="167"/>
      <c r="E468" s="167"/>
      <c r="F468" s="14" t="s">
        <v>50</v>
      </c>
      <c r="G468" s="22" t="s">
        <v>51</v>
      </c>
      <c r="H468" s="22" t="s">
        <v>52</v>
      </c>
      <c r="I468" s="15" t="s">
        <v>53</v>
      </c>
    </row>
    <row r="469" spans="1:9" x14ac:dyDescent="0.25">
      <c r="A469" s="159" t="s">
        <v>159</v>
      </c>
      <c r="B469" s="159"/>
      <c r="C469" s="159"/>
      <c r="D469" s="159"/>
      <c r="E469" s="159"/>
      <c r="F469" s="23" t="s">
        <v>80</v>
      </c>
      <c r="G469" s="24">
        <v>60000</v>
      </c>
      <c r="H469" s="18">
        <v>1.05</v>
      </c>
      <c r="I469" s="24">
        <f>+H469*G469</f>
        <v>63000</v>
      </c>
    </row>
    <row r="470" spans="1:9" x14ac:dyDescent="0.25">
      <c r="A470" s="159" t="s">
        <v>157</v>
      </c>
      <c r="B470" s="159"/>
      <c r="C470" s="159"/>
      <c r="D470" s="159"/>
      <c r="E470" s="159"/>
      <c r="F470" s="23" t="s">
        <v>99</v>
      </c>
      <c r="G470" s="24">
        <v>1700</v>
      </c>
      <c r="H470" s="18">
        <v>8</v>
      </c>
      <c r="I470" s="24">
        <f>+H470*G470</f>
        <v>13600</v>
      </c>
    </row>
    <row r="471" spans="1:9" x14ac:dyDescent="0.25">
      <c r="A471" s="159" t="s">
        <v>158</v>
      </c>
      <c r="B471" s="159"/>
      <c r="C471" s="159"/>
      <c r="D471" s="159"/>
      <c r="E471" s="159"/>
      <c r="F471" s="23" t="s">
        <v>99</v>
      </c>
      <c r="G471" s="18">
        <v>5500</v>
      </c>
      <c r="H471" s="18">
        <v>0.32</v>
      </c>
      <c r="I471" s="24">
        <f>+H471*G471</f>
        <v>1760</v>
      </c>
    </row>
    <row r="472" spans="1:9" x14ac:dyDescent="0.25">
      <c r="A472" s="159"/>
      <c r="B472" s="159"/>
      <c r="C472" s="159"/>
      <c r="D472" s="159"/>
      <c r="E472" s="159"/>
      <c r="F472" s="23"/>
      <c r="G472" s="18"/>
      <c r="H472" s="18"/>
      <c r="I472" s="24"/>
    </row>
    <row r="473" spans="1:9" x14ac:dyDescent="0.25">
      <c r="A473" s="159"/>
      <c r="B473" s="159"/>
      <c r="C473" s="159"/>
      <c r="D473" s="159"/>
      <c r="E473" s="159"/>
      <c r="F473" s="23"/>
      <c r="G473" s="18"/>
      <c r="H473" s="18"/>
      <c r="I473" s="24">
        <f t="shared" ref="I473:I476" si="19">+G473*H473</f>
        <v>0</v>
      </c>
    </row>
    <row r="474" spans="1:9" x14ac:dyDescent="0.25">
      <c r="A474" s="159"/>
      <c r="B474" s="159"/>
      <c r="C474" s="159"/>
      <c r="D474" s="159"/>
      <c r="E474" s="159"/>
      <c r="F474" s="23"/>
      <c r="G474" s="18"/>
      <c r="H474" s="18"/>
      <c r="I474" s="24">
        <f t="shared" si="19"/>
        <v>0</v>
      </c>
    </row>
    <row r="475" spans="1:9" x14ac:dyDescent="0.25">
      <c r="A475" s="159"/>
      <c r="B475" s="159"/>
      <c r="C475" s="159"/>
      <c r="D475" s="159"/>
      <c r="E475" s="159"/>
      <c r="F475" s="23"/>
      <c r="G475" s="18"/>
      <c r="H475" s="18"/>
      <c r="I475" s="24">
        <f t="shared" si="19"/>
        <v>0</v>
      </c>
    </row>
    <row r="476" spans="1:9" x14ac:dyDescent="0.25">
      <c r="A476" s="159"/>
      <c r="B476" s="159"/>
      <c r="C476" s="159"/>
      <c r="D476" s="159"/>
      <c r="E476" s="159"/>
      <c r="F476" s="23"/>
      <c r="G476" s="18"/>
      <c r="H476" s="18"/>
      <c r="I476" s="24">
        <f t="shared" si="19"/>
        <v>0</v>
      </c>
    </row>
    <row r="477" spans="1:9" ht="16.5" x14ac:dyDescent="0.3">
      <c r="A477" s="167" t="s">
        <v>61</v>
      </c>
      <c r="B477" s="167"/>
      <c r="C477" s="167"/>
      <c r="D477" s="167"/>
      <c r="E477" s="25" t="s">
        <v>62</v>
      </c>
      <c r="F477" s="14" t="s">
        <v>63</v>
      </c>
      <c r="G477" s="14" t="s">
        <v>64</v>
      </c>
      <c r="H477" s="14" t="s">
        <v>65</v>
      </c>
      <c r="I477" s="15" t="s">
        <v>53</v>
      </c>
    </row>
    <row r="478" spans="1:9" x14ac:dyDescent="0.25">
      <c r="A478" s="159" t="s">
        <v>66</v>
      </c>
      <c r="B478" s="159"/>
      <c r="C478" s="159"/>
      <c r="D478" s="159"/>
      <c r="E478" s="26"/>
      <c r="F478" s="26"/>
      <c r="G478" s="26"/>
      <c r="H478" s="26"/>
      <c r="I478" s="18">
        <f>+E478*G478</f>
        <v>0</v>
      </c>
    </row>
    <row r="479" spans="1:9" x14ac:dyDescent="0.25">
      <c r="A479" s="159" t="s">
        <v>67</v>
      </c>
      <c r="B479" s="159"/>
      <c r="C479" s="159"/>
      <c r="D479" s="159"/>
      <c r="E479" s="26"/>
      <c r="F479" s="26"/>
      <c r="G479" s="26"/>
      <c r="H479" s="26"/>
      <c r="I479" s="18">
        <f>+E479*G479</f>
        <v>0</v>
      </c>
    </row>
    <row r="480" spans="1:9" ht="16.5" x14ac:dyDescent="0.3">
      <c r="A480" s="167" t="s">
        <v>68</v>
      </c>
      <c r="B480" s="167"/>
      <c r="C480" s="167"/>
      <c r="D480" s="167"/>
      <c r="E480" s="14" t="s">
        <v>52</v>
      </c>
      <c r="F480" s="170" t="s">
        <v>69</v>
      </c>
      <c r="G480" s="171"/>
      <c r="H480" s="27" t="s">
        <v>46</v>
      </c>
      <c r="I480" s="28" t="s">
        <v>53</v>
      </c>
    </row>
    <row r="481" spans="1:9" x14ac:dyDescent="0.25">
      <c r="A481" s="168" t="s">
        <v>160</v>
      </c>
      <c r="B481" s="168"/>
      <c r="C481" s="168"/>
      <c r="D481" s="168"/>
      <c r="E481" s="18">
        <v>1</v>
      </c>
      <c r="F481" s="177">
        <f>CUADRILLAS!B17*1.7</f>
        <v>136000</v>
      </c>
      <c r="G481" s="177"/>
      <c r="H481" s="21">
        <v>8</v>
      </c>
      <c r="I481" s="24">
        <f>+(E481*F481)/H481</f>
        <v>17000</v>
      </c>
    </row>
    <row r="482" spans="1:9" x14ac:dyDescent="0.25">
      <c r="A482" s="168" t="s">
        <v>153</v>
      </c>
      <c r="B482" s="168"/>
      <c r="C482" s="168"/>
      <c r="D482" s="168"/>
      <c r="E482" s="18">
        <v>1</v>
      </c>
      <c r="F482" s="177">
        <f>CUADRILLAS!B23*1.7</f>
        <v>85000</v>
      </c>
      <c r="G482" s="177"/>
      <c r="H482" s="21">
        <v>8</v>
      </c>
      <c r="I482" s="24">
        <f>+(E482*F482)/H482</f>
        <v>10625</v>
      </c>
    </row>
    <row r="483" spans="1:9" ht="16.5" x14ac:dyDescent="0.3">
      <c r="A483" s="160"/>
      <c r="B483" s="161"/>
      <c r="C483" s="161"/>
      <c r="D483" s="161"/>
      <c r="E483" s="162"/>
      <c r="F483" s="30" t="s">
        <v>35</v>
      </c>
      <c r="G483" s="31"/>
      <c r="H483" s="32"/>
      <c r="I483" s="33">
        <f>ROUND((SUM(I465:I482)),0)</f>
        <v>116255</v>
      </c>
    </row>
    <row r="484" spans="1:9" ht="16.5" x14ac:dyDescent="0.3">
      <c r="A484" s="10"/>
      <c r="B484" s="163"/>
      <c r="C484" s="164"/>
      <c r="D484" s="164"/>
      <c r="E484" s="164"/>
      <c r="F484" s="164"/>
      <c r="G484" s="164"/>
      <c r="H484" s="164"/>
      <c r="I484" s="165"/>
    </row>
    <row r="486" spans="1:9" ht="16.5" x14ac:dyDescent="0.3">
      <c r="A486" s="10" t="s">
        <v>40</v>
      </c>
      <c r="B486" s="163" t="str">
        <f>'PRESUPUESTO_ESTUDIO MERCADO '!B12</f>
        <v>Suministro  e instalaciòn de cielo falso en pvc , enpotrado en estructura metalica con omegas, vigas y angulo perimetral  en toda el area de la cocina. Incluye todos los accesorios necesarios para su correcta instalacion..</v>
      </c>
      <c r="C486" s="164"/>
      <c r="D486" s="164"/>
      <c r="E486" s="164"/>
      <c r="F486" s="164"/>
      <c r="G486" s="164"/>
      <c r="H486" s="164"/>
      <c r="I486" s="165"/>
    </row>
    <row r="487" spans="1:9" ht="16.5" x14ac:dyDescent="0.3">
      <c r="A487" s="11" t="s">
        <v>72</v>
      </c>
      <c r="B487" s="166"/>
      <c r="C487" s="166"/>
      <c r="D487" s="166"/>
      <c r="E487" s="166"/>
      <c r="F487" s="166"/>
      <c r="G487" s="166"/>
      <c r="H487" s="12" t="s">
        <v>42</v>
      </c>
      <c r="I487" s="13" t="s">
        <v>20</v>
      </c>
    </row>
    <row r="488" spans="1:9" ht="16.5" x14ac:dyDescent="0.3">
      <c r="A488" s="167" t="s">
        <v>44</v>
      </c>
      <c r="B488" s="167"/>
      <c r="C488" s="167"/>
      <c r="D488" s="167"/>
      <c r="E488" s="167"/>
      <c r="F488" s="14" t="s">
        <v>9</v>
      </c>
      <c r="G488" s="14" t="s">
        <v>45</v>
      </c>
      <c r="H488" s="14" t="s">
        <v>46</v>
      </c>
      <c r="I488" s="15" t="s">
        <v>47</v>
      </c>
    </row>
    <row r="489" spans="1:9" x14ac:dyDescent="0.25">
      <c r="A489" s="159" t="s">
        <v>48</v>
      </c>
      <c r="B489" s="159"/>
      <c r="C489" s="159"/>
      <c r="D489" s="159"/>
      <c r="E489" s="159"/>
      <c r="F489" s="17"/>
      <c r="G489" s="17"/>
      <c r="H489" s="18"/>
      <c r="I489" s="19">
        <f>ROUND((SUM(I505:I506)*0.05),0)</f>
        <v>1518</v>
      </c>
    </row>
    <row r="490" spans="1:9" x14ac:dyDescent="0.25">
      <c r="A490" s="159" t="s">
        <v>161</v>
      </c>
      <c r="B490" s="159"/>
      <c r="C490" s="159"/>
      <c r="D490" s="159"/>
      <c r="E490" s="159"/>
      <c r="F490" s="17">
        <v>2</v>
      </c>
      <c r="G490" s="17">
        <v>6000</v>
      </c>
      <c r="H490" s="21">
        <v>7</v>
      </c>
      <c r="I490" s="19">
        <f>+F490*G490/H490</f>
        <v>1714.2857142857142</v>
      </c>
    </row>
    <row r="491" spans="1:9" x14ac:dyDescent="0.25">
      <c r="A491" s="174"/>
      <c r="B491" s="175"/>
      <c r="C491" s="175"/>
      <c r="D491" s="175"/>
      <c r="E491" s="176"/>
      <c r="F491" s="17"/>
      <c r="G491" s="17"/>
      <c r="H491" s="21"/>
      <c r="I491" s="19"/>
    </row>
    <row r="492" spans="1:9" ht="16.5" x14ac:dyDescent="0.3">
      <c r="A492" s="167" t="s">
        <v>49</v>
      </c>
      <c r="B492" s="167"/>
      <c r="C492" s="167"/>
      <c r="D492" s="167"/>
      <c r="E492" s="167"/>
      <c r="F492" s="14" t="s">
        <v>50</v>
      </c>
      <c r="G492" s="22" t="s">
        <v>51</v>
      </c>
      <c r="H492" s="22" t="s">
        <v>52</v>
      </c>
      <c r="I492" s="15" t="s">
        <v>53</v>
      </c>
    </row>
    <row r="493" spans="1:9" ht="16.5" x14ac:dyDescent="0.3">
      <c r="A493" s="209" t="s">
        <v>162</v>
      </c>
      <c r="B493" s="210"/>
      <c r="C493" s="210"/>
      <c r="D493" s="210"/>
      <c r="E493" s="211"/>
      <c r="F493" s="23" t="s">
        <v>80</v>
      </c>
      <c r="G493" s="110">
        <v>45000</v>
      </c>
      <c r="H493" s="110">
        <v>1</v>
      </c>
      <c r="I493" s="24">
        <f>+H493*G493</f>
        <v>45000</v>
      </c>
    </row>
    <row r="494" spans="1:9" x14ac:dyDescent="0.25">
      <c r="A494" s="159" t="s">
        <v>163</v>
      </c>
      <c r="B494" s="159"/>
      <c r="C494" s="159"/>
      <c r="D494" s="159"/>
      <c r="E494" s="159"/>
      <c r="F494" s="23" t="s">
        <v>74</v>
      </c>
      <c r="G494" s="24">
        <v>7000</v>
      </c>
      <c r="H494" s="18">
        <v>1.5</v>
      </c>
      <c r="I494" s="24">
        <f>+H494*G494</f>
        <v>10500</v>
      </c>
    </row>
    <row r="495" spans="1:9" x14ac:dyDescent="0.25">
      <c r="A495" s="174" t="s">
        <v>164</v>
      </c>
      <c r="B495" s="175"/>
      <c r="C495" s="175"/>
      <c r="D495" s="175"/>
      <c r="E495" s="176"/>
      <c r="F495" s="23" t="s">
        <v>74</v>
      </c>
      <c r="G495" s="18">
        <v>7000</v>
      </c>
      <c r="H495" s="18">
        <v>1.5</v>
      </c>
      <c r="I495" s="24">
        <f>+H495*G495</f>
        <v>10500</v>
      </c>
    </row>
    <row r="496" spans="1:9" x14ac:dyDescent="0.25">
      <c r="A496" s="174" t="s">
        <v>165</v>
      </c>
      <c r="B496" s="175"/>
      <c r="C496" s="175"/>
      <c r="D496" s="175"/>
      <c r="E496" s="176"/>
      <c r="F496" s="23" t="s">
        <v>74</v>
      </c>
      <c r="G496" s="18">
        <v>7000</v>
      </c>
      <c r="H496" s="18">
        <v>5</v>
      </c>
      <c r="I496" s="24">
        <f>+G496*H496</f>
        <v>35000</v>
      </c>
    </row>
    <row r="497" spans="1:9" x14ac:dyDescent="0.25">
      <c r="A497" s="159" t="s">
        <v>166</v>
      </c>
      <c r="B497" s="159"/>
      <c r="C497" s="159"/>
      <c r="D497" s="159"/>
      <c r="E497" s="159"/>
      <c r="F497" s="23" t="s">
        <v>74</v>
      </c>
      <c r="G497" s="18">
        <v>70</v>
      </c>
      <c r="H497" s="18">
        <v>20</v>
      </c>
      <c r="I497" s="24">
        <f t="shared" ref="I497:I500" si="20">+G497*H497</f>
        <v>1400</v>
      </c>
    </row>
    <row r="498" spans="1:9" x14ac:dyDescent="0.25">
      <c r="A498" s="174"/>
      <c r="B498" s="175"/>
      <c r="C498" s="175"/>
      <c r="D498" s="175"/>
      <c r="E498" s="176"/>
      <c r="F498" s="23"/>
      <c r="G498" s="18"/>
      <c r="H498" s="18"/>
      <c r="I498" s="24">
        <f t="shared" si="20"/>
        <v>0</v>
      </c>
    </row>
    <row r="499" spans="1:9" x14ac:dyDescent="0.25">
      <c r="A499" s="159"/>
      <c r="B499" s="159"/>
      <c r="C499" s="159"/>
      <c r="D499" s="159"/>
      <c r="E499" s="159"/>
      <c r="F499" s="23"/>
      <c r="G499" s="18"/>
      <c r="H499" s="18"/>
      <c r="I499" s="24">
        <f t="shared" si="20"/>
        <v>0</v>
      </c>
    </row>
    <row r="500" spans="1:9" x14ac:dyDescent="0.25">
      <c r="A500" s="159"/>
      <c r="B500" s="159"/>
      <c r="C500" s="159"/>
      <c r="D500" s="159"/>
      <c r="E500" s="159"/>
      <c r="F500" s="23"/>
      <c r="G500" s="18"/>
      <c r="H500" s="18"/>
      <c r="I500" s="24">
        <f t="shared" si="20"/>
        <v>0</v>
      </c>
    </row>
    <row r="501" spans="1:9" ht="16.5" x14ac:dyDescent="0.3">
      <c r="A501" s="167" t="s">
        <v>61</v>
      </c>
      <c r="B501" s="167"/>
      <c r="C501" s="167"/>
      <c r="D501" s="167"/>
      <c r="E501" s="25" t="s">
        <v>62</v>
      </c>
      <c r="F501" s="14" t="s">
        <v>63</v>
      </c>
      <c r="G501" s="14" t="s">
        <v>64</v>
      </c>
      <c r="H501" s="14" t="s">
        <v>65</v>
      </c>
      <c r="I501" s="15" t="s">
        <v>53</v>
      </c>
    </row>
    <row r="502" spans="1:9" x14ac:dyDescent="0.25">
      <c r="A502" s="159" t="s">
        <v>66</v>
      </c>
      <c r="B502" s="159"/>
      <c r="C502" s="159"/>
      <c r="D502" s="159"/>
      <c r="E502" s="26"/>
      <c r="F502" s="26">
        <v>6</v>
      </c>
      <c r="G502" s="26">
        <f>35000/F502</f>
        <v>5833.333333333333</v>
      </c>
      <c r="H502" s="26">
        <f>+G502*6</f>
        <v>35000</v>
      </c>
      <c r="I502" s="18">
        <f>+E502*G502</f>
        <v>0</v>
      </c>
    </row>
    <row r="503" spans="1:9" x14ac:dyDescent="0.25">
      <c r="A503" s="159" t="s">
        <v>67</v>
      </c>
      <c r="B503" s="159"/>
      <c r="C503" s="159"/>
      <c r="D503" s="159"/>
      <c r="E503" s="26"/>
      <c r="F503" s="26"/>
      <c r="G503" s="26"/>
      <c r="H503" s="26"/>
      <c r="I503" s="18">
        <f>+E503*G503</f>
        <v>0</v>
      </c>
    </row>
    <row r="504" spans="1:9" ht="16.5" x14ac:dyDescent="0.3">
      <c r="A504" s="167" t="s">
        <v>68</v>
      </c>
      <c r="B504" s="167"/>
      <c r="C504" s="167"/>
      <c r="D504" s="167"/>
      <c r="E504" s="14" t="s">
        <v>52</v>
      </c>
      <c r="F504" s="170" t="s">
        <v>69</v>
      </c>
      <c r="G504" s="171"/>
      <c r="H504" s="27" t="s">
        <v>46</v>
      </c>
      <c r="I504" s="28" t="s">
        <v>53</v>
      </c>
    </row>
    <row r="505" spans="1:9" x14ac:dyDescent="0.25">
      <c r="A505" s="168" t="str">
        <f>CUADRILLAS!B8</f>
        <v xml:space="preserve">CUADRILLA 3 </v>
      </c>
      <c r="B505" s="168"/>
      <c r="C505" s="168"/>
      <c r="D505" s="168"/>
      <c r="E505" s="18">
        <v>1</v>
      </c>
      <c r="F505" s="177">
        <f>CUADRILLAS!D8</f>
        <v>212500</v>
      </c>
      <c r="G505" s="177"/>
      <c r="H505" s="21">
        <v>7</v>
      </c>
      <c r="I505" s="24">
        <f>+E505*F505/H505</f>
        <v>30357.142857142859</v>
      </c>
    </row>
    <row r="506" spans="1:9" x14ac:dyDescent="0.25">
      <c r="A506" s="168"/>
      <c r="B506" s="168"/>
      <c r="C506" s="168"/>
      <c r="D506" s="168"/>
      <c r="E506" s="18"/>
      <c r="F506" s="177"/>
      <c r="G506" s="177"/>
      <c r="H506" s="21"/>
      <c r="I506" s="24"/>
    </row>
    <row r="507" spans="1:9" ht="16.5" x14ac:dyDescent="0.3">
      <c r="A507" s="160"/>
      <c r="B507" s="161"/>
      <c r="C507" s="161"/>
      <c r="D507" s="161"/>
      <c r="E507" s="162"/>
      <c r="F507" s="30" t="s">
        <v>35</v>
      </c>
      <c r="G507" s="31"/>
      <c r="H507" s="32"/>
      <c r="I507" s="36">
        <f>ROUND((SUM(I489:I506)),0)</f>
        <v>135989</v>
      </c>
    </row>
    <row r="508" spans="1:9" x14ac:dyDescent="0.25">
      <c r="A508" s="65"/>
      <c r="B508" s="65"/>
      <c r="C508" s="65"/>
      <c r="D508" s="65"/>
      <c r="E508" s="65"/>
      <c r="F508" s="65"/>
      <c r="G508" s="65"/>
      <c r="H508" s="65"/>
      <c r="I508" s="65"/>
    </row>
    <row r="509" spans="1:9" ht="16.5" x14ac:dyDescent="0.3">
      <c r="A509" s="10" t="s">
        <v>40</v>
      </c>
      <c r="B509" s="163" t="e">
        <f>'PRESUPUESTO_ESTUDIO MERCADO '!#REF!</f>
        <v>#REF!</v>
      </c>
      <c r="C509" s="164"/>
      <c r="D509" s="164"/>
      <c r="E509" s="164"/>
      <c r="F509" s="164"/>
      <c r="G509" s="164"/>
      <c r="H509" s="164"/>
      <c r="I509" s="165"/>
    </row>
    <row r="510" spans="1:9" ht="15" customHeight="1" x14ac:dyDescent="0.3">
      <c r="A510" s="11" t="s">
        <v>72</v>
      </c>
      <c r="B510" s="166"/>
      <c r="C510" s="166"/>
      <c r="D510" s="166"/>
      <c r="E510" s="166"/>
      <c r="F510" s="166"/>
      <c r="G510" s="166"/>
      <c r="H510" s="12" t="s">
        <v>42</v>
      </c>
      <c r="I510" s="13" t="s">
        <v>20</v>
      </c>
    </row>
    <row r="511" spans="1:9" ht="16.5" customHeight="1" x14ac:dyDescent="0.3">
      <c r="A511" s="167" t="s">
        <v>44</v>
      </c>
      <c r="B511" s="167"/>
      <c r="C511" s="167"/>
      <c r="D511" s="167"/>
      <c r="E511" s="167"/>
      <c r="F511" s="14" t="s">
        <v>9</v>
      </c>
      <c r="G511" s="14" t="s">
        <v>45</v>
      </c>
      <c r="H511" s="14" t="s">
        <v>46</v>
      </c>
      <c r="I511" s="15" t="s">
        <v>47</v>
      </c>
    </row>
    <row r="512" spans="1:9" x14ac:dyDescent="0.25">
      <c r="A512" s="159" t="s">
        <v>48</v>
      </c>
      <c r="B512" s="159"/>
      <c r="C512" s="159"/>
      <c r="D512" s="159"/>
      <c r="E512" s="159"/>
      <c r="F512" s="17"/>
      <c r="G512" s="17"/>
      <c r="H512" s="18"/>
      <c r="I512" s="19">
        <f>ROUND((SUM(I527:I528)*0.05),0)</f>
        <v>482</v>
      </c>
    </row>
    <row r="513" spans="1:9" x14ac:dyDescent="0.25">
      <c r="A513" s="159" t="s">
        <v>145</v>
      </c>
      <c r="B513" s="159"/>
      <c r="C513" s="159"/>
      <c r="D513" s="159"/>
      <c r="E513" s="159"/>
      <c r="F513" s="17">
        <v>4</v>
      </c>
      <c r="G513" s="17">
        <v>2000</v>
      </c>
      <c r="H513" s="21">
        <f>H527</f>
        <v>30</v>
      </c>
      <c r="I513" s="19">
        <f>+F513*G513/H513</f>
        <v>266.66666666666669</v>
      </c>
    </row>
    <row r="514" spans="1:9" x14ac:dyDescent="0.25">
      <c r="A514" s="174"/>
      <c r="B514" s="175"/>
      <c r="C514" s="175"/>
      <c r="D514" s="175"/>
      <c r="E514" s="176"/>
      <c r="F514" s="17"/>
      <c r="G514" s="17"/>
      <c r="H514" s="21"/>
      <c r="I514" s="19"/>
    </row>
    <row r="515" spans="1:9" ht="16.5" x14ac:dyDescent="0.3">
      <c r="A515" s="167" t="s">
        <v>49</v>
      </c>
      <c r="B515" s="167"/>
      <c r="C515" s="167"/>
      <c r="D515" s="167"/>
      <c r="E515" s="167"/>
      <c r="F515" s="14" t="s">
        <v>50</v>
      </c>
      <c r="G515" s="22" t="s">
        <v>51</v>
      </c>
      <c r="H515" s="22" t="s">
        <v>52</v>
      </c>
      <c r="I515" s="15" t="s">
        <v>53</v>
      </c>
    </row>
    <row r="516" spans="1:9" x14ac:dyDescent="0.25">
      <c r="A516" s="173" t="s">
        <v>167</v>
      </c>
      <c r="B516" s="159"/>
      <c r="C516" s="159"/>
      <c r="D516" s="159"/>
      <c r="E516" s="159"/>
      <c r="F516" s="23" t="s">
        <v>80</v>
      </c>
      <c r="G516" s="24">
        <v>15000</v>
      </c>
      <c r="H516" s="18">
        <v>1.05</v>
      </c>
      <c r="I516" s="24">
        <f>+H516*G516</f>
        <v>15750</v>
      </c>
    </row>
    <row r="517" spans="1:9" x14ac:dyDescent="0.25">
      <c r="A517" s="174" t="s">
        <v>168</v>
      </c>
      <c r="B517" s="175"/>
      <c r="C517" s="175"/>
      <c r="D517" s="175"/>
      <c r="E517" s="176"/>
      <c r="F517" s="23" t="s">
        <v>74</v>
      </c>
      <c r="G517" s="18">
        <v>300</v>
      </c>
      <c r="H517" s="18">
        <v>4</v>
      </c>
      <c r="I517" s="24">
        <f>+H517*G517</f>
        <v>1200</v>
      </c>
    </row>
    <row r="518" spans="1:9" ht="15" customHeight="1" x14ac:dyDescent="0.25">
      <c r="A518" s="174"/>
      <c r="B518" s="175"/>
      <c r="C518" s="175"/>
      <c r="D518" s="175"/>
      <c r="E518" s="176"/>
      <c r="F518" s="23"/>
      <c r="G518" s="18"/>
      <c r="H518" s="18"/>
      <c r="I518" s="24"/>
    </row>
    <row r="519" spans="1:9" ht="15" customHeight="1" x14ac:dyDescent="0.25">
      <c r="A519" s="159"/>
      <c r="B519" s="159"/>
      <c r="C519" s="159"/>
      <c r="D519" s="159"/>
      <c r="E519" s="159"/>
      <c r="F519" s="23"/>
      <c r="G519" s="18"/>
      <c r="H519" s="18"/>
      <c r="I519" s="24"/>
    </row>
    <row r="520" spans="1:9" x14ac:dyDescent="0.25">
      <c r="A520" s="174"/>
      <c r="B520" s="175"/>
      <c r="C520" s="175"/>
      <c r="D520" s="175"/>
      <c r="E520" s="176"/>
      <c r="F520" s="23"/>
      <c r="G520" s="18"/>
      <c r="H520" s="18"/>
      <c r="I520" s="24">
        <f t="shared" ref="I520:I522" si="21">+G520*H520</f>
        <v>0</v>
      </c>
    </row>
    <row r="521" spans="1:9" x14ac:dyDescent="0.25">
      <c r="A521" s="159"/>
      <c r="B521" s="159"/>
      <c r="C521" s="159"/>
      <c r="D521" s="159"/>
      <c r="E521" s="159"/>
      <c r="F521" s="23"/>
      <c r="G521" s="18"/>
      <c r="H521" s="18"/>
      <c r="I521" s="24">
        <f t="shared" si="21"/>
        <v>0</v>
      </c>
    </row>
    <row r="522" spans="1:9" x14ac:dyDescent="0.25">
      <c r="A522" s="159"/>
      <c r="B522" s="159"/>
      <c r="C522" s="159"/>
      <c r="D522" s="159"/>
      <c r="E522" s="159"/>
      <c r="F522" s="23"/>
      <c r="G522" s="18"/>
      <c r="H522" s="18"/>
      <c r="I522" s="24">
        <f t="shared" si="21"/>
        <v>0</v>
      </c>
    </row>
    <row r="523" spans="1:9" ht="16.5" x14ac:dyDescent="0.3">
      <c r="A523" s="167" t="s">
        <v>61</v>
      </c>
      <c r="B523" s="167"/>
      <c r="C523" s="167"/>
      <c r="D523" s="167"/>
      <c r="E523" s="25" t="s">
        <v>62</v>
      </c>
      <c r="F523" s="14" t="s">
        <v>63</v>
      </c>
      <c r="G523" s="14" t="s">
        <v>64</v>
      </c>
      <c r="H523" s="14" t="s">
        <v>65</v>
      </c>
      <c r="I523" s="15" t="s">
        <v>53</v>
      </c>
    </row>
    <row r="524" spans="1:9" x14ac:dyDescent="0.25">
      <c r="A524" s="159" t="s">
        <v>66</v>
      </c>
      <c r="B524" s="159"/>
      <c r="C524" s="159"/>
      <c r="D524" s="159"/>
      <c r="E524" s="26"/>
      <c r="F524" s="26">
        <v>6</v>
      </c>
      <c r="G524" s="26">
        <f>35000/F524</f>
        <v>5833.333333333333</v>
      </c>
      <c r="H524" s="26">
        <f>+G524*6</f>
        <v>35000</v>
      </c>
      <c r="I524" s="18">
        <f>+E524*G524</f>
        <v>0</v>
      </c>
    </row>
    <row r="525" spans="1:9" x14ac:dyDescent="0.25">
      <c r="A525" s="159" t="s">
        <v>67</v>
      </c>
      <c r="B525" s="159"/>
      <c r="C525" s="159"/>
      <c r="D525" s="159"/>
      <c r="E525" s="26"/>
      <c r="F525" s="26"/>
      <c r="G525" s="26"/>
      <c r="H525" s="26"/>
      <c r="I525" s="18">
        <f>+E525*G525</f>
        <v>0</v>
      </c>
    </row>
    <row r="526" spans="1:9" ht="16.5" x14ac:dyDescent="0.3">
      <c r="A526" s="167" t="s">
        <v>68</v>
      </c>
      <c r="B526" s="167"/>
      <c r="C526" s="167"/>
      <c r="D526" s="167"/>
      <c r="E526" s="14" t="s">
        <v>52</v>
      </c>
      <c r="F526" s="170" t="s">
        <v>69</v>
      </c>
      <c r="G526" s="171"/>
      <c r="H526" s="27" t="s">
        <v>46</v>
      </c>
      <c r="I526" s="28" t="s">
        <v>53</v>
      </c>
    </row>
    <row r="527" spans="1:9" x14ac:dyDescent="0.25">
      <c r="A527" s="168" t="str">
        <f>CUADRILLAS!B9</f>
        <v xml:space="preserve">CUADRILLA 4 </v>
      </c>
      <c r="B527" s="168"/>
      <c r="C527" s="168"/>
      <c r="D527" s="168"/>
      <c r="E527" s="18">
        <v>1</v>
      </c>
      <c r="F527" s="177">
        <f>CUADRILLAS!D9</f>
        <v>289000</v>
      </c>
      <c r="G527" s="177"/>
      <c r="H527" s="21">
        <v>30</v>
      </c>
      <c r="I527" s="24">
        <f>+E527*F527/H527</f>
        <v>9633.3333333333339</v>
      </c>
    </row>
    <row r="528" spans="1:9" x14ac:dyDescent="0.25">
      <c r="A528" s="168"/>
      <c r="B528" s="168"/>
      <c r="C528" s="168"/>
      <c r="D528" s="168"/>
      <c r="E528" s="18"/>
      <c r="F528" s="177"/>
      <c r="G528" s="177"/>
      <c r="H528" s="21"/>
      <c r="I528" s="24"/>
    </row>
    <row r="529" spans="1:9" ht="16.5" x14ac:dyDescent="0.3">
      <c r="A529" s="160"/>
      <c r="B529" s="161"/>
      <c r="C529" s="161"/>
      <c r="D529" s="161"/>
      <c r="E529" s="162"/>
      <c r="F529" s="30" t="s">
        <v>35</v>
      </c>
      <c r="G529" s="31"/>
      <c r="H529" s="32"/>
      <c r="I529" s="36">
        <f>ROUND((SUM(I512:I528)),0)</f>
        <v>27332</v>
      </c>
    </row>
    <row r="530" spans="1:9" x14ac:dyDescent="0.25">
      <c r="A530" s="65"/>
      <c r="B530" s="65"/>
      <c r="C530" s="65"/>
      <c r="D530" s="65"/>
      <c r="E530" s="65"/>
      <c r="F530" s="65"/>
      <c r="G530" s="65"/>
      <c r="H530" s="65"/>
      <c r="I530" s="65"/>
    </row>
    <row r="532" spans="1:9" x14ac:dyDescent="0.25">
      <c r="A532" s="80" t="s">
        <v>40</v>
      </c>
      <c r="B532" s="198" t="e">
        <f>'PRESUPUESTO_ESTUDIO MERCADO '!#REF!</f>
        <v>#REF!</v>
      </c>
      <c r="C532" s="199"/>
      <c r="D532" s="199"/>
      <c r="E532" s="199"/>
      <c r="F532" s="199"/>
      <c r="G532" s="199"/>
      <c r="H532" s="199"/>
      <c r="I532" s="200"/>
    </row>
    <row r="533" spans="1:9" x14ac:dyDescent="0.25">
      <c r="A533" s="80" t="s">
        <v>149</v>
      </c>
      <c r="B533" s="80"/>
      <c r="C533" s="80"/>
      <c r="D533" s="80"/>
      <c r="E533" s="80"/>
      <c r="F533" s="80"/>
      <c r="G533" s="80"/>
      <c r="H533" s="80" t="s">
        <v>42</v>
      </c>
      <c r="I533" s="81" t="s">
        <v>20</v>
      </c>
    </row>
    <row r="534" spans="1:9" x14ac:dyDescent="0.25">
      <c r="A534" s="80" t="s">
        <v>44</v>
      </c>
      <c r="B534" s="80"/>
      <c r="C534" s="80"/>
      <c r="D534" s="80"/>
      <c r="E534" s="80"/>
      <c r="F534" s="80" t="s">
        <v>9</v>
      </c>
      <c r="G534" s="80" t="s">
        <v>45</v>
      </c>
      <c r="H534" s="80" t="s">
        <v>46</v>
      </c>
      <c r="I534" s="81" t="s">
        <v>47</v>
      </c>
    </row>
    <row r="535" spans="1:9" x14ac:dyDescent="0.25">
      <c r="A535" s="80" t="s">
        <v>48</v>
      </c>
      <c r="B535" s="80"/>
      <c r="C535" s="80"/>
      <c r="D535" s="80"/>
      <c r="E535" s="80"/>
      <c r="F535" s="81"/>
      <c r="G535" s="81"/>
      <c r="H535" s="81"/>
      <c r="I535" s="82">
        <f>(I551+I552)*0.05</f>
        <v>779.16666666666663</v>
      </c>
    </row>
    <row r="536" spans="1:9" x14ac:dyDescent="0.25">
      <c r="A536" s="80" t="s">
        <v>145</v>
      </c>
      <c r="B536" s="80"/>
      <c r="C536" s="80"/>
      <c r="D536" s="80"/>
      <c r="E536" s="80"/>
      <c r="F536" s="81">
        <v>2</v>
      </c>
      <c r="G536" s="81">
        <v>3000</v>
      </c>
      <c r="H536" s="83">
        <v>12</v>
      </c>
      <c r="I536" s="82">
        <f>G536/H536</f>
        <v>250</v>
      </c>
    </row>
    <row r="537" spans="1:9" x14ac:dyDescent="0.25">
      <c r="A537" s="80"/>
      <c r="B537" s="80"/>
      <c r="C537" s="80"/>
      <c r="D537" s="80"/>
      <c r="E537" s="80"/>
      <c r="F537" s="81"/>
      <c r="G537" s="81"/>
      <c r="H537" s="83"/>
      <c r="I537" s="82"/>
    </row>
    <row r="538" spans="1:9" x14ac:dyDescent="0.25">
      <c r="A538" s="80" t="s">
        <v>49</v>
      </c>
      <c r="B538" s="80"/>
      <c r="C538" s="80"/>
      <c r="D538" s="80"/>
      <c r="E538" s="80"/>
      <c r="F538" s="80" t="s">
        <v>50</v>
      </c>
      <c r="G538" s="84" t="s">
        <v>51</v>
      </c>
      <c r="H538" s="84" t="s">
        <v>52</v>
      </c>
      <c r="I538" s="81" t="s">
        <v>53</v>
      </c>
    </row>
    <row r="539" spans="1:9" x14ac:dyDescent="0.25">
      <c r="A539" s="201" t="s">
        <v>150</v>
      </c>
      <c r="B539" s="202"/>
      <c r="C539" s="203"/>
      <c r="D539" s="80"/>
      <c r="E539" s="80"/>
      <c r="F539" s="85" t="s">
        <v>151</v>
      </c>
      <c r="G539" s="82">
        <v>70000</v>
      </c>
      <c r="H539" s="81">
        <v>0.02</v>
      </c>
      <c r="I539" s="82">
        <f t="shared" ref="I539:I545" si="22">G539*H539</f>
        <v>1400</v>
      </c>
    </row>
    <row r="540" spans="1:9" x14ac:dyDescent="0.25">
      <c r="A540" s="204" t="s">
        <v>169</v>
      </c>
      <c r="B540" s="205"/>
      <c r="C540" s="205"/>
      <c r="D540" s="206"/>
      <c r="E540" s="80"/>
      <c r="F540" s="85" t="s">
        <v>170</v>
      </c>
      <c r="G540" s="82">
        <v>1500</v>
      </c>
      <c r="H540" s="81">
        <v>6</v>
      </c>
      <c r="I540" s="82">
        <f t="shared" si="22"/>
        <v>9000</v>
      </c>
    </row>
    <row r="541" spans="1:9" x14ac:dyDescent="0.25">
      <c r="A541" s="198" t="s">
        <v>171</v>
      </c>
      <c r="B541" s="199"/>
      <c r="C541" s="199"/>
      <c r="D541" s="200"/>
      <c r="E541" s="80"/>
      <c r="F541" s="85" t="s">
        <v>80</v>
      </c>
      <c r="G541" s="81">
        <v>8000</v>
      </c>
      <c r="H541" s="81">
        <v>1.05</v>
      </c>
      <c r="I541" s="82">
        <f t="shared" si="22"/>
        <v>8400</v>
      </c>
    </row>
    <row r="542" spans="1:9" x14ac:dyDescent="0.25">
      <c r="A542" s="201" t="s">
        <v>172</v>
      </c>
      <c r="B542" s="202"/>
      <c r="C542" s="202"/>
      <c r="D542" s="202"/>
      <c r="E542" s="203"/>
      <c r="F542" s="85" t="s">
        <v>74</v>
      </c>
      <c r="G542" s="81">
        <v>25</v>
      </c>
      <c r="H542" s="81">
        <v>20</v>
      </c>
      <c r="I542" s="82">
        <f t="shared" si="22"/>
        <v>500</v>
      </c>
    </row>
    <row r="543" spans="1:9" x14ac:dyDescent="0.25">
      <c r="A543" s="80" t="s">
        <v>173</v>
      </c>
      <c r="B543" s="80"/>
      <c r="C543" s="80"/>
      <c r="D543" s="80"/>
      <c r="E543" s="80"/>
      <c r="F543" s="85" t="s">
        <v>99</v>
      </c>
      <c r="G543" s="82">
        <v>1500</v>
      </c>
      <c r="H543" s="81">
        <v>0.3</v>
      </c>
      <c r="I543" s="82">
        <f t="shared" si="22"/>
        <v>450</v>
      </c>
    </row>
    <row r="544" spans="1:9" x14ac:dyDescent="0.25">
      <c r="A544" s="201" t="s">
        <v>174</v>
      </c>
      <c r="B544" s="202"/>
      <c r="C544" s="202"/>
      <c r="D544" s="202"/>
      <c r="E544" s="203"/>
      <c r="F544" s="85" t="s">
        <v>170</v>
      </c>
      <c r="G544" s="81">
        <v>2500</v>
      </c>
      <c r="H544" s="81">
        <v>2</v>
      </c>
      <c r="I544" s="82">
        <f t="shared" si="22"/>
        <v>5000</v>
      </c>
    </row>
    <row r="545" spans="1:9" x14ac:dyDescent="0.25">
      <c r="A545" s="80" t="s">
        <v>165</v>
      </c>
      <c r="B545" s="80"/>
      <c r="C545" s="80"/>
      <c r="D545" s="80"/>
      <c r="E545" s="80"/>
      <c r="F545" s="80" t="s">
        <v>170</v>
      </c>
      <c r="G545" s="81">
        <v>1500</v>
      </c>
      <c r="H545" s="81">
        <v>1</v>
      </c>
      <c r="I545" s="82">
        <f t="shared" si="22"/>
        <v>1500</v>
      </c>
    </row>
    <row r="546" spans="1:9" x14ac:dyDescent="0.25">
      <c r="A546" s="80"/>
      <c r="B546" s="80"/>
      <c r="C546" s="80"/>
      <c r="D546" s="80"/>
      <c r="E546" s="80"/>
      <c r="F546" s="80"/>
      <c r="G546" s="81"/>
      <c r="H546" s="81"/>
      <c r="I546" s="82">
        <v>0</v>
      </c>
    </row>
    <row r="547" spans="1:9" x14ac:dyDescent="0.25">
      <c r="A547" s="80" t="s">
        <v>61</v>
      </c>
      <c r="B547" s="80"/>
      <c r="C547" s="80"/>
      <c r="D547" s="80"/>
      <c r="E547" s="80" t="s">
        <v>62</v>
      </c>
      <c r="F547" s="80" t="s">
        <v>63</v>
      </c>
      <c r="G547" s="80" t="s">
        <v>64</v>
      </c>
      <c r="H547" s="80" t="s">
        <v>65</v>
      </c>
      <c r="I547" s="81" t="s">
        <v>53</v>
      </c>
    </row>
    <row r="548" spans="1:9" x14ac:dyDescent="0.25">
      <c r="A548" s="80" t="s">
        <v>66</v>
      </c>
      <c r="B548" s="80"/>
      <c r="C548" s="80"/>
      <c r="D548" s="80"/>
      <c r="E548" s="86"/>
      <c r="F548" s="86">
        <v>6</v>
      </c>
      <c r="G548" s="86">
        <v>5833.333333333333</v>
      </c>
      <c r="H548" s="86">
        <v>35000</v>
      </c>
      <c r="I548" s="81">
        <v>0</v>
      </c>
    </row>
    <row r="549" spans="1:9" x14ac:dyDescent="0.25">
      <c r="A549" s="80" t="s">
        <v>67</v>
      </c>
      <c r="B549" s="80"/>
      <c r="C549" s="80"/>
      <c r="D549" s="80"/>
      <c r="E549" s="86"/>
      <c r="F549" s="86"/>
      <c r="G549" s="86"/>
      <c r="H549" s="86"/>
      <c r="I549" s="81">
        <v>0</v>
      </c>
    </row>
    <row r="550" spans="1:9" x14ac:dyDescent="0.25">
      <c r="A550" s="80" t="s">
        <v>68</v>
      </c>
      <c r="B550" s="80"/>
      <c r="C550" s="80"/>
      <c r="D550" s="80"/>
      <c r="E550" s="80" t="s">
        <v>52</v>
      </c>
      <c r="F550" s="80" t="s">
        <v>69</v>
      </c>
      <c r="G550" s="80"/>
      <c r="H550" s="80" t="s">
        <v>46</v>
      </c>
      <c r="I550" s="81" t="s">
        <v>53</v>
      </c>
    </row>
    <row r="551" spans="1:9" x14ac:dyDescent="0.25">
      <c r="A551" s="80" t="s">
        <v>160</v>
      </c>
      <c r="B551" s="80"/>
      <c r="C551" s="80"/>
      <c r="D551" s="80"/>
      <c r="E551" s="81">
        <v>1</v>
      </c>
      <c r="F551" s="81">
        <f>70000*1.7</f>
        <v>119000</v>
      </c>
      <c r="G551" s="81"/>
      <c r="H551" s="83">
        <v>12</v>
      </c>
      <c r="I551" s="82">
        <f>F551/H551</f>
        <v>9916.6666666666661</v>
      </c>
    </row>
    <row r="552" spans="1:9" x14ac:dyDescent="0.25">
      <c r="A552" s="80" t="s">
        <v>153</v>
      </c>
      <c r="B552" s="80"/>
      <c r="C552" s="80"/>
      <c r="D552" s="80"/>
      <c r="E552" s="81">
        <v>1</v>
      </c>
      <c r="F552" s="81">
        <f>40000*1.7</f>
        <v>68000</v>
      </c>
      <c r="G552" s="81"/>
      <c r="H552" s="83">
        <v>12</v>
      </c>
      <c r="I552" s="82">
        <f>F552/H552</f>
        <v>5666.666666666667</v>
      </c>
    </row>
    <row r="553" spans="1:9" x14ac:dyDescent="0.25">
      <c r="A553" s="80"/>
      <c r="B553" s="80"/>
      <c r="C553" s="80"/>
      <c r="D553" s="80"/>
      <c r="E553" s="80"/>
      <c r="F553" s="84" t="s">
        <v>35</v>
      </c>
      <c r="G553" s="80"/>
      <c r="H553" s="84"/>
      <c r="I553" s="81">
        <f>I552+I551+I544+I539+I536+I535+I540+I545+I541+I542+I543</f>
        <v>42862.5</v>
      </c>
    </row>
  </sheetData>
  <mergeCells count="589">
    <mergeCell ref="A413:D413"/>
    <mergeCell ref="F413:G413"/>
    <mergeCell ref="A414:E414"/>
    <mergeCell ref="A493:E493"/>
    <mergeCell ref="A405:E405"/>
    <mergeCell ref="A406:E406"/>
    <mergeCell ref="A407:E407"/>
    <mergeCell ref="A408:D408"/>
    <mergeCell ref="A409:D409"/>
    <mergeCell ref="A410:D410"/>
    <mergeCell ref="A411:D411"/>
    <mergeCell ref="F411:G411"/>
    <mergeCell ref="A412:D412"/>
    <mergeCell ref="F412:G412"/>
    <mergeCell ref="A480:D480"/>
    <mergeCell ref="F480:G480"/>
    <mergeCell ref="A481:D481"/>
    <mergeCell ref="F481:G481"/>
    <mergeCell ref="A482:D482"/>
    <mergeCell ref="F482:G482"/>
    <mergeCell ref="A483:E483"/>
    <mergeCell ref="A471:E471"/>
    <mergeCell ref="A472:E472"/>
    <mergeCell ref="A473:E473"/>
    <mergeCell ref="A474:E474"/>
    <mergeCell ref="A475:E475"/>
    <mergeCell ref="A476:E476"/>
    <mergeCell ref="A477:D477"/>
    <mergeCell ref="A478:D478"/>
    <mergeCell ref="A479:D479"/>
    <mergeCell ref="B462:I462"/>
    <mergeCell ref="B463:G463"/>
    <mergeCell ref="A464:E464"/>
    <mergeCell ref="A465:E465"/>
    <mergeCell ref="A466:E466"/>
    <mergeCell ref="A467:E467"/>
    <mergeCell ref="A468:E468"/>
    <mergeCell ref="A469:E469"/>
    <mergeCell ref="A470:E470"/>
    <mergeCell ref="A276:D276"/>
    <mergeCell ref="F276:G276"/>
    <mergeCell ref="F457:G457"/>
    <mergeCell ref="A458:D458"/>
    <mergeCell ref="F458:G458"/>
    <mergeCell ref="A459:D459"/>
    <mergeCell ref="F459:G459"/>
    <mergeCell ref="A460:E460"/>
    <mergeCell ref="A277:E277"/>
    <mergeCell ref="B439:I439"/>
    <mergeCell ref="B440:G440"/>
    <mergeCell ref="A441:E441"/>
    <mergeCell ref="A442:E442"/>
    <mergeCell ref="A443:E443"/>
    <mergeCell ref="A444:E444"/>
    <mergeCell ref="A445:E445"/>
    <mergeCell ref="A446:E446"/>
    <mergeCell ref="A457:D457"/>
    <mergeCell ref="A427:E427"/>
    <mergeCell ref="A428:E428"/>
    <mergeCell ref="A429:E429"/>
    <mergeCell ref="A430:E430"/>
    <mergeCell ref="A431:D431"/>
    <mergeCell ref="A432:D432"/>
    <mergeCell ref="A268:E268"/>
    <mergeCell ref="A269:E269"/>
    <mergeCell ref="A270:E270"/>
    <mergeCell ref="A271:D271"/>
    <mergeCell ref="A272:D272"/>
    <mergeCell ref="A273:D273"/>
    <mergeCell ref="A274:D274"/>
    <mergeCell ref="F274:G274"/>
    <mergeCell ref="A275:D275"/>
    <mergeCell ref="F275:G275"/>
    <mergeCell ref="A259:E259"/>
    <mergeCell ref="A260:E260"/>
    <mergeCell ref="A261:E261"/>
    <mergeCell ref="A262:E262"/>
    <mergeCell ref="A263:E263"/>
    <mergeCell ref="A264:E264"/>
    <mergeCell ref="A265:E265"/>
    <mergeCell ref="A266:E266"/>
    <mergeCell ref="A267:E267"/>
    <mergeCell ref="F251:G251"/>
    <mergeCell ref="A252:D252"/>
    <mergeCell ref="F252:G252"/>
    <mergeCell ref="A253:D253"/>
    <mergeCell ref="F253:G253"/>
    <mergeCell ref="A254:E254"/>
    <mergeCell ref="B256:I256"/>
    <mergeCell ref="B257:G257"/>
    <mergeCell ref="A258:E258"/>
    <mergeCell ref="B532:I532"/>
    <mergeCell ref="A539:C539"/>
    <mergeCell ref="A540:D540"/>
    <mergeCell ref="A541:D541"/>
    <mergeCell ref="A542:E542"/>
    <mergeCell ref="A544:E544"/>
    <mergeCell ref="A529:E529"/>
    <mergeCell ref="A526:D526"/>
    <mergeCell ref="F526:G526"/>
    <mergeCell ref="A527:D527"/>
    <mergeCell ref="F527:G527"/>
    <mergeCell ref="A528:D528"/>
    <mergeCell ref="F528:G528"/>
    <mergeCell ref="A520:E520"/>
    <mergeCell ref="A521:E521"/>
    <mergeCell ref="A522:E522"/>
    <mergeCell ref="A523:D523"/>
    <mergeCell ref="A524:D524"/>
    <mergeCell ref="A525:D525"/>
    <mergeCell ref="A514:E514"/>
    <mergeCell ref="A515:E515"/>
    <mergeCell ref="A516:E516"/>
    <mergeCell ref="A517:E517"/>
    <mergeCell ref="A518:E518"/>
    <mergeCell ref="A519:E519"/>
    <mergeCell ref="A507:E507"/>
    <mergeCell ref="B509:I509"/>
    <mergeCell ref="B510:G510"/>
    <mergeCell ref="A511:E511"/>
    <mergeCell ref="A512:E512"/>
    <mergeCell ref="A513:E513"/>
    <mergeCell ref="A504:D504"/>
    <mergeCell ref="F504:G504"/>
    <mergeCell ref="A505:D505"/>
    <mergeCell ref="F505:G505"/>
    <mergeCell ref="A506:D506"/>
    <mergeCell ref="F506:G506"/>
    <mergeCell ref="A498:E498"/>
    <mergeCell ref="A499:E499"/>
    <mergeCell ref="A500:E500"/>
    <mergeCell ref="A501:D501"/>
    <mergeCell ref="A502:D502"/>
    <mergeCell ref="A503:D503"/>
    <mergeCell ref="A491:E491"/>
    <mergeCell ref="A492:E492"/>
    <mergeCell ref="A494:E494"/>
    <mergeCell ref="A495:E495"/>
    <mergeCell ref="A496:E496"/>
    <mergeCell ref="A497:E497"/>
    <mergeCell ref="B486:I486"/>
    <mergeCell ref="B487:G487"/>
    <mergeCell ref="A488:E488"/>
    <mergeCell ref="A489:E489"/>
    <mergeCell ref="A490:E490"/>
    <mergeCell ref="A437:E437"/>
    <mergeCell ref="B484:I484"/>
    <mergeCell ref="A433:D433"/>
    <mergeCell ref="A434:D434"/>
    <mergeCell ref="F434:G434"/>
    <mergeCell ref="A435:D435"/>
    <mergeCell ref="F435:G435"/>
    <mergeCell ref="A436:D436"/>
    <mergeCell ref="F436:G436"/>
    <mergeCell ref="A447:E447"/>
    <mergeCell ref="A448:E448"/>
    <mergeCell ref="A449:E449"/>
    <mergeCell ref="A450:E450"/>
    <mergeCell ref="A451:E451"/>
    <mergeCell ref="A452:E452"/>
    <mergeCell ref="A453:E453"/>
    <mergeCell ref="A454:D454"/>
    <mergeCell ref="A455:D455"/>
    <mergeCell ref="A456:D456"/>
    <mergeCell ref="A423:E423"/>
    <mergeCell ref="A424:E424"/>
    <mergeCell ref="A425:E425"/>
    <mergeCell ref="A426:E426"/>
    <mergeCell ref="A392:E392"/>
    <mergeCell ref="B416:I416"/>
    <mergeCell ref="B417:G417"/>
    <mergeCell ref="A418:E418"/>
    <mergeCell ref="A419:E419"/>
    <mergeCell ref="A420:E420"/>
    <mergeCell ref="A421:E421"/>
    <mergeCell ref="A422:E422"/>
    <mergeCell ref="B393:I393"/>
    <mergeCell ref="B394:G394"/>
    <mergeCell ref="A395:E395"/>
    <mergeCell ref="A396:E396"/>
    <mergeCell ref="A397:E397"/>
    <mergeCell ref="A398:E398"/>
    <mergeCell ref="A399:E399"/>
    <mergeCell ref="A400:E400"/>
    <mergeCell ref="A401:E401"/>
    <mergeCell ref="A402:E402"/>
    <mergeCell ref="A403:E403"/>
    <mergeCell ref="A404:E404"/>
    <mergeCell ref="A388:D388"/>
    <mergeCell ref="A389:D389"/>
    <mergeCell ref="F389:G389"/>
    <mergeCell ref="A390:D390"/>
    <mergeCell ref="F390:G390"/>
    <mergeCell ref="A391:D391"/>
    <mergeCell ref="F391:G391"/>
    <mergeCell ref="A382:E382"/>
    <mergeCell ref="A383:E383"/>
    <mergeCell ref="A384:E384"/>
    <mergeCell ref="A385:E385"/>
    <mergeCell ref="A386:D386"/>
    <mergeCell ref="A387:D387"/>
    <mergeCell ref="A376:E376"/>
    <mergeCell ref="A377:E377"/>
    <mergeCell ref="A378:E378"/>
    <mergeCell ref="A379:E379"/>
    <mergeCell ref="A380:E380"/>
    <mergeCell ref="A381:E381"/>
    <mergeCell ref="A370:I370"/>
    <mergeCell ref="B371:I371"/>
    <mergeCell ref="B372:G372"/>
    <mergeCell ref="A373:E373"/>
    <mergeCell ref="A374:E374"/>
    <mergeCell ref="A375:E375"/>
    <mergeCell ref="F366:G366"/>
    <mergeCell ref="A367:D367"/>
    <mergeCell ref="F367:G367"/>
    <mergeCell ref="A368:D368"/>
    <mergeCell ref="F368:G368"/>
    <mergeCell ref="A369:E369"/>
    <mergeCell ref="A361:E361"/>
    <mergeCell ref="A362:E362"/>
    <mergeCell ref="A363:D363"/>
    <mergeCell ref="A364:D364"/>
    <mergeCell ref="A365:D365"/>
    <mergeCell ref="A366:D366"/>
    <mergeCell ref="A355:E355"/>
    <mergeCell ref="A356:E356"/>
    <mergeCell ref="A357:E357"/>
    <mergeCell ref="A358:E358"/>
    <mergeCell ref="A359:E359"/>
    <mergeCell ref="A360:E360"/>
    <mergeCell ref="B349:G349"/>
    <mergeCell ref="A350:E350"/>
    <mergeCell ref="A351:E351"/>
    <mergeCell ref="A352:E352"/>
    <mergeCell ref="A353:E353"/>
    <mergeCell ref="A354:E354"/>
    <mergeCell ref="A345:D345"/>
    <mergeCell ref="F345:G345"/>
    <mergeCell ref="A346:D346"/>
    <mergeCell ref="F346:G346"/>
    <mergeCell ref="A347:E347"/>
    <mergeCell ref="B348:I348"/>
    <mergeCell ref="A340:E340"/>
    <mergeCell ref="A341:D341"/>
    <mergeCell ref="A342:D342"/>
    <mergeCell ref="A343:D343"/>
    <mergeCell ref="A344:D344"/>
    <mergeCell ref="F344:G344"/>
    <mergeCell ref="A334:E334"/>
    <mergeCell ref="A335:E335"/>
    <mergeCell ref="A336:E336"/>
    <mergeCell ref="A337:E337"/>
    <mergeCell ref="A338:E338"/>
    <mergeCell ref="A339:E339"/>
    <mergeCell ref="A328:E328"/>
    <mergeCell ref="A329:E329"/>
    <mergeCell ref="A330:E330"/>
    <mergeCell ref="A331:E331"/>
    <mergeCell ref="A332:E332"/>
    <mergeCell ref="A333:E333"/>
    <mergeCell ref="A323:D323"/>
    <mergeCell ref="F323:G323"/>
    <mergeCell ref="A324:E324"/>
    <mergeCell ref="A325:I325"/>
    <mergeCell ref="B326:I326"/>
    <mergeCell ref="B327:G327"/>
    <mergeCell ref="A318:D318"/>
    <mergeCell ref="A319:D319"/>
    <mergeCell ref="A320:D320"/>
    <mergeCell ref="A321:D321"/>
    <mergeCell ref="F321:G321"/>
    <mergeCell ref="A322:D322"/>
    <mergeCell ref="F322:G322"/>
    <mergeCell ref="A312:E312"/>
    <mergeCell ref="A313:E313"/>
    <mergeCell ref="A314:E314"/>
    <mergeCell ref="A315:E315"/>
    <mergeCell ref="A316:E316"/>
    <mergeCell ref="A317:E317"/>
    <mergeCell ref="A305:E305"/>
    <mergeCell ref="A306:E306"/>
    <mergeCell ref="A307:E307"/>
    <mergeCell ref="A309:E309"/>
    <mergeCell ref="A310:E310"/>
    <mergeCell ref="A311:E311"/>
    <mergeCell ref="B302:I302"/>
    <mergeCell ref="B303:G303"/>
    <mergeCell ref="A304:E304"/>
    <mergeCell ref="A299:E299"/>
    <mergeCell ref="A300:I300"/>
    <mergeCell ref="A295:D295"/>
    <mergeCell ref="A296:D296"/>
    <mergeCell ref="F296:G296"/>
    <mergeCell ref="A297:D297"/>
    <mergeCell ref="F297:G297"/>
    <mergeCell ref="A298:D298"/>
    <mergeCell ref="F298:G298"/>
    <mergeCell ref="A289:E289"/>
    <mergeCell ref="A290:E290"/>
    <mergeCell ref="A291:E291"/>
    <mergeCell ref="A292:E292"/>
    <mergeCell ref="A293:D293"/>
    <mergeCell ref="A294:D294"/>
    <mergeCell ref="A283:E283"/>
    <mergeCell ref="A284:E284"/>
    <mergeCell ref="A285:E285"/>
    <mergeCell ref="A286:E286"/>
    <mergeCell ref="A287:E287"/>
    <mergeCell ref="A288:E288"/>
    <mergeCell ref="A231:E231"/>
    <mergeCell ref="B278:I278"/>
    <mergeCell ref="B279:G279"/>
    <mergeCell ref="A280:E280"/>
    <mergeCell ref="A281:E281"/>
    <mergeCell ref="A282:E282"/>
    <mergeCell ref="B233:I233"/>
    <mergeCell ref="B234:G234"/>
    <mergeCell ref="A235:E235"/>
    <mergeCell ref="A236:E236"/>
    <mergeCell ref="A237:E237"/>
    <mergeCell ref="A238:E238"/>
    <mergeCell ref="A239:E239"/>
    <mergeCell ref="A240:E240"/>
    <mergeCell ref="A242:E242"/>
    <mergeCell ref="A243:E243"/>
    <mergeCell ref="A244:E244"/>
    <mergeCell ref="A245:E245"/>
    <mergeCell ref="A246:E246"/>
    <mergeCell ref="A247:E247"/>
    <mergeCell ref="A248:D248"/>
    <mergeCell ref="A249:D249"/>
    <mergeCell ref="A250:D250"/>
    <mergeCell ref="A251:D251"/>
    <mergeCell ref="A227:D227"/>
    <mergeCell ref="A228:D228"/>
    <mergeCell ref="F228:G228"/>
    <mergeCell ref="A229:D229"/>
    <mergeCell ref="F229:G229"/>
    <mergeCell ref="A230:D230"/>
    <mergeCell ref="F230:G230"/>
    <mergeCell ref="A221:E221"/>
    <mergeCell ref="A222:E222"/>
    <mergeCell ref="A223:E223"/>
    <mergeCell ref="A224:E224"/>
    <mergeCell ref="A225:D225"/>
    <mergeCell ref="A226:D226"/>
    <mergeCell ref="A215:E215"/>
    <mergeCell ref="A216:E216"/>
    <mergeCell ref="A217:E217"/>
    <mergeCell ref="A218:E218"/>
    <mergeCell ref="A219:E219"/>
    <mergeCell ref="A220:E220"/>
    <mergeCell ref="A209:I209"/>
    <mergeCell ref="B210:I210"/>
    <mergeCell ref="B211:G211"/>
    <mergeCell ref="A212:E212"/>
    <mergeCell ref="A213:E213"/>
    <mergeCell ref="A214:E214"/>
    <mergeCell ref="F205:G205"/>
    <mergeCell ref="A206:D206"/>
    <mergeCell ref="F206:G206"/>
    <mergeCell ref="A207:D207"/>
    <mergeCell ref="F207:G207"/>
    <mergeCell ref="A208:E208"/>
    <mergeCell ref="A200:E200"/>
    <mergeCell ref="A201:E201"/>
    <mergeCell ref="A202:D202"/>
    <mergeCell ref="A203:D203"/>
    <mergeCell ref="A204:D204"/>
    <mergeCell ref="A205:D205"/>
    <mergeCell ref="A194:E194"/>
    <mergeCell ref="A195:E195"/>
    <mergeCell ref="A196:E196"/>
    <mergeCell ref="A197:E197"/>
    <mergeCell ref="A198:E198"/>
    <mergeCell ref="A199:E199"/>
    <mergeCell ref="B188:G188"/>
    <mergeCell ref="A189:E189"/>
    <mergeCell ref="A190:E190"/>
    <mergeCell ref="A191:E191"/>
    <mergeCell ref="A192:E192"/>
    <mergeCell ref="A193:E193"/>
    <mergeCell ref="A183:D183"/>
    <mergeCell ref="F183:G183"/>
    <mergeCell ref="A184:D184"/>
    <mergeCell ref="F184:G184"/>
    <mergeCell ref="A185:E185"/>
    <mergeCell ref="B187:I187"/>
    <mergeCell ref="A178:E178"/>
    <mergeCell ref="A179:D179"/>
    <mergeCell ref="A180:D180"/>
    <mergeCell ref="A181:D181"/>
    <mergeCell ref="A182:D182"/>
    <mergeCell ref="F182:G182"/>
    <mergeCell ref="A172:E172"/>
    <mergeCell ref="A173:E173"/>
    <mergeCell ref="A174:E174"/>
    <mergeCell ref="A175:E175"/>
    <mergeCell ref="A176:E176"/>
    <mergeCell ref="A177:E177"/>
    <mergeCell ref="A166:E166"/>
    <mergeCell ref="A167:E167"/>
    <mergeCell ref="A168:E168"/>
    <mergeCell ref="A169:E169"/>
    <mergeCell ref="A170:E170"/>
    <mergeCell ref="A171:E171"/>
    <mergeCell ref="A163:I163"/>
    <mergeCell ref="B164:I164"/>
    <mergeCell ref="B165:G165"/>
    <mergeCell ref="A160:D160"/>
    <mergeCell ref="F160:G160"/>
    <mergeCell ref="A161:E161"/>
    <mergeCell ref="A156:D156"/>
    <mergeCell ref="A157:D157"/>
    <mergeCell ref="A158:D158"/>
    <mergeCell ref="F158:G158"/>
    <mergeCell ref="A159:D159"/>
    <mergeCell ref="F159:G159"/>
    <mergeCell ref="A150:E150"/>
    <mergeCell ref="A151:E151"/>
    <mergeCell ref="A152:E152"/>
    <mergeCell ref="A153:E153"/>
    <mergeCell ref="A154:E154"/>
    <mergeCell ref="A155:D155"/>
    <mergeCell ref="A144:E144"/>
    <mergeCell ref="A145:E145"/>
    <mergeCell ref="A146:E146"/>
    <mergeCell ref="A147:E147"/>
    <mergeCell ref="A148:E148"/>
    <mergeCell ref="A149:E149"/>
    <mergeCell ref="A139:I139"/>
    <mergeCell ref="B140:I140"/>
    <mergeCell ref="B141:G141"/>
    <mergeCell ref="A142:E142"/>
    <mergeCell ref="A143:E143"/>
    <mergeCell ref="A137:E137"/>
    <mergeCell ref="A133:D133"/>
    <mergeCell ref="A134:D134"/>
    <mergeCell ref="F134:G134"/>
    <mergeCell ref="A135:D135"/>
    <mergeCell ref="F135:G135"/>
    <mergeCell ref="A136:D136"/>
    <mergeCell ref="F136:G136"/>
    <mergeCell ref="A127:E127"/>
    <mergeCell ref="A128:E128"/>
    <mergeCell ref="A129:E129"/>
    <mergeCell ref="A130:E130"/>
    <mergeCell ref="A131:D131"/>
    <mergeCell ref="A132:D132"/>
    <mergeCell ref="A121:E121"/>
    <mergeCell ref="A122:E122"/>
    <mergeCell ref="A123:E123"/>
    <mergeCell ref="A124:E124"/>
    <mergeCell ref="A125:E125"/>
    <mergeCell ref="A126:E126"/>
    <mergeCell ref="A115:I115"/>
    <mergeCell ref="B116:I116"/>
    <mergeCell ref="B117:G117"/>
    <mergeCell ref="A118:E118"/>
    <mergeCell ref="A119:E119"/>
    <mergeCell ref="A120:E120"/>
    <mergeCell ref="F111:G111"/>
    <mergeCell ref="A112:D112"/>
    <mergeCell ref="F112:G112"/>
    <mergeCell ref="A113:D113"/>
    <mergeCell ref="F113:G113"/>
    <mergeCell ref="A114:E114"/>
    <mergeCell ref="A106:E106"/>
    <mergeCell ref="A107:E107"/>
    <mergeCell ref="A108:D108"/>
    <mergeCell ref="A109:D109"/>
    <mergeCell ref="A110:D110"/>
    <mergeCell ref="A111:D111"/>
    <mergeCell ref="A100:E100"/>
    <mergeCell ref="A101:E101"/>
    <mergeCell ref="A102:E102"/>
    <mergeCell ref="A103:E103"/>
    <mergeCell ref="A104:E104"/>
    <mergeCell ref="A105:E105"/>
    <mergeCell ref="B94:G94"/>
    <mergeCell ref="A95:E95"/>
    <mergeCell ref="A96:E96"/>
    <mergeCell ref="A97:E97"/>
    <mergeCell ref="A98:E98"/>
    <mergeCell ref="A99:E99"/>
    <mergeCell ref="A89:D89"/>
    <mergeCell ref="F89:G89"/>
    <mergeCell ref="A90:D90"/>
    <mergeCell ref="F90:G90"/>
    <mergeCell ref="A91:E91"/>
    <mergeCell ref="B93:I93"/>
    <mergeCell ref="A84:E84"/>
    <mergeCell ref="A85:D85"/>
    <mergeCell ref="A86:D86"/>
    <mergeCell ref="A87:D87"/>
    <mergeCell ref="A88:D88"/>
    <mergeCell ref="F88:G88"/>
    <mergeCell ref="A78:E78"/>
    <mergeCell ref="A79:E79"/>
    <mergeCell ref="A80:E80"/>
    <mergeCell ref="A81:E81"/>
    <mergeCell ref="A82:E82"/>
    <mergeCell ref="A83:E83"/>
    <mergeCell ref="A72:E72"/>
    <mergeCell ref="A73:E73"/>
    <mergeCell ref="A74:E74"/>
    <mergeCell ref="A75:E75"/>
    <mergeCell ref="A76:E76"/>
    <mergeCell ref="A77:E77"/>
    <mergeCell ref="A67:D67"/>
    <mergeCell ref="F67:G67"/>
    <mergeCell ref="A68:E68"/>
    <mergeCell ref="A69:I69"/>
    <mergeCell ref="B70:I70"/>
    <mergeCell ref="B71:G71"/>
    <mergeCell ref="A62:D62"/>
    <mergeCell ref="A63:D63"/>
    <mergeCell ref="A64:D64"/>
    <mergeCell ref="A65:D65"/>
    <mergeCell ref="F65:G65"/>
    <mergeCell ref="A66:D66"/>
    <mergeCell ref="F66:G66"/>
    <mergeCell ref="A56:E56"/>
    <mergeCell ref="A57:E57"/>
    <mergeCell ref="A58:E58"/>
    <mergeCell ref="A59:E59"/>
    <mergeCell ref="A60:E60"/>
    <mergeCell ref="A61:E61"/>
    <mergeCell ref="A50:E50"/>
    <mergeCell ref="A51:E51"/>
    <mergeCell ref="A52:E52"/>
    <mergeCell ref="A53:E53"/>
    <mergeCell ref="A54:E54"/>
    <mergeCell ref="A55:E55"/>
    <mergeCell ref="A44:D44"/>
    <mergeCell ref="F44:G44"/>
    <mergeCell ref="A45:E45"/>
    <mergeCell ref="B47:I47"/>
    <mergeCell ref="B48:G48"/>
    <mergeCell ref="A49:E49"/>
    <mergeCell ref="A40:D40"/>
    <mergeCell ref="A41:D41"/>
    <mergeCell ref="A42:D42"/>
    <mergeCell ref="F42:G42"/>
    <mergeCell ref="A43:D43"/>
    <mergeCell ref="F43:G43"/>
    <mergeCell ref="A34:E34"/>
    <mergeCell ref="A35:E35"/>
    <mergeCell ref="A36:E36"/>
    <mergeCell ref="A37:E37"/>
    <mergeCell ref="A38:E38"/>
    <mergeCell ref="A39:D39"/>
    <mergeCell ref="A28:E28"/>
    <mergeCell ref="A29:E29"/>
    <mergeCell ref="A30:E30"/>
    <mergeCell ref="A31:E31"/>
    <mergeCell ref="A32:E32"/>
    <mergeCell ref="A33:E33"/>
    <mergeCell ref="A22:E22"/>
    <mergeCell ref="A23:I23"/>
    <mergeCell ref="B24:I24"/>
    <mergeCell ref="B25:G25"/>
    <mergeCell ref="A26:E26"/>
    <mergeCell ref="A27:E27"/>
    <mergeCell ref="A19:D19"/>
    <mergeCell ref="F19:G19"/>
    <mergeCell ref="A20:D20"/>
    <mergeCell ref="F20:G20"/>
    <mergeCell ref="A21:D21"/>
    <mergeCell ref="F21:G21"/>
    <mergeCell ref="A13:E13"/>
    <mergeCell ref="A14:E14"/>
    <mergeCell ref="A15:E15"/>
    <mergeCell ref="A16:D16"/>
    <mergeCell ref="A17:D17"/>
    <mergeCell ref="A18:D18"/>
    <mergeCell ref="A7:E7"/>
    <mergeCell ref="A8:E8"/>
    <mergeCell ref="A9:E9"/>
    <mergeCell ref="A10:E10"/>
    <mergeCell ref="A11:E11"/>
    <mergeCell ref="A12:E12"/>
    <mergeCell ref="B1:I1"/>
    <mergeCell ref="B2:G2"/>
    <mergeCell ref="A3:E3"/>
    <mergeCell ref="A4:E4"/>
    <mergeCell ref="A5:E5"/>
    <mergeCell ref="A6:E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FF4A6-14E8-430D-A0CE-E16B9B1B39A7}">
  <dimension ref="A1:I112"/>
  <sheetViews>
    <sheetView topLeftCell="A7" zoomScale="120" zoomScaleNormal="120" workbookViewId="0">
      <selection activeCell="G11" sqref="G11"/>
    </sheetView>
  </sheetViews>
  <sheetFormatPr baseColWidth="10" defaultColWidth="11.42578125" defaultRowHeight="15" x14ac:dyDescent="0.25"/>
  <cols>
    <col min="8" max="8" width="12" customWidth="1"/>
  </cols>
  <sheetData>
    <row r="1" spans="1:9" x14ac:dyDescent="0.25">
      <c r="A1" s="215"/>
      <c r="B1" s="215"/>
      <c r="C1" s="215"/>
      <c r="D1" s="215"/>
      <c r="E1" s="215"/>
      <c r="F1" s="215"/>
      <c r="G1" s="215"/>
      <c r="H1" s="215"/>
      <c r="I1" s="215"/>
    </row>
    <row r="2" spans="1:9" ht="16.5" x14ac:dyDescent="0.3">
      <c r="A2" s="10" t="s">
        <v>40</v>
      </c>
      <c r="B2" s="212" t="s">
        <v>175</v>
      </c>
      <c r="C2" s="213"/>
      <c r="D2" s="213"/>
      <c r="E2" s="213"/>
      <c r="F2" s="213"/>
      <c r="G2" s="213"/>
      <c r="H2" s="213"/>
      <c r="I2" s="214"/>
    </row>
    <row r="3" spans="1:9" ht="16.5" x14ac:dyDescent="0.3">
      <c r="A3" s="11"/>
      <c r="B3" s="166"/>
      <c r="C3" s="166"/>
      <c r="D3" s="166"/>
      <c r="E3" s="166"/>
      <c r="F3" s="166"/>
      <c r="G3" s="166"/>
      <c r="H3" s="12" t="s">
        <v>42</v>
      </c>
      <c r="I3" s="98" t="s">
        <v>111</v>
      </c>
    </row>
    <row r="4" spans="1:9" ht="16.5" x14ac:dyDescent="0.3">
      <c r="A4" s="167" t="s">
        <v>44</v>
      </c>
      <c r="B4" s="167"/>
      <c r="C4" s="167"/>
      <c r="D4" s="167"/>
      <c r="E4" s="167"/>
      <c r="F4" s="14" t="s">
        <v>9</v>
      </c>
      <c r="G4" s="14" t="s">
        <v>45</v>
      </c>
      <c r="H4" s="14" t="s">
        <v>46</v>
      </c>
      <c r="I4" s="15" t="s">
        <v>47</v>
      </c>
    </row>
    <row r="5" spans="1:9" x14ac:dyDescent="0.25">
      <c r="A5" s="159" t="s">
        <v>48</v>
      </c>
      <c r="B5" s="159"/>
      <c r="C5" s="159"/>
      <c r="D5" s="159"/>
      <c r="E5" s="159"/>
      <c r="F5" s="17"/>
      <c r="G5" s="17"/>
      <c r="H5" s="99"/>
      <c r="I5" s="100">
        <f>I18*5%</f>
        <v>6800</v>
      </c>
    </row>
    <row r="6" spans="1:9" x14ac:dyDescent="0.25">
      <c r="A6" s="159" t="s">
        <v>176</v>
      </c>
      <c r="B6" s="159"/>
      <c r="C6" s="159"/>
      <c r="D6" s="159"/>
      <c r="E6" s="159"/>
      <c r="F6" s="17">
        <v>1</v>
      </c>
      <c r="G6" s="103">
        <v>130000</v>
      </c>
      <c r="H6" s="101">
        <v>4.5</v>
      </c>
      <c r="I6" s="100">
        <f>F6*G6/H6</f>
        <v>28888.888888888891</v>
      </c>
    </row>
    <row r="7" spans="1:9" x14ac:dyDescent="0.25">
      <c r="A7" s="159"/>
      <c r="B7" s="159"/>
      <c r="C7" s="159"/>
      <c r="D7" s="159"/>
      <c r="E7" s="159"/>
      <c r="F7" s="17"/>
      <c r="G7" s="17"/>
      <c r="H7" s="99"/>
      <c r="I7" s="100"/>
    </row>
    <row r="8" spans="1:9" ht="16.5" x14ac:dyDescent="0.3">
      <c r="A8" s="167" t="s">
        <v>49</v>
      </c>
      <c r="B8" s="167"/>
      <c r="C8" s="167"/>
      <c r="D8" s="167"/>
      <c r="E8" s="167"/>
      <c r="F8" s="14" t="s">
        <v>16</v>
      </c>
      <c r="G8" s="22" t="s">
        <v>51</v>
      </c>
      <c r="H8" s="22" t="s">
        <v>52</v>
      </c>
      <c r="I8" s="15" t="s">
        <v>53</v>
      </c>
    </row>
    <row r="9" spans="1:9" x14ac:dyDescent="0.25">
      <c r="A9" s="159" t="s">
        <v>177</v>
      </c>
      <c r="B9" s="159"/>
      <c r="C9" s="159"/>
      <c r="D9" s="159"/>
      <c r="E9" s="159"/>
      <c r="F9" s="23" t="s">
        <v>178</v>
      </c>
      <c r="G9" s="104">
        <v>32000</v>
      </c>
      <c r="H9" s="105">
        <f>7*1.05</f>
        <v>7.3500000000000005</v>
      </c>
      <c r="I9" s="102">
        <f>G9*H9</f>
        <v>235200.00000000003</v>
      </c>
    </row>
    <row r="10" spans="1:9" x14ac:dyDescent="0.25">
      <c r="A10" s="159" t="s">
        <v>179</v>
      </c>
      <c r="B10" s="159"/>
      <c r="C10" s="159"/>
      <c r="D10" s="159"/>
      <c r="E10" s="159"/>
      <c r="F10" s="23" t="s">
        <v>111</v>
      </c>
      <c r="G10" s="104">
        <v>90000</v>
      </c>
      <c r="H10" s="99">
        <f>1.39*1.05</f>
        <v>1.4595</v>
      </c>
      <c r="I10" s="102">
        <f>G10*H10</f>
        <v>131355</v>
      </c>
    </row>
    <row r="11" spans="1:9" x14ac:dyDescent="0.25">
      <c r="A11" s="220"/>
      <c r="B11" s="221"/>
      <c r="C11" s="221"/>
      <c r="D11" s="221"/>
      <c r="E11" s="222"/>
      <c r="F11" s="23"/>
      <c r="G11" s="104"/>
      <c r="H11" s="99"/>
      <c r="I11" s="102"/>
    </row>
    <row r="12" spans="1:9" x14ac:dyDescent="0.25">
      <c r="A12" s="159"/>
      <c r="B12" s="159"/>
      <c r="C12" s="159"/>
      <c r="D12" s="159"/>
      <c r="E12" s="159"/>
      <c r="F12" s="23"/>
      <c r="G12" s="104"/>
      <c r="H12" s="99"/>
      <c r="I12" s="102"/>
    </row>
    <row r="13" spans="1:9" x14ac:dyDescent="0.25">
      <c r="A13" s="159"/>
      <c r="B13" s="159"/>
      <c r="C13" s="159"/>
      <c r="D13" s="159"/>
      <c r="E13" s="159"/>
      <c r="F13" s="23"/>
      <c r="G13" s="99"/>
      <c r="H13" s="99"/>
      <c r="I13" s="102"/>
    </row>
    <row r="14" spans="1:9" x14ac:dyDescent="0.25">
      <c r="A14" s="159"/>
      <c r="B14" s="159"/>
      <c r="C14" s="159"/>
      <c r="D14" s="159"/>
      <c r="E14" s="159"/>
      <c r="F14" s="23"/>
      <c r="G14" s="99"/>
      <c r="H14" s="99"/>
      <c r="I14" s="102"/>
    </row>
    <row r="15" spans="1:9" x14ac:dyDescent="0.25">
      <c r="A15" s="159"/>
      <c r="B15" s="159"/>
      <c r="C15" s="159"/>
      <c r="D15" s="159"/>
      <c r="E15" s="159"/>
      <c r="F15" s="23"/>
      <c r="G15" s="99"/>
      <c r="H15" s="99"/>
      <c r="I15" s="102"/>
    </row>
    <row r="16" spans="1:9" x14ac:dyDescent="0.25">
      <c r="A16" s="159"/>
      <c r="B16" s="159"/>
      <c r="C16" s="159"/>
      <c r="D16" s="159"/>
      <c r="E16" s="159"/>
      <c r="F16" s="23"/>
      <c r="G16" s="99"/>
      <c r="H16" s="99"/>
      <c r="I16" s="102"/>
    </row>
    <row r="17" spans="1:9" ht="16.5" x14ac:dyDescent="0.3">
      <c r="A17" s="167" t="s">
        <v>68</v>
      </c>
      <c r="B17" s="167"/>
      <c r="C17" s="167"/>
      <c r="D17" s="167"/>
      <c r="E17" s="14" t="s">
        <v>52</v>
      </c>
      <c r="F17" s="170" t="s">
        <v>69</v>
      </c>
      <c r="G17" s="171"/>
      <c r="H17" s="27" t="s">
        <v>46</v>
      </c>
      <c r="I17" s="28" t="s">
        <v>53</v>
      </c>
    </row>
    <row r="18" spans="1:9" x14ac:dyDescent="0.25">
      <c r="A18" s="168" t="str">
        <f>CUADRILLAS!B11</f>
        <v>CUADRILLA 6</v>
      </c>
      <c r="B18" s="168"/>
      <c r="C18" s="168"/>
      <c r="D18" s="168"/>
      <c r="E18" s="99">
        <v>1</v>
      </c>
      <c r="F18" s="216">
        <f>(45000*6+90000)*1.7</f>
        <v>612000</v>
      </c>
      <c r="G18" s="216"/>
      <c r="H18" s="101">
        <v>4.5</v>
      </c>
      <c r="I18" s="102">
        <f>F18/H18</f>
        <v>136000</v>
      </c>
    </row>
    <row r="19" spans="1:9" x14ac:dyDescent="0.25">
      <c r="A19" s="168"/>
      <c r="B19" s="168"/>
      <c r="C19" s="168"/>
      <c r="D19" s="168"/>
      <c r="E19" s="99"/>
      <c r="F19" s="177"/>
      <c r="G19" s="177"/>
      <c r="H19" s="99"/>
      <c r="I19" s="102"/>
    </row>
    <row r="20" spans="1:9" ht="16.5" x14ac:dyDescent="0.3">
      <c r="A20" s="160"/>
      <c r="B20" s="161"/>
      <c r="C20" s="161"/>
      <c r="D20" s="161"/>
      <c r="E20" s="162"/>
      <c r="F20" s="30" t="s">
        <v>35</v>
      </c>
      <c r="G20" s="31"/>
      <c r="H20" s="32"/>
      <c r="I20" s="36">
        <f>ROUND((SUM(I5:I19)),0)</f>
        <v>538244</v>
      </c>
    </row>
    <row r="21" spans="1:9" ht="16.5" x14ac:dyDescent="0.3">
      <c r="A21" s="217"/>
      <c r="B21" s="218"/>
      <c r="C21" s="218"/>
      <c r="D21" s="218"/>
      <c r="E21" s="218"/>
      <c r="F21" s="218"/>
      <c r="G21" s="218"/>
      <c r="H21" s="218"/>
      <c r="I21" s="219"/>
    </row>
    <row r="22" spans="1:9" ht="16.5" x14ac:dyDescent="0.3">
      <c r="A22" s="10" t="s">
        <v>40</v>
      </c>
      <c r="B22" s="212" t="s">
        <v>180</v>
      </c>
      <c r="C22" s="213"/>
      <c r="D22" s="213"/>
      <c r="E22" s="213"/>
      <c r="F22" s="213"/>
      <c r="G22" s="213"/>
      <c r="H22" s="213"/>
      <c r="I22" s="214"/>
    </row>
    <row r="23" spans="1:9" ht="16.5" x14ac:dyDescent="0.3">
      <c r="A23" s="11" t="s">
        <v>181</v>
      </c>
      <c r="B23" s="166"/>
      <c r="C23" s="166"/>
      <c r="D23" s="166"/>
      <c r="E23" s="166"/>
      <c r="F23" s="166"/>
      <c r="G23" s="166"/>
      <c r="H23" s="12" t="s">
        <v>42</v>
      </c>
      <c r="I23" s="13" t="s">
        <v>111</v>
      </c>
    </row>
    <row r="24" spans="1:9" ht="16.5" x14ac:dyDescent="0.3">
      <c r="A24" s="167" t="s">
        <v>44</v>
      </c>
      <c r="B24" s="167"/>
      <c r="C24" s="167"/>
      <c r="D24" s="167"/>
      <c r="E24" s="167"/>
      <c r="F24" s="14" t="s">
        <v>9</v>
      </c>
      <c r="G24" s="14" t="s">
        <v>45</v>
      </c>
      <c r="H24" s="14" t="s">
        <v>46</v>
      </c>
      <c r="I24" s="15" t="s">
        <v>47</v>
      </c>
    </row>
    <row r="25" spans="1:9" x14ac:dyDescent="0.25">
      <c r="A25" s="159" t="s">
        <v>48</v>
      </c>
      <c r="B25" s="159"/>
      <c r="C25" s="159"/>
      <c r="D25" s="159"/>
      <c r="E25" s="159"/>
      <c r="F25" s="17"/>
      <c r="G25" s="17"/>
      <c r="H25" s="18"/>
      <c r="I25" s="19">
        <f>ROUND((SUM(I42:I43)*0.05),0)</f>
        <v>4250</v>
      </c>
    </row>
    <row r="26" spans="1:9" x14ac:dyDescent="0.25">
      <c r="A26" s="159" t="s">
        <v>176</v>
      </c>
      <c r="B26" s="159"/>
      <c r="C26" s="159"/>
      <c r="D26" s="159"/>
      <c r="E26" s="159"/>
      <c r="F26" s="17">
        <v>1</v>
      </c>
      <c r="G26" s="20">
        <v>80000</v>
      </c>
      <c r="H26" s="21">
        <v>7</v>
      </c>
      <c r="I26" s="19">
        <f>G26*F26/H26</f>
        <v>11428.571428571429</v>
      </c>
    </row>
    <row r="27" spans="1:9" x14ac:dyDescent="0.25">
      <c r="A27" s="159"/>
      <c r="B27" s="159"/>
      <c r="C27" s="159"/>
      <c r="D27" s="159"/>
      <c r="E27" s="159"/>
      <c r="F27" s="23"/>
      <c r="G27" s="34"/>
      <c r="H27" s="34"/>
      <c r="I27" s="35"/>
    </row>
    <row r="28" spans="1:9" ht="16.5" x14ac:dyDescent="0.3">
      <c r="A28" s="167" t="s">
        <v>49</v>
      </c>
      <c r="B28" s="167"/>
      <c r="C28" s="167"/>
      <c r="D28" s="167"/>
      <c r="E28" s="167"/>
      <c r="F28" s="14" t="s">
        <v>50</v>
      </c>
      <c r="G28" s="22" t="s">
        <v>51</v>
      </c>
      <c r="H28" s="22" t="s">
        <v>52</v>
      </c>
      <c r="I28" s="15" t="s">
        <v>53</v>
      </c>
    </row>
    <row r="29" spans="1:9" x14ac:dyDescent="0.25">
      <c r="A29" s="159" t="s">
        <v>177</v>
      </c>
      <c r="B29" s="159"/>
      <c r="C29" s="159"/>
      <c r="D29" s="159"/>
      <c r="E29" s="159"/>
      <c r="F29" s="23" t="s">
        <v>178</v>
      </c>
      <c r="G29" s="24">
        <v>25000</v>
      </c>
      <c r="H29" s="18">
        <v>6.6</v>
      </c>
      <c r="I29" s="24">
        <f>+H29*G29</f>
        <v>165000</v>
      </c>
    </row>
    <row r="30" spans="1:9" x14ac:dyDescent="0.25">
      <c r="A30" s="159" t="s">
        <v>182</v>
      </c>
      <c r="B30" s="159"/>
      <c r="C30" s="159"/>
      <c r="D30" s="159"/>
      <c r="E30" s="159"/>
      <c r="F30" s="23" t="s">
        <v>111</v>
      </c>
      <c r="G30" s="24">
        <v>80000</v>
      </c>
      <c r="H30" s="18">
        <v>0.8</v>
      </c>
      <c r="I30" s="24">
        <f>+H30*G30</f>
        <v>64000</v>
      </c>
    </row>
    <row r="31" spans="1:9" x14ac:dyDescent="0.25">
      <c r="A31" s="220" t="s">
        <v>183</v>
      </c>
      <c r="B31" s="221"/>
      <c r="C31" s="221"/>
      <c r="D31" s="221"/>
      <c r="E31" s="222"/>
      <c r="F31" s="23" t="s">
        <v>116</v>
      </c>
      <c r="G31" s="24">
        <v>50000</v>
      </c>
      <c r="H31" s="18">
        <v>0.8</v>
      </c>
      <c r="I31" s="24">
        <f>+H31*G31</f>
        <v>40000</v>
      </c>
    </row>
    <row r="32" spans="1:9" x14ac:dyDescent="0.25">
      <c r="A32" s="159"/>
      <c r="B32" s="159"/>
      <c r="C32" s="159"/>
      <c r="D32" s="159"/>
      <c r="E32" s="159"/>
      <c r="F32" s="23"/>
      <c r="G32" s="18"/>
      <c r="H32" s="18"/>
      <c r="I32" s="24"/>
    </row>
    <row r="33" spans="1:9" x14ac:dyDescent="0.25">
      <c r="A33" s="159"/>
      <c r="B33" s="159"/>
      <c r="C33" s="159"/>
      <c r="D33" s="159"/>
      <c r="E33" s="159"/>
      <c r="F33" s="23"/>
      <c r="G33" s="18"/>
      <c r="H33" s="18"/>
      <c r="I33" s="24"/>
    </row>
    <row r="34" spans="1:9" x14ac:dyDescent="0.25">
      <c r="A34" s="159"/>
      <c r="B34" s="159"/>
      <c r="C34" s="159"/>
      <c r="D34" s="159"/>
      <c r="E34" s="159"/>
      <c r="F34" s="23"/>
      <c r="G34" s="18"/>
      <c r="H34" s="18"/>
      <c r="I34" s="24"/>
    </row>
    <row r="35" spans="1:9" x14ac:dyDescent="0.25">
      <c r="A35" s="159"/>
      <c r="B35" s="159"/>
      <c r="C35" s="159"/>
      <c r="D35" s="159"/>
      <c r="E35" s="159"/>
      <c r="F35" s="23"/>
      <c r="G35" s="18"/>
      <c r="H35" s="18"/>
      <c r="I35" s="24"/>
    </row>
    <row r="36" spans="1:9" x14ac:dyDescent="0.25">
      <c r="A36" s="159"/>
      <c r="B36" s="159"/>
      <c r="C36" s="159"/>
      <c r="D36" s="159"/>
      <c r="E36" s="159"/>
      <c r="F36" s="23"/>
      <c r="G36" s="18"/>
      <c r="H36" s="18"/>
      <c r="I36" s="24"/>
    </row>
    <row r="37" spans="1:9" x14ac:dyDescent="0.25">
      <c r="A37" s="159"/>
      <c r="B37" s="159"/>
      <c r="C37" s="159"/>
      <c r="D37" s="159"/>
      <c r="E37" s="159"/>
      <c r="F37" s="23"/>
      <c r="G37" s="18"/>
      <c r="H37" s="18"/>
      <c r="I37" s="24"/>
    </row>
    <row r="38" spans="1:9" ht="16.5" x14ac:dyDescent="0.3">
      <c r="A38" s="167" t="s">
        <v>61</v>
      </c>
      <c r="B38" s="167"/>
      <c r="C38" s="167"/>
      <c r="D38" s="167"/>
      <c r="E38" s="25" t="s">
        <v>62</v>
      </c>
      <c r="F38" s="14" t="s">
        <v>63</v>
      </c>
      <c r="G38" s="14" t="s">
        <v>64</v>
      </c>
      <c r="H38" s="14" t="s">
        <v>65</v>
      </c>
      <c r="I38" s="15" t="s">
        <v>53</v>
      </c>
    </row>
    <row r="39" spans="1:9" x14ac:dyDescent="0.25">
      <c r="A39" s="159" t="s">
        <v>66</v>
      </c>
      <c r="B39" s="159"/>
      <c r="C39" s="159"/>
      <c r="D39" s="159"/>
      <c r="E39" s="26"/>
      <c r="F39" s="26"/>
      <c r="G39" s="26"/>
      <c r="H39" s="26"/>
      <c r="I39" s="18"/>
    </row>
    <row r="40" spans="1:9" x14ac:dyDescent="0.25">
      <c r="A40" s="159" t="s">
        <v>67</v>
      </c>
      <c r="B40" s="159"/>
      <c r="C40" s="159"/>
      <c r="D40" s="159"/>
      <c r="E40" s="26"/>
      <c r="F40" s="26"/>
      <c r="G40" s="26"/>
      <c r="H40" s="26"/>
      <c r="I40" s="18"/>
    </row>
    <row r="41" spans="1:9" ht="16.5" x14ac:dyDescent="0.3">
      <c r="A41" s="167" t="s">
        <v>68</v>
      </c>
      <c r="B41" s="167"/>
      <c r="C41" s="167"/>
      <c r="D41" s="167"/>
      <c r="E41" s="14" t="s">
        <v>52</v>
      </c>
      <c r="F41" s="170" t="s">
        <v>69</v>
      </c>
      <c r="G41" s="171"/>
      <c r="H41" s="27" t="s">
        <v>46</v>
      </c>
      <c r="I41" s="28" t="s">
        <v>53</v>
      </c>
    </row>
    <row r="42" spans="1:9" x14ac:dyDescent="0.25">
      <c r="A42" s="168" t="str">
        <f>CUADRILLAS!B11</f>
        <v>CUADRILLA 6</v>
      </c>
      <c r="B42" s="168"/>
      <c r="C42" s="168"/>
      <c r="D42" s="168"/>
      <c r="E42" s="18">
        <v>1</v>
      </c>
      <c r="F42" s="177">
        <f>CUADRILLAS!D11</f>
        <v>595000</v>
      </c>
      <c r="G42" s="177"/>
      <c r="H42" s="21">
        <v>7</v>
      </c>
      <c r="I42" s="24">
        <f>F42/H42</f>
        <v>85000</v>
      </c>
    </row>
    <row r="43" spans="1:9" x14ac:dyDescent="0.25">
      <c r="A43" s="168"/>
      <c r="B43" s="168"/>
      <c r="C43" s="168"/>
      <c r="D43" s="168"/>
      <c r="E43" s="18"/>
      <c r="F43" s="177"/>
      <c r="G43" s="177"/>
      <c r="H43" s="18"/>
      <c r="I43" s="24"/>
    </row>
    <row r="44" spans="1:9" ht="16.5" x14ac:dyDescent="0.3">
      <c r="A44" s="160"/>
      <c r="B44" s="161"/>
      <c r="C44" s="161"/>
      <c r="D44" s="161"/>
      <c r="E44" s="162"/>
      <c r="F44" s="30" t="s">
        <v>35</v>
      </c>
      <c r="G44" s="31"/>
      <c r="H44" s="32"/>
      <c r="I44" s="36">
        <f>ROUND((SUM(I25:I43)),0)</f>
        <v>369679</v>
      </c>
    </row>
    <row r="45" spans="1:9" ht="16.5" x14ac:dyDescent="0.3">
      <c r="A45" s="160"/>
      <c r="B45" s="161"/>
      <c r="C45" s="161"/>
      <c r="D45" s="161"/>
      <c r="E45" s="161"/>
      <c r="F45" s="161"/>
      <c r="G45" s="161"/>
      <c r="H45" s="161"/>
      <c r="I45" s="162"/>
    </row>
    <row r="46" spans="1:9" ht="16.5" x14ac:dyDescent="0.3">
      <c r="A46" s="10" t="s">
        <v>40</v>
      </c>
      <c r="B46" s="212" t="s">
        <v>184</v>
      </c>
      <c r="C46" s="213"/>
      <c r="D46" s="213"/>
      <c r="E46" s="213"/>
      <c r="F46" s="213"/>
      <c r="G46" s="213"/>
      <c r="H46" s="213"/>
      <c r="I46" s="214"/>
    </row>
    <row r="47" spans="1:9" ht="16.5" x14ac:dyDescent="0.3">
      <c r="A47" s="11" t="s">
        <v>185</v>
      </c>
      <c r="B47" s="166"/>
      <c r="C47" s="166"/>
      <c r="D47" s="166"/>
      <c r="E47" s="166"/>
      <c r="F47" s="166"/>
      <c r="G47" s="166"/>
      <c r="H47" s="12" t="s">
        <v>42</v>
      </c>
      <c r="I47" s="13" t="s">
        <v>111</v>
      </c>
    </row>
    <row r="48" spans="1:9" ht="16.5" x14ac:dyDescent="0.3">
      <c r="A48" s="167" t="s">
        <v>44</v>
      </c>
      <c r="B48" s="167"/>
      <c r="C48" s="167"/>
      <c r="D48" s="167"/>
      <c r="E48" s="167"/>
      <c r="F48" s="14" t="s">
        <v>9</v>
      </c>
      <c r="G48" s="14" t="s">
        <v>45</v>
      </c>
      <c r="H48" s="14" t="s">
        <v>46</v>
      </c>
      <c r="I48" s="15" t="s">
        <v>47</v>
      </c>
    </row>
    <row r="49" spans="1:9" x14ac:dyDescent="0.25">
      <c r="A49" s="159" t="s">
        <v>48</v>
      </c>
      <c r="B49" s="159"/>
      <c r="C49" s="159"/>
      <c r="D49" s="159"/>
      <c r="E49" s="159"/>
      <c r="F49" s="17"/>
      <c r="G49" s="17"/>
      <c r="H49" s="18"/>
      <c r="I49" s="19">
        <f>ROUND((SUM(I65:I66)*0.05),0)</f>
        <v>4250</v>
      </c>
    </row>
    <row r="50" spans="1:9" x14ac:dyDescent="0.25">
      <c r="A50" s="159" t="s">
        <v>176</v>
      </c>
      <c r="B50" s="159"/>
      <c r="C50" s="159"/>
      <c r="D50" s="159"/>
      <c r="E50" s="159"/>
      <c r="F50" s="17">
        <v>1</v>
      </c>
      <c r="G50" s="20">
        <v>80000</v>
      </c>
      <c r="H50" s="21">
        <f>H65</f>
        <v>7</v>
      </c>
      <c r="I50" s="19">
        <f>G50*F50/H50</f>
        <v>11428.571428571429</v>
      </c>
    </row>
    <row r="51" spans="1:9" x14ac:dyDescent="0.25">
      <c r="A51" s="159"/>
      <c r="B51" s="159"/>
      <c r="C51" s="159"/>
      <c r="D51" s="159"/>
      <c r="E51" s="159"/>
      <c r="F51" s="17"/>
      <c r="G51" s="17"/>
      <c r="H51" s="18"/>
      <c r="I51" s="19"/>
    </row>
    <row r="52" spans="1:9" ht="16.5" x14ac:dyDescent="0.3">
      <c r="A52" s="167" t="s">
        <v>49</v>
      </c>
      <c r="B52" s="167"/>
      <c r="C52" s="167"/>
      <c r="D52" s="167"/>
      <c r="E52" s="167"/>
      <c r="F52" s="14" t="s">
        <v>50</v>
      </c>
      <c r="G52" s="22" t="s">
        <v>51</v>
      </c>
      <c r="H52" s="22" t="s">
        <v>52</v>
      </c>
      <c r="I52" s="15" t="s">
        <v>53</v>
      </c>
    </row>
    <row r="53" spans="1:9" x14ac:dyDescent="0.25">
      <c r="A53" s="159" t="s">
        <v>177</v>
      </c>
      <c r="B53" s="159"/>
      <c r="C53" s="159"/>
      <c r="D53" s="159"/>
      <c r="E53" s="159"/>
      <c r="F53" s="23" t="s">
        <v>178</v>
      </c>
      <c r="G53" s="24">
        <v>25000</v>
      </c>
      <c r="H53" s="18">
        <v>5.8</v>
      </c>
      <c r="I53" s="24">
        <f>+H53*G53</f>
        <v>145000</v>
      </c>
    </row>
    <row r="54" spans="1:9" x14ac:dyDescent="0.25">
      <c r="A54" s="159" t="s">
        <v>186</v>
      </c>
      <c r="B54" s="159"/>
      <c r="C54" s="159"/>
      <c r="D54" s="159"/>
      <c r="E54" s="159"/>
      <c r="F54" s="23" t="s">
        <v>111</v>
      </c>
      <c r="G54" s="24">
        <v>35000</v>
      </c>
      <c r="H54" s="18">
        <v>1.6</v>
      </c>
      <c r="I54" s="24">
        <f>+H54*G54</f>
        <v>56000</v>
      </c>
    </row>
    <row r="55" spans="1:9" x14ac:dyDescent="0.25">
      <c r="A55" s="159" t="s">
        <v>187</v>
      </c>
      <c r="B55" s="159"/>
      <c r="C55" s="159"/>
      <c r="D55" s="159"/>
      <c r="E55" s="159"/>
      <c r="F55" s="23" t="s">
        <v>188</v>
      </c>
      <c r="G55" s="18">
        <v>120</v>
      </c>
      <c r="H55" s="18">
        <v>190</v>
      </c>
      <c r="I55" s="24">
        <f>+H55*G55</f>
        <v>22800</v>
      </c>
    </row>
    <row r="56" spans="1:9" x14ac:dyDescent="0.25">
      <c r="A56" s="159"/>
      <c r="B56" s="159"/>
      <c r="C56" s="159"/>
      <c r="D56" s="159"/>
      <c r="E56" s="159"/>
      <c r="F56" s="23"/>
      <c r="G56" s="18"/>
      <c r="H56" s="18"/>
      <c r="I56" s="24"/>
    </row>
    <row r="57" spans="1:9" x14ac:dyDescent="0.25">
      <c r="A57" s="159"/>
      <c r="B57" s="159"/>
      <c r="C57" s="159"/>
      <c r="D57" s="159"/>
      <c r="E57" s="159"/>
      <c r="F57" s="23"/>
      <c r="G57" s="18"/>
      <c r="H57" s="18"/>
      <c r="I57" s="24"/>
    </row>
    <row r="58" spans="1:9" x14ac:dyDescent="0.25">
      <c r="A58" s="159"/>
      <c r="B58" s="159"/>
      <c r="C58" s="159"/>
      <c r="D58" s="159"/>
      <c r="E58" s="159"/>
      <c r="F58" s="23"/>
      <c r="G58" s="18"/>
      <c r="H58" s="18"/>
      <c r="I58" s="24"/>
    </row>
    <row r="59" spans="1:9" x14ac:dyDescent="0.25">
      <c r="A59" s="159"/>
      <c r="B59" s="159"/>
      <c r="C59" s="159"/>
      <c r="D59" s="159"/>
      <c r="E59" s="159"/>
      <c r="F59" s="23"/>
      <c r="G59" s="18"/>
      <c r="H59" s="18"/>
      <c r="I59" s="24"/>
    </row>
    <row r="60" spans="1:9" x14ac:dyDescent="0.25">
      <c r="A60" s="159"/>
      <c r="B60" s="159"/>
      <c r="C60" s="159"/>
      <c r="D60" s="159"/>
      <c r="E60" s="159"/>
      <c r="F60" s="23"/>
      <c r="G60" s="18"/>
      <c r="H60" s="18"/>
      <c r="I60" s="24"/>
    </row>
    <row r="61" spans="1:9" ht="16.5" x14ac:dyDescent="0.3">
      <c r="A61" s="167" t="s">
        <v>61</v>
      </c>
      <c r="B61" s="167"/>
      <c r="C61" s="167"/>
      <c r="D61" s="167"/>
      <c r="E61" s="25" t="s">
        <v>62</v>
      </c>
      <c r="F61" s="14" t="s">
        <v>63</v>
      </c>
      <c r="G61" s="14" t="s">
        <v>64</v>
      </c>
      <c r="H61" s="14" t="s">
        <v>65</v>
      </c>
      <c r="I61" s="15" t="s">
        <v>53</v>
      </c>
    </row>
    <row r="62" spans="1:9" x14ac:dyDescent="0.25">
      <c r="A62" s="159" t="s">
        <v>66</v>
      </c>
      <c r="B62" s="159"/>
      <c r="C62" s="159"/>
      <c r="D62" s="159"/>
      <c r="E62" s="26">
        <f>H53*50/1000</f>
        <v>0.28999999999999998</v>
      </c>
      <c r="F62" s="26">
        <v>6</v>
      </c>
      <c r="G62" s="26">
        <f>35000/F62</f>
        <v>5833.333333333333</v>
      </c>
      <c r="H62" s="26">
        <f>+G62*6</f>
        <v>35000</v>
      </c>
      <c r="I62" s="18">
        <f>+E62*G62</f>
        <v>1691.6666666666665</v>
      </c>
    </row>
    <row r="63" spans="1:9" x14ac:dyDescent="0.25">
      <c r="A63" s="159" t="s">
        <v>67</v>
      </c>
      <c r="B63" s="159"/>
      <c r="C63" s="159"/>
      <c r="D63" s="159"/>
      <c r="E63" s="26">
        <f>+H54</f>
        <v>1.6</v>
      </c>
      <c r="F63" s="26">
        <v>6</v>
      </c>
      <c r="G63" s="26">
        <f>35000/F63</f>
        <v>5833.333333333333</v>
      </c>
      <c r="H63" s="26">
        <f>+G63*6</f>
        <v>35000</v>
      </c>
      <c r="I63" s="18">
        <f>+E63*G63</f>
        <v>9333.3333333333339</v>
      </c>
    </row>
    <row r="64" spans="1:9" ht="16.5" x14ac:dyDescent="0.3">
      <c r="A64" s="167" t="s">
        <v>68</v>
      </c>
      <c r="B64" s="167"/>
      <c r="C64" s="167"/>
      <c r="D64" s="167"/>
      <c r="E64" s="14" t="s">
        <v>52</v>
      </c>
      <c r="F64" s="170" t="s">
        <v>69</v>
      </c>
      <c r="G64" s="171"/>
      <c r="H64" s="27" t="s">
        <v>46</v>
      </c>
      <c r="I64" s="28" t="s">
        <v>53</v>
      </c>
    </row>
    <row r="65" spans="1:9" x14ac:dyDescent="0.25">
      <c r="A65" s="168" t="str">
        <f>CUADRILLAS!B11</f>
        <v>CUADRILLA 6</v>
      </c>
      <c r="B65" s="168"/>
      <c r="C65" s="168"/>
      <c r="D65" s="168"/>
      <c r="E65" s="18">
        <v>1</v>
      </c>
      <c r="F65" s="177">
        <f>CUADRILLAS!D11</f>
        <v>595000</v>
      </c>
      <c r="G65" s="177"/>
      <c r="H65" s="21">
        <v>7</v>
      </c>
      <c r="I65" s="24">
        <f>F65/H65</f>
        <v>85000</v>
      </c>
    </row>
    <row r="66" spans="1:9" x14ac:dyDescent="0.25">
      <c r="A66" s="168"/>
      <c r="B66" s="168"/>
      <c r="C66" s="168"/>
      <c r="D66" s="168"/>
      <c r="E66" s="18"/>
      <c r="F66" s="177"/>
      <c r="G66" s="177"/>
      <c r="H66" s="18"/>
      <c r="I66" s="24"/>
    </row>
    <row r="67" spans="1:9" ht="16.5" x14ac:dyDescent="0.3">
      <c r="A67" s="160"/>
      <c r="B67" s="161"/>
      <c r="C67" s="161"/>
      <c r="D67" s="161"/>
      <c r="E67" s="162"/>
      <c r="F67" s="30" t="s">
        <v>35</v>
      </c>
      <c r="G67" s="31"/>
      <c r="H67" s="32"/>
      <c r="I67" s="36">
        <f>ROUND((SUM(I49:I66)),0)</f>
        <v>335504</v>
      </c>
    </row>
    <row r="68" spans="1:9" ht="16.5" x14ac:dyDescent="0.3">
      <c r="A68" s="160"/>
      <c r="B68" s="161"/>
      <c r="C68" s="161"/>
      <c r="D68" s="161"/>
      <c r="E68" s="161"/>
      <c r="F68" s="161"/>
      <c r="G68" s="161"/>
      <c r="H68" s="161"/>
      <c r="I68" s="162"/>
    </row>
    <row r="69" spans="1:9" ht="16.5" x14ac:dyDescent="0.3">
      <c r="A69" s="10" t="s">
        <v>40</v>
      </c>
      <c r="B69" s="212" t="s">
        <v>189</v>
      </c>
      <c r="C69" s="213"/>
      <c r="D69" s="213"/>
      <c r="E69" s="213"/>
      <c r="F69" s="213"/>
      <c r="G69" s="213"/>
      <c r="H69" s="213"/>
      <c r="I69" s="214"/>
    </row>
    <row r="70" spans="1:9" ht="16.5" x14ac:dyDescent="0.3">
      <c r="A70" s="11" t="s">
        <v>190</v>
      </c>
      <c r="B70" s="166"/>
      <c r="C70" s="166"/>
      <c r="D70" s="166"/>
      <c r="E70" s="166"/>
      <c r="F70" s="166"/>
      <c r="G70" s="166"/>
      <c r="H70" s="12" t="s">
        <v>42</v>
      </c>
      <c r="I70" s="13" t="s">
        <v>111</v>
      </c>
    </row>
    <row r="71" spans="1:9" ht="16.5" x14ac:dyDescent="0.3">
      <c r="A71" s="167" t="s">
        <v>44</v>
      </c>
      <c r="B71" s="167"/>
      <c r="C71" s="167"/>
      <c r="D71" s="167"/>
      <c r="E71" s="167"/>
      <c r="F71" s="14" t="s">
        <v>9</v>
      </c>
      <c r="G71" s="14" t="s">
        <v>45</v>
      </c>
      <c r="H71" s="14" t="s">
        <v>46</v>
      </c>
      <c r="I71" s="15" t="s">
        <v>47</v>
      </c>
    </row>
    <row r="72" spans="1:9" x14ac:dyDescent="0.25">
      <c r="A72" s="159" t="s">
        <v>48</v>
      </c>
      <c r="B72" s="159"/>
      <c r="C72" s="159"/>
      <c r="D72" s="159"/>
      <c r="E72" s="159"/>
      <c r="F72" s="17"/>
      <c r="G72" s="17"/>
      <c r="H72" s="18"/>
      <c r="I72" s="19">
        <f>ROUND((SUM(I88:I89)*0.05),0)</f>
        <v>6611</v>
      </c>
    </row>
    <row r="73" spans="1:9" x14ac:dyDescent="0.25">
      <c r="A73" s="159" t="s">
        <v>176</v>
      </c>
      <c r="B73" s="159"/>
      <c r="C73" s="159"/>
      <c r="D73" s="159"/>
      <c r="E73" s="159"/>
      <c r="F73" s="17">
        <v>1</v>
      </c>
      <c r="G73" s="20">
        <v>130000</v>
      </c>
      <c r="H73" s="21">
        <v>8</v>
      </c>
      <c r="I73" s="19">
        <f>G73*F73/H73</f>
        <v>16250</v>
      </c>
    </row>
    <row r="74" spans="1:9" x14ac:dyDescent="0.25">
      <c r="A74" s="159"/>
      <c r="B74" s="159"/>
      <c r="C74" s="159"/>
      <c r="D74" s="159"/>
      <c r="E74" s="159"/>
      <c r="F74" s="23"/>
      <c r="G74" s="34"/>
      <c r="H74" s="34"/>
      <c r="I74" s="35"/>
    </row>
    <row r="75" spans="1:9" ht="16.5" x14ac:dyDescent="0.3">
      <c r="A75" s="167" t="s">
        <v>49</v>
      </c>
      <c r="B75" s="167"/>
      <c r="C75" s="167"/>
      <c r="D75" s="167"/>
      <c r="E75" s="167"/>
      <c r="F75" s="14" t="s">
        <v>50</v>
      </c>
      <c r="G75" s="22" t="s">
        <v>51</v>
      </c>
      <c r="H75" s="22" t="s">
        <v>52</v>
      </c>
      <c r="I75" s="15" t="s">
        <v>53</v>
      </c>
    </row>
    <row r="76" spans="1:9" x14ac:dyDescent="0.25">
      <c r="A76" s="159" t="s">
        <v>177</v>
      </c>
      <c r="B76" s="159"/>
      <c r="C76" s="159"/>
      <c r="D76" s="159"/>
      <c r="E76" s="159"/>
      <c r="F76" s="23" t="s">
        <v>178</v>
      </c>
      <c r="G76" s="24">
        <v>32000</v>
      </c>
      <c r="H76" s="18">
        <v>7.5</v>
      </c>
      <c r="I76" s="24">
        <f>+H76*G76</f>
        <v>240000</v>
      </c>
    </row>
    <row r="77" spans="1:9" x14ac:dyDescent="0.25">
      <c r="A77" s="159" t="s">
        <v>191</v>
      </c>
      <c r="B77" s="159"/>
      <c r="C77" s="159"/>
      <c r="D77" s="159"/>
      <c r="E77" s="159"/>
      <c r="F77" s="23" t="s">
        <v>111</v>
      </c>
      <c r="G77" s="24">
        <v>80000</v>
      </c>
      <c r="H77" s="18">
        <v>1.2</v>
      </c>
      <c r="I77" s="24">
        <f>+H77*G77</f>
        <v>96000</v>
      </c>
    </row>
    <row r="78" spans="1:9" x14ac:dyDescent="0.25">
      <c r="A78" s="159"/>
      <c r="B78" s="159"/>
      <c r="C78" s="159"/>
      <c r="D78" s="159"/>
      <c r="E78" s="159"/>
      <c r="F78" s="23"/>
      <c r="G78" s="18"/>
      <c r="H78" s="18"/>
      <c r="I78" s="24"/>
    </row>
    <row r="79" spans="1:9" x14ac:dyDescent="0.25">
      <c r="A79" s="159"/>
      <c r="B79" s="159"/>
      <c r="C79" s="159"/>
      <c r="D79" s="159"/>
      <c r="E79" s="159"/>
      <c r="F79" s="23"/>
      <c r="G79" s="18"/>
      <c r="H79" s="18"/>
      <c r="I79" s="24"/>
    </row>
    <row r="80" spans="1:9" x14ac:dyDescent="0.25">
      <c r="A80" s="159"/>
      <c r="B80" s="159"/>
      <c r="C80" s="159"/>
      <c r="D80" s="159"/>
      <c r="E80" s="159"/>
      <c r="F80" s="23"/>
      <c r="G80" s="18"/>
      <c r="H80" s="18"/>
      <c r="I80" s="24"/>
    </row>
    <row r="81" spans="1:9" x14ac:dyDescent="0.25">
      <c r="A81" s="159"/>
      <c r="B81" s="159"/>
      <c r="C81" s="159"/>
      <c r="D81" s="159"/>
      <c r="E81" s="159"/>
      <c r="F81" s="23"/>
      <c r="G81" s="18"/>
      <c r="H81" s="18"/>
      <c r="I81" s="24"/>
    </row>
    <row r="82" spans="1:9" x14ac:dyDescent="0.25">
      <c r="A82" s="159"/>
      <c r="B82" s="159"/>
      <c r="C82" s="159"/>
      <c r="D82" s="159"/>
      <c r="E82" s="159"/>
      <c r="F82" s="23"/>
      <c r="G82" s="18"/>
      <c r="H82" s="18"/>
      <c r="I82" s="24"/>
    </row>
    <row r="83" spans="1:9" x14ac:dyDescent="0.25">
      <c r="A83" s="159"/>
      <c r="B83" s="159"/>
      <c r="C83" s="159"/>
      <c r="D83" s="159"/>
      <c r="E83" s="159"/>
      <c r="F83" s="23"/>
      <c r="G83" s="18"/>
      <c r="H83" s="18"/>
      <c r="I83" s="24"/>
    </row>
    <row r="84" spans="1:9" ht="16.5" x14ac:dyDescent="0.3">
      <c r="A84" s="167" t="s">
        <v>61</v>
      </c>
      <c r="B84" s="167"/>
      <c r="C84" s="167"/>
      <c r="D84" s="167"/>
      <c r="E84" s="25" t="s">
        <v>62</v>
      </c>
      <c r="F84" s="14" t="s">
        <v>63</v>
      </c>
      <c r="G84" s="14" t="s">
        <v>64</v>
      </c>
      <c r="H84" s="14" t="s">
        <v>65</v>
      </c>
      <c r="I84" s="15" t="s">
        <v>53</v>
      </c>
    </row>
    <row r="85" spans="1:9" x14ac:dyDescent="0.25">
      <c r="A85" s="159" t="s">
        <v>66</v>
      </c>
      <c r="B85" s="159"/>
      <c r="C85" s="159"/>
      <c r="D85" s="159"/>
      <c r="E85" s="26"/>
      <c r="F85" s="26"/>
      <c r="G85" s="26"/>
      <c r="H85" s="26"/>
      <c r="I85" s="18"/>
    </row>
    <row r="86" spans="1:9" x14ac:dyDescent="0.25">
      <c r="A86" s="159" t="s">
        <v>67</v>
      </c>
      <c r="B86" s="159"/>
      <c r="C86" s="159"/>
      <c r="D86" s="159"/>
      <c r="E86" s="26"/>
      <c r="F86" s="26"/>
      <c r="G86" s="26"/>
      <c r="H86" s="26"/>
      <c r="I86" s="18"/>
    </row>
    <row r="87" spans="1:9" ht="16.5" x14ac:dyDescent="0.3">
      <c r="A87" s="167" t="s">
        <v>68</v>
      </c>
      <c r="B87" s="167"/>
      <c r="C87" s="167"/>
      <c r="D87" s="167"/>
      <c r="E87" s="14" t="s">
        <v>52</v>
      </c>
      <c r="F87" s="170" t="s">
        <v>69</v>
      </c>
      <c r="G87" s="171"/>
      <c r="H87" s="27" t="s">
        <v>46</v>
      </c>
      <c r="I87" s="28" t="s">
        <v>53</v>
      </c>
    </row>
    <row r="88" spans="1:9" x14ac:dyDescent="0.25">
      <c r="A88" s="168" t="str">
        <f>CUADRILLAS!B11</f>
        <v>CUADRILLA 6</v>
      </c>
      <c r="B88" s="168"/>
      <c r="C88" s="168"/>
      <c r="D88" s="168"/>
      <c r="E88" s="18">
        <v>1</v>
      </c>
      <c r="F88" s="177">
        <f>CUADRILLAS!D11</f>
        <v>595000</v>
      </c>
      <c r="G88" s="177"/>
      <c r="H88" s="21">
        <v>4.5</v>
      </c>
      <c r="I88" s="24">
        <f>F88/H88</f>
        <v>132222.22222222222</v>
      </c>
    </row>
    <row r="89" spans="1:9" x14ac:dyDescent="0.25">
      <c r="A89" s="168"/>
      <c r="B89" s="168"/>
      <c r="C89" s="168"/>
      <c r="D89" s="168"/>
      <c r="E89" s="18"/>
      <c r="F89" s="177"/>
      <c r="G89" s="177"/>
      <c r="H89" s="18"/>
      <c r="I89" s="24"/>
    </row>
    <row r="90" spans="1:9" ht="16.5" x14ac:dyDescent="0.3">
      <c r="A90" s="160"/>
      <c r="B90" s="161"/>
      <c r="C90" s="161"/>
      <c r="D90" s="161"/>
      <c r="E90" s="162"/>
      <c r="F90" s="30" t="s">
        <v>35</v>
      </c>
      <c r="G90" s="31"/>
      <c r="H90" s="32"/>
      <c r="I90" s="36">
        <f>ROUND((SUM(I72:I89)),0)</f>
        <v>491083</v>
      </c>
    </row>
    <row r="91" spans="1:9" ht="16.5" x14ac:dyDescent="0.3">
      <c r="A91" s="10" t="s">
        <v>40</v>
      </c>
      <c r="B91" s="212" t="s">
        <v>192</v>
      </c>
      <c r="C91" s="213"/>
      <c r="D91" s="213"/>
      <c r="E91" s="213"/>
      <c r="F91" s="213"/>
      <c r="G91" s="213"/>
      <c r="H91" s="213"/>
      <c r="I91" s="214"/>
    </row>
    <row r="92" spans="1:9" ht="16.5" x14ac:dyDescent="0.3">
      <c r="A92" s="11" t="s">
        <v>193</v>
      </c>
      <c r="B92" s="166"/>
      <c r="C92" s="166"/>
      <c r="D92" s="166"/>
      <c r="E92" s="166"/>
      <c r="F92" s="166"/>
      <c r="G92" s="166"/>
      <c r="H92" s="12" t="s">
        <v>42</v>
      </c>
      <c r="I92" s="13" t="s">
        <v>111</v>
      </c>
    </row>
    <row r="93" spans="1:9" ht="16.5" x14ac:dyDescent="0.3">
      <c r="A93" s="167" t="s">
        <v>44</v>
      </c>
      <c r="B93" s="167"/>
      <c r="C93" s="167"/>
      <c r="D93" s="167"/>
      <c r="E93" s="167"/>
      <c r="F93" s="14" t="s">
        <v>9</v>
      </c>
      <c r="G93" s="14" t="s">
        <v>45</v>
      </c>
      <c r="H93" s="14" t="s">
        <v>46</v>
      </c>
      <c r="I93" s="15" t="s">
        <v>47</v>
      </c>
    </row>
    <row r="94" spans="1:9" x14ac:dyDescent="0.25">
      <c r="A94" s="159" t="s">
        <v>48</v>
      </c>
      <c r="B94" s="159"/>
      <c r="C94" s="159"/>
      <c r="D94" s="159"/>
      <c r="E94" s="159"/>
      <c r="F94" s="17"/>
      <c r="G94" s="17"/>
      <c r="H94" s="18"/>
      <c r="I94" s="19">
        <f>ROUND((SUM(I110:I111)*0.05),0)</f>
        <v>3719</v>
      </c>
    </row>
    <row r="95" spans="1:9" x14ac:dyDescent="0.25">
      <c r="A95" s="159" t="s">
        <v>176</v>
      </c>
      <c r="B95" s="159"/>
      <c r="C95" s="159"/>
      <c r="D95" s="159"/>
      <c r="E95" s="159"/>
      <c r="F95" s="17">
        <v>1</v>
      </c>
      <c r="G95" s="20">
        <v>80000</v>
      </c>
      <c r="H95" s="21">
        <f>H110</f>
        <v>8</v>
      </c>
      <c r="I95" s="19">
        <f>G95*F95/H95</f>
        <v>10000</v>
      </c>
    </row>
    <row r="96" spans="1:9" x14ac:dyDescent="0.25">
      <c r="A96" s="159"/>
      <c r="B96" s="159"/>
      <c r="C96" s="159"/>
      <c r="D96" s="159"/>
      <c r="E96" s="159"/>
      <c r="F96" s="17"/>
      <c r="G96" s="17"/>
      <c r="H96" s="18"/>
      <c r="I96" s="19"/>
    </row>
    <row r="97" spans="1:9" ht="16.5" x14ac:dyDescent="0.3">
      <c r="A97" s="167" t="s">
        <v>49</v>
      </c>
      <c r="B97" s="167"/>
      <c r="C97" s="167"/>
      <c r="D97" s="167"/>
      <c r="E97" s="167"/>
      <c r="F97" s="14" t="s">
        <v>50</v>
      </c>
      <c r="G97" s="22" t="s">
        <v>51</v>
      </c>
      <c r="H97" s="22" t="s">
        <v>52</v>
      </c>
      <c r="I97" s="15" t="s">
        <v>53</v>
      </c>
    </row>
    <row r="98" spans="1:9" x14ac:dyDescent="0.25">
      <c r="A98" s="159" t="s">
        <v>177</v>
      </c>
      <c r="B98" s="159"/>
      <c r="C98" s="159"/>
      <c r="D98" s="159"/>
      <c r="E98" s="159"/>
      <c r="F98" s="23" t="s">
        <v>178</v>
      </c>
      <c r="G98" s="24">
        <v>25000</v>
      </c>
      <c r="H98" s="18">
        <v>6.6</v>
      </c>
      <c r="I98" s="24">
        <f>+H98*G98</f>
        <v>165000</v>
      </c>
    </row>
    <row r="99" spans="1:9" x14ac:dyDescent="0.25">
      <c r="A99" s="159" t="s">
        <v>194</v>
      </c>
      <c r="B99" s="159"/>
      <c r="C99" s="159"/>
      <c r="D99" s="159"/>
      <c r="E99" s="159"/>
      <c r="F99" s="23" t="s">
        <v>111</v>
      </c>
      <c r="G99" s="24">
        <v>50000</v>
      </c>
      <c r="H99" s="18">
        <v>1.3</v>
      </c>
      <c r="I99" s="24">
        <f>+H99*G99</f>
        <v>65000</v>
      </c>
    </row>
    <row r="100" spans="1:9" x14ac:dyDescent="0.25">
      <c r="A100" s="159"/>
      <c r="B100" s="159"/>
      <c r="C100" s="159"/>
      <c r="D100" s="159"/>
      <c r="E100" s="159"/>
      <c r="F100" s="23"/>
      <c r="G100" s="18"/>
      <c r="H100" s="18"/>
      <c r="I100" s="24"/>
    </row>
    <row r="101" spans="1:9" x14ac:dyDescent="0.25">
      <c r="A101" s="159"/>
      <c r="B101" s="159"/>
      <c r="C101" s="159"/>
      <c r="D101" s="159"/>
      <c r="E101" s="159"/>
      <c r="F101" s="23"/>
      <c r="G101" s="18"/>
      <c r="H101" s="18"/>
      <c r="I101" s="24"/>
    </row>
    <row r="102" spans="1:9" x14ac:dyDescent="0.25">
      <c r="A102" s="159"/>
      <c r="B102" s="159"/>
      <c r="C102" s="159"/>
      <c r="D102" s="159"/>
      <c r="E102" s="159"/>
      <c r="F102" s="23"/>
      <c r="G102" s="18"/>
      <c r="H102" s="18"/>
      <c r="I102" s="24"/>
    </row>
    <row r="103" spans="1:9" x14ac:dyDescent="0.25">
      <c r="A103" s="159"/>
      <c r="B103" s="159"/>
      <c r="C103" s="159"/>
      <c r="D103" s="159"/>
      <c r="E103" s="159"/>
      <c r="F103" s="23"/>
      <c r="G103" s="18"/>
      <c r="H103" s="18"/>
      <c r="I103" s="24"/>
    </row>
    <row r="104" spans="1:9" x14ac:dyDescent="0.25">
      <c r="A104" s="159"/>
      <c r="B104" s="159"/>
      <c r="C104" s="159"/>
      <c r="D104" s="159"/>
      <c r="E104" s="159"/>
      <c r="F104" s="23"/>
      <c r="G104" s="18"/>
      <c r="H104" s="18"/>
      <c r="I104" s="24"/>
    </row>
    <row r="105" spans="1:9" x14ac:dyDescent="0.25">
      <c r="A105" s="159"/>
      <c r="B105" s="159"/>
      <c r="C105" s="159"/>
      <c r="D105" s="159"/>
      <c r="E105" s="159"/>
      <c r="F105" s="23"/>
      <c r="G105" s="18"/>
      <c r="H105" s="18"/>
      <c r="I105" s="24"/>
    </row>
    <row r="106" spans="1:9" ht="16.5" x14ac:dyDescent="0.3">
      <c r="A106" s="167" t="s">
        <v>61</v>
      </c>
      <c r="B106" s="167"/>
      <c r="C106" s="167"/>
      <c r="D106" s="167"/>
      <c r="E106" s="25" t="s">
        <v>62</v>
      </c>
      <c r="F106" s="14" t="s">
        <v>63</v>
      </c>
      <c r="G106" s="14" t="s">
        <v>64</v>
      </c>
      <c r="H106" s="14" t="s">
        <v>65</v>
      </c>
      <c r="I106" s="15" t="s">
        <v>53</v>
      </c>
    </row>
    <row r="107" spans="1:9" x14ac:dyDescent="0.25">
      <c r="A107" s="159" t="s">
        <v>66</v>
      </c>
      <c r="B107" s="159"/>
      <c r="C107" s="159"/>
      <c r="D107" s="159"/>
      <c r="E107" s="26">
        <f>H98*50/1000</f>
        <v>0.33</v>
      </c>
      <c r="F107" s="26">
        <v>6</v>
      </c>
      <c r="G107" s="26">
        <f>35000/F107</f>
        <v>5833.333333333333</v>
      </c>
      <c r="H107" s="26">
        <f>+G107*6</f>
        <v>35000</v>
      </c>
      <c r="I107" s="18">
        <f>+E107*G107</f>
        <v>1925</v>
      </c>
    </row>
    <row r="108" spans="1:9" x14ac:dyDescent="0.25">
      <c r="A108" s="159" t="s">
        <v>67</v>
      </c>
      <c r="B108" s="159"/>
      <c r="C108" s="159"/>
      <c r="D108" s="159"/>
      <c r="E108" s="26">
        <f>+H99</f>
        <v>1.3</v>
      </c>
      <c r="F108" s="26">
        <v>6</v>
      </c>
      <c r="G108" s="26">
        <f>35000/F108</f>
        <v>5833.333333333333</v>
      </c>
      <c r="H108" s="26">
        <f>+G108*6</f>
        <v>35000</v>
      </c>
      <c r="I108" s="18">
        <f>+E108*G108</f>
        <v>7583.333333333333</v>
      </c>
    </row>
    <row r="109" spans="1:9" ht="16.5" x14ac:dyDescent="0.3">
      <c r="A109" s="167" t="s">
        <v>68</v>
      </c>
      <c r="B109" s="167"/>
      <c r="C109" s="167"/>
      <c r="D109" s="167"/>
      <c r="E109" s="14" t="s">
        <v>52</v>
      </c>
      <c r="F109" s="170" t="s">
        <v>69</v>
      </c>
      <c r="G109" s="171"/>
      <c r="H109" s="27" t="s">
        <v>46</v>
      </c>
      <c r="I109" s="28" t="s">
        <v>53</v>
      </c>
    </row>
    <row r="110" spans="1:9" x14ac:dyDescent="0.25">
      <c r="A110" s="168" t="str">
        <f>CUADRILLAS!B11</f>
        <v>CUADRILLA 6</v>
      </c>
      <c r="B110" s="168"/>
      <c r="C110" s="168"/>
      <c r="D110" s="168"/>
      <c r="E110" s="18">
        <v>1</v>
      </c>
      <c r="F110" s="177">
        <f>CUADRILLAS!D11</f>
        <v>595000</v>
      </c>
      <c r="G110" s="177"/>
      <c r="H110" s="21">
        <v>8</v>
      </c>
      <c r="I110" s="24">
        <f>F110/H110</f>
        <v>74375</v>
      </c>
    </row>
    <row r="111" spans="1:9" x14ac:dyDescent="0.25">
      <c r="A111" s="168"/>
      <c r="B111" s="168"/>
      <c r="C111" s="168"/>
      <c r="D111" s="168"/>
      <c r="E111" s="18"/>
      <c r="F111" s="177"/>
      <c r="G111" s="177"/>
      <c r="H111" s="18"/>
      <c r="I111" s="24"/>
    </row>
    <row r="112" spans="1:9" ht="16.5" x14ac:dyDescent="0.3">
      <c r="A112" s="160"/>
      <c r="B112" s="161"/>
      <c r="C112" s="161"/>
      <c r="D112" s="161"/>
      <c r="E112" s="162"/>
      <c r="F112" s="30" t="s">
        <v>35</v>
      </c>
      <c r="G112" s="31"/>
      <c r="H112" s="32"/>
      <c r="I112" s="36">
        <f>ROUND((SUM(I94:I111)),0)</f>
        <v>327602</v>
      </c>
    </row>
  </sheetData>
  <mergeCells count="127">
    <mergeCell ref="A112:E112"/>
    <mergeCell ref="A11:E11"/>
    <mergeCell ref="A31:E31"/>
    <mergeCell ref="A108:D108"/>
    <mergeCell ref="A109:D109"/>
    <mergeCell ref="F109:G109"/>
    <mergeCell ref="A110:D110"/>
    <mergeCell ref="F110:G110"/>
    <mergeCell ref="A111:D111"/>
    <mergeCell ref="F111:G111"/>
    <mergeCell ref="A102:E102"/>
    <mergeCell ref="A103:E103"/>
    <mergeCell ref="A104:E104"/>
    <mergeCell ref="A105:E105"/>
    <mergeCell ref="A106:D106"/>
    <mergeCell ref="A107:D107"/>
    <mergeCell ref="A96:E96"/>
    <mergeCell ref="A97:E97"/>
    <mergeCell ref="A98:E98"/>
    <mergeCell ref="A99:E99"/>
    <mergeCell ref="A100:E100"/>
    <mergeCell ref="A101:E101"/>
    <mergeCell ref="A90:E90"/>
    <mergeCell ref="B91:I91"/>
    <mergeCell ref="B92:G92"/>
    <mergeCell ref="A93:E93"/>
    <mergeCell ref="A94:E94"/>
    <mergeCell ref="A95:E95"/>
    <mergeCell ref="A87:D87"/>
    <mergeCell ref="F87:G87"/>
    <mergeCell ref="A88:D88"/>
    <mergeCell ref="F88:G88"/>
    <mergeCell ref="A89:D89"/>
    <mergeCell ref="F89:G89"/>
    <mergeCell ref="A81:E81"/>
    <mergeCell ref="A82:E82"/>
    <mergeCell ref="A83:E83"/>
    <mergeCell ref="A84:D84"/>
    <mergeCell ref="A85:D85"/>
    <mergeCell ref="A86:D86"/>
    <mergeCell ref="A75:E75"/>
    <mergeCell ref="A76:E76"/>
    <mergeCell ref="A77:E77"/>
    <mergeCell ref="A78:E78"/>
    <mergeCell ref="A79:E79"/>
    <mergeCell ref="A80:E80"/>
    <mergeCell ref="B69:I69"/>
    <mergeCell ref="B70:G70"/>
    <mergeCell ref="A71:E71"/>
    <mergeCell ref="A72:E72"/>
    <mergeCell ref="A73:E73"/>
    <mergeCell ref="A74:E74"/>
    <mergeCell ref="A65:D65"/>
    <mergeCell ref="F65:G65"/>
    <mergeCell ref="A66:D66"/>
    <mergeCell ref="F66:G66"/>
    <mergeCell ref="A67:E67"/>
    <mergeCell ref="A68:I68"/>
    <mergeCell ref="A60:E60"/>
    <mergeCell ref="A61:D61"/>
    <mergeCell ref="A62:D62"/>
    <mergeCell ref="A63:D63"/>
    <mergeCell ref="A64:D64"/>
    <mergeCell ref="F64:G64"/>
    <mergeCell ref="A54:E54"/>
    <mergeCell ref="A55:E55"/>
    <mergeCell ref="A56:E56"/>
    <mergeCell ref="A57:E57"/>
    <mergeCell ref="A58:E58"/>
    <mergeCell ref="A59:E59"/>
    <mergeCell ref="A48:E48"/>
    <mergeCell ref="A49:E49"/>
    <mergeCell ref="A50:E50"/>
    <mergeCell ref="A51:E51"/>
    <mergeCell ref="A52:E52"/>
    <mergeCell ref="A53:E53"/>
    <mergeCell ref="A43:D43"/>
    <mergeCell ref="F43:G43"/>
    <mergeCell ref="A44:E44"/>
    <mergeCell ref="A45:I45"/>
    <mergeCell ref="B46:I46"/>
    <mergeCell ref="B47:G47"/>
    <mergeCell ref="A39:D39"/>
    <mergeCell ref="A40:D40"/>
    <mergeCell ref="A41:D41"/>
    <mergeCell ref="F41:G41"/>
    <mergeCell ref="A42:D42"/>
    <mergeCell ref="F42:G42"/>
    <mergeCell ref="A33:E33"/>
    <mergeCell ref="A34:E34"/>
    <mergeCell ref="A35:E35"/>
    <mergeCell ref="A36:E36"/>
    <mergeCell ref="A37:E37"/>
    <mergeCell ref="A38:D38"/>
    <mergeCell ref="A27:E27"/>
    <mergeCell ref="A28:E28"/>
    <mergeCell ref="A29:E29"/>
    <mergeCell ref="A30:E30"/>
    <mergeCell ref="A32:E32"/>
    <mergeCell ref="A20:E20"/>
    <mergeCell ref="A21:I21"/>
    <mergeCell ref="B22:I22"/>
    <mergeCell ref="B23:G23"/>
    <mergeCell ref="A24:E24"/>
    <mergeCell ref="A25:E25"/>
    <mergeCell ref="A17:D17"/>
    <mergeCell ref="F17:G17"/>
    <mergeCell ref="A18:D18"/>
    <mergeCell ref="F18:G18"/>
    <mergeCell ref="A19:D19"/>
    <mergeCell ref="F19:G19"/>
    <mergeCell ref="A15:E15"/>
    <mergeCell ref="A16:E16"/>
    <mergeCell ref="A26:E26"/>
    <mergeCell ref="B2:I2"/>
    <mergeCell ref="A1:I1"/>
    <mergeCell ref="A8:E8"/>
    <mergeCell ref="A9:E9"/>
    <mergeCell ref="A10:E10"/>
    <mergeCell ref="A12:E12"/>
    <mergeCell ref="A13:E13"/>
    <mergeCell ref="A14:E14"/>
    <mergeCell ref="B3:G3"/>
    <mergeCell ref="A4:E4"/>
    <mergeCell ref="A5:E5"/>
    <mergeCell ref="A6:E6"/>
    <mergeCell ref="A7:E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9F255-5425-484C-BB2A-FB305B4D0701}">
  <dimension ref="A1:D26"/>
  <sheetViews>
    <sheetView topLeftCell="A12" zoomScale="150" zoomScaleNormal="150" workbookViewId="0">
      <selection activeCell="C8" sqref="C8"/>
    </sheetView>
  </sheetViews>
  <sheetFormatPr baseColWidth="10" defaultColWidth="11.42578125" defaultRowHeight="15" x14ac:dyDescent="0.25"/>
  <cols>
    <col min="1" max="1" width="23.140625" bestFit="1" customWidth="1"/>
    <col min="2" max="2" width="20" customWidth="1"/>
    <col min="3" max="3" width="15.7109375" customWidth="1"/>
    <col min="4" max="4" width="25.140625" customWidth="1"/>
  </cols>
  <sheetData>
    <row r="1" spans="1:4" ht="15.75" x14ac:dyDescent="0.25">
      <c r="A1" s="47"/>
      <c r="B1" s="48"/>
      <c r="C1" s="48"/>
      <c r="D1" s="48"/>
    </row>
    <row r="2" spans="1:4" ht="18" x14ac:dyDescent="0.25">
      <c r="A2" s="223" t="s">
        <v>195</v>
      </c>
      <c r="B2" s="223"/>
      <c r="C2" s="223"/>
      <c r="D2" s="223"/>
    </row>
    <row r="3" spans="1:4" x14ac:dyDescent="0.25">
      <c r="A3" s="39"/>
      <c r="B3" s="39"/>
      <c r="C3" s="39"/>
      <c r="D3" s="39"/>
    </row>
    <row r="4" spans="1:4" x14ac:dyDescent="0.25">
      <c r="A4" s="40"/>
      <c r="B4" s="40"/>
      <c r="C4" s="40"/>
      <c r="D4" s="40"/>
    </row>
    <row r="5" spans="1:4" ht="16.5" x14ac:dyDescent="0.25">
      <c r="A5" s="49" t="s">
        <v>196</v>
      </c>
      <c r="B5" s="49" t="s">
        <v>197</v>
      </c>
      <c r="C5" s="50" t="s">
        <v>198</v>
      </c>
      <c r="D5" s="50" t="s">
        <v>199</v>
      </c>
    </row>
    <row r="6" spans="1:4" ht="16.5" x14ac:dyDescent="0.3">
      <c r="A6" s="41" t="s">
        <v>200</v>
      </c>
      <c r="B6" s="51" t="s">
        <v>201</v>
      </c>
      <c r="C6" s="42">
        <f>B24*1</f>
        <v>45000</v>
      </c>
      <c r="D6" s="43">
        <f>+C6*1.7</f>
        <v>76500</v>
      </c>
    </row>
    <row r="7" spans="1:4" ht="16.5" x14ac:dyDescent="0.3">
      <c r="A7" s="41" t="s">
        <v>202</v>
      </c>
      <c r="B7" s="51" t="s">
        <v>203</v>
      </c>
      <c r="C7" s="42">
        <f>B24*2</f>
        <v>90000</v>
      </c>
      <c r="D7" s="43">
        <f t="shared" ref="D7:D13" si="0">+C7*1.7</f>
        <v>153000</v>
      </c>
    </row>
    <row r="8" spans="1:4" ht="16.5" x14ac:dyDescent="0.3">
      <c r="A8" s="41" t="s">
        <v>89</v>
      </c>
      <c r="B8" s="51" t="s">
        <v>204</v>
      </c>
      <c r="C8" s="42">
        <f>(B16+(B24*1))</f>
        <v>125000</v>
      </c>
      <c r="D8" s="43">
        <f t="shared" si="0"/>
        <v>212500</v>
      </c>
    </row>
    <row r="9" spans="1:4" ht="16.5" x14ac:dyDescent="0.3">
      <c r="A9" s="41" t="s">
        <v>205</v>
      </c>
      <c r="B9" s="51" t="s">
        <v>206</v>
      </c>
      <c r="C9" s="42">
        <f>(B16+(B24*2))</f>
        <v>170000</v>
      </c>
      <c r="D9" s="43">
        <f t="shared" si="0"/>
        <v>289000</v>
      </c>
    </row>
    <row r="10" spans="1:4" ht="16.5" x14ac:dyDescent="0.3">
      <c r="A10" s="41" t="s">
        <v>207</v>
      </c>
      <c r="B10" s="51" t="s">
        <v>208</v>
      </c>
      <c r="C10" s="42">
        <f>(B16+(B23*4))</f>
        <v>280000</v>
      </c>
      <c r="D10" s="43">
        <f t="shared" si="0"/>
        <v>476000</v>
      </c>
    </row>
    <row r="11" spans="1:4" ht="16.5" x14ac:dyDescent="0.3">
      <c r="A11" s="41" t="s">
        <v>209</v>
      </c>
      <c r="B11" s="51" t="s">
        <v>210</v>
      </c>
      <c r="C11" s="42">
        <f>(B16+(B24*6))</f>
        <v>350000</v>
      </c>
      <c r="D11" s="43">
        <f t="shared" si="0"/>
        <v>595000</v>
      </c>
    </row>
    <row r="12" spans="1:4" ht="16.5" x14ac:dyDescent="0.25">
      <c r="A12" s="52" t="s">
        <v>211</v>
      </c>
      <c r="B12" s="51" t="s">
        <v>212</v>
      </c>
      <c r="C12" s="43">
        <f>(B20+B21+B22)</f>
        <v>190000</v>
      </c>
      <c r="D12" s="43">
        <f t="shared" si="0"/>
        <v>323000</v>
      </c>
    </row>
    <row r="13" spans="1:4" ht="16.5" x14ac:dyDescent="0.25">
      <c r="A13" s="40" t="s">
        <v>213</v>
      </c>
      <c r="B13" s="51" t="s">
        <v>214</v>
      </c>
      <c r="C13" s="44">
        <f>B16*2+B24*2</f>
        <v>250000</v>
      </c>
      <c r="D13" s="43">
        <f t="shared" si="0"/>
        <v>425000</v>
      </c>
    </row>
    <row r="14" spans="1:4" ht="16.5" x14ac:dyDescent="0.25">
      <c r="A14" s="45"/>
      <c r="B14" s="45"/>
      <c r="C14" s="46"/>
      <c r="D14" s="43"/>
    </row>
    <row r="15" spans="1:4" ht="16.5" x14ac:dyDescent="0.25">
      <c r="A15" s="49" t="s">
        <v>196</v>
      </c>
      <c r="B15" s="50" t="s">
        <v>215</v>
      </c>
      <c r="C15" s="49" t="s">
        <v>216</v>
      </c>
      <c r="D15" s="50" t="s">
        <v>217</v>
      </c>
    </row>
    <row r="16" spans="1:4" ht="16.5" x14ac:dyDescent="0.25">
      <c r="A16" s="53" t="s">
        <v>218</v>
      </c>
      <c r="B16" s="54">
        <v>80000</v>
      </c>
      <c r="C16" s="55">
        <v>0.7</v>
      </c>
      <c r="D16" s="56">
        <f t="shared" ref="D16:D24" si="1">(B16*30)*1.7</f>
        <v>4080000</v>
      </c>
    </row>
    <row r="17" spans="1:4" ht="16.5" x14ac:dyDescent="0.25">
      <c r="A17" s="53" t="s">
        <v>160</v>
      </c>
      <c r="B17" s="54">
        <v>80000</v>
      </c>
      <c r="C17" s="55">
        <v>0.7</v>
      </c>
      <c r="D17" s="56">
        <f t="shared" si="1"/>
        <v>4080000</v>
      </c>
    </row>
    <row r="18" spans="1:4" ht="16.5" x14ac:dyDescent="0.25">
      <c r="A18" s="53" t="s">
        <v>219</v>
      </c>
      <c r="B18" s="54">
        <v>80000</v>
      </c>
      <c r="C18" s="55">
        <v>0.7</v>
      </c>
      <c r="D18" s="56">
        <f t="shared" si="1"/>
        <v>4080000</v>
      </c>
    </row>
    <row r="19" spans="1:4" ht="16.5" x14ac:dyDescent="0.25">
      <c r="A19" s="53" t="s">
        <v>70</v>
      </c>
      <c r="B19" s="54">
        <v>90000</v>
      </c>
      <c r="C19" s="55">
        <v>0.7</v>
      </c>
      <c r="D19" s="56">
        <f t="shared" si="1"/>
        <v>4590000</v>
      </c>
    </row>
    <row r="20" spans="1:4" ht="16.5" x14ac:dyDescent="0.25">
      <c r="A20" s="53" t="s">
        <v>220</v>
      </c>
      <c r="B20" s="54">
        <v>90000</v>
      </c>
      <c r="C20" s="55">
        <v>0.7</v>
      </c>
      <c r="D20" s="56">
        <f t="shared" si="1"/>
        <v>4590000</v>
      </c>
    </row>
    <row r="21" spans="1:4" ht="16.5" x14ac:dyDescent="0.25">
      <c r="A21" s="53" t="s">
        <v>221</v>
      </c>
      <c r="B21" s="54">
        <v>50000</v>
      </c>
      <c r="C21" s="55">
        <v>0.7</v>
      </c>
      <c r="D21" s="56">
        <f t="shared" si="1"/>
        <v>2550000</v>
      </c>
    </row>
    <row r="22" spans="1:4" ht="16.5" x14ac:dyDescent="0.25">
      <c r="A22" s="53" t="s">
        <v>222</v>
      </c>
      <c r="B22" s="54">
        <v>50000</v>
      </c>
      <c r="C22" s="55">
        <v>0.7</v>
      </c>
      <c r="D22" s="56">
        <f t="shared" si="1"/>
        <v>2550000</v>
      </c>
    </row>
    <row r="23" spans="1:4" ht="16.5" x14ac:dyDescent="0.25">
      <c r="A23" s="53" t="s">
        <v>153</v>
      </c>
      <c r="B23" s="54">
        <v>50000</v>
      </c>
      <c r="C23" s="55">
        <v>0.7</v>
      </c>
      <c r="D23" s="56">
        <f t="shared" si="1"/>
        <v>2550000</v>
      </c>
    </row>
    <row r="24" spans="1:4" ht="16.5" x14ac:dyDescent="0.25">
      <c r="A24" s="53" t="s">
        <v>71</v>
      </c>
      <c r="B24" s="54">
        <v>45000</v>
      </c>
      <c r="C24" s="55">
        <v>0.7</v>
      </c>
      <c r="D24" s="56">
        <f t="shared" si="1"/>
        <v>2295000</v>
      </c>
    </row>
    <row r="25" spans="1:4" ht="16.5" x14ac:dyDescent="0.25">
      <c r="A25" s="53" t="s">
        <v>223</v>
      </c>
      <c r="B25" s="54">
        <v>90000</v>
      </c>
      <c r="C25" s="55">
        <v>0.7</v>
      </c>
      <c r="D25" s="56">
        <f>(B25*30)*1.7</f>
        <v>4590000</v>
      </c>
    </row>
    <row r="26" spans="1:4" ht="16.5" x14ac:dyDescent="0.25">
      <c r="A26" s="53" t="s">
        <v>224</v>
      </c>
      <c r="B26" s="54">
        <v>130000</v>
      </c>
      <c r="C26" s="55">
        <v>0.7</v>
      </c>
      <c r="D26" s="56">
        <f>(B26*30)*1.7</f>
        <v>6630000</v>
      </c>
    </row>
  </sheetData>
  <mergeCells count="1">
    <mergeCell ref="A2:D2"/>
  </mergeCells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PRESUPUESTO_ESTUDIO MERCADO </vt:lpstr>
      <vt:lpstr>APU ELECTRICO</vt:lpstr>
      <vt:lpstr>A.P.U PUERTAS</vt:lpstr>
      <vt:lpstr>A.PU. SANITARIO</vt:lpstr>
      <vt:lpstr>A.P.U. DESDE A-H</vt:lpstr>
      <vt:lpstr>A.P.A</vt:lpstr>
      <vt:lpstr>CUADRILLAS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victor mercado sampayo</dc:creator>
  <cp:keywords/>
  <dc:description/>
  <cp:lastModifiedBy>Victor Alfonso Villadiego Bernal</cp:lastModifiedBy>
  <cp:revision/>
  <dcterms:created xsi:type="dcterms:W3CDTF">2017-11-10T14:59:13Z</dcterms:created>
  <dcterms:modified xsi:type="dcterms:W3CDTF">2024-08-05T23:38:08Z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2024-06-20T17:30:35Z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c6ea4e69-ae80-40bb-b5a7-03b0a888701a</vt:lpwstr>
  </property>
  <property fmtid="{D5CDD505-2E9C-101B-9397-08002B2CF9AE}" pid="8" name="MSIP_Label_fc111285-cafa-4fc9-8a9a-bd902089b24f_ContentBits">
    <vt:lpwstr>0</vt:lpwstr>
  </property>
</Properties>
</file>