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codeName="EsteLibro"/>
  <mc:AlternateContent xmlns:mc="http://schemas.openxmlformats.org/markup-compatibility/2006">
    <mc:Choice Requires="x15">
      <x15ac:absPath xmlns:x15ac="http://schemas.microsoft.com/office/spreadsheetml/2010/11/ac" url="https://invias-my.sharepoint.com/personal/lmherrerag_invias_gov_co/Documents/Invias/Contratación 2024/IP-DT-BOL-008-2024 INTV SAN JACINTO/EVALUACION/Evaluación No 2/"/>
    </mc:Choice>
  </mc:AlternateContent>
  <xr:revisionPtr revIDLastSave="18" documentId="13_ncr:1_{9725AAA8-A501-4C77-9B42-5CB716EBB836}" xr6:coauthVersionLast="47" xr6:coauthVersionMax="47" xr10:uidLastSave="{76255AAB-0FA2-43AB-9D89-4ABEC66E072D}"/>
  <bookViews>
    <workbookView xWindow="-108" yWindow="-108" windowWidth="23256" windowHeight="12456" tabRatio="813" firstSheet="2" activeTab="2" xr2:uid="{00000000-000D-0000-FFFF-FFFF00000000}"/>
  </bookViews>
  <sheets>
    <sheet name="Verificaciones" sheetId="1" state="hidden" r:id="rId1"/>
    <sheet name="POA" sheetId="6" r:id="rId2"/>
    <sheet name="Puntajes" sheetId="14" r:id="rId3"/>
    <sheet name="Propuestas" sheetId="21" r:id="rId4"/>
    <sheet name="Capacidad Financiera" sheetId="4" r:id="rId5"/>
    <sheet name="Puntaje Exp" sheetId="17" r:id="rId6"/>
    <sheet name="Puntaje CT" sheetId="16" r:id="rId7"/>
    <sheet name="Puntaje CF" sheetId="18" r:id="rId8"/>
    <sheet name="Saldo CtosEjecución" sheetId="19" r:id="rId9"/>
    <sheet name="Cap Organización" sheetId="20" r:id="rId10"/>
    <sheet name="Capacidad Residual" sheetId="5" r:id="rId11"/>
    <sheet name="PO" sheetId="7" state="hidden" r:id="rId12"/>
  </sheets>
  <definedNames>
    <definedName name="AnticipoM1">POA!$D$2</definedName>
    <definedName name="AnticipoM2">POA!$D$3</definedName>
    <definedName name="AnticipoM3">POA!$D$4</definedName>
    <definedName name="AnticipoM4">POA!$D$5</definedName>
    <definedName name="_xlnm.Print_Area" localSheetId="9">'Cap Organización'!$A$1:$C$11</definedName>
    <definedName name="_xlnm.Print_Area" localSheetId="4">'Capacidad Financiera'!$B$1:$AG$14</definedName>
    <definedName name="_xlnm.Print_Area" localSheetId="10">'Capacidad Residual'!$A$1:$Q$12</definedName>
    <definedName name="_xlnm.Print_Area" localSheetId="1">POA!$A$1:$K$6</definedName>
    <definedName name="_xlnm.Print_Area" localSheetId="7">'Puntaje CF'!$A$1:$F$10</definedName>
    <definedName name="_xlnm.Print_Area" localSheetId="6">'Puntaje CT'!$A$1:$D$11</definedName>
    <definedName name="_xlnm.Print_Area" localSheetId="5">'Puntaje Exp'!$B$1:$I$11</definedName>
    <definedName name="_xlnm.Print_Area" localSheetId="8">'Saldo CtosEjecución'!$A$1:$C$11</definedName>
    <definedName name="CapFinanciera1">Puntajes!$C$12</definedName>
    <definedName name="CapFinanciera2">Puntajes!$C$13</definedName>
    <definedName name="CapFinanciera3">Puntajes!$C$14</definedName>
    <definedName name="CapFinanciera4">Puntajes!$C$15</definedName>
    <definedName name="CapTecnica1">Puntajes!$G$4</definedName>
    <definedName name="CapTecnica2">Puntajes!$G$5</definedName>
    <definedName name="Experiencia1">Puntajes!$C$4</definedName>
    <definedName name="Experiencia2">Puntajes!$C$5</definedName>
    <definedName name="Experiencia3">Puntajes!$C$6</definedName>
    <definedName name="PlazoM1">POA!$C$2</definedName>
    <definedName name="PlazoM2">POA!$C$3</definedName>
    <definedName name="PlazoM3">POA!$C$4</definedName>
    <definedName name="PlazoM4">POA!$C$5</definedName>
    <definedName name="prueba">#REF!</definedName>
    <definedName name="SALACTUAL">POA!$F$2</definedName>
    <definedName name="Z_7043DB3C_32B3_43B5_9ACE_4B1C78863594_.wvu.PrintArea" localSheetId="4" hidden="1">'Capacidad Financiera'!$B$1:$Z$11</definedName>
  </definedNames>
  <calcPr calcId="191028"/>
  <customWorkbookViews>
    <customWorkbookView name="Diana Carolina Bernal Bustos - Vista personalizada" guid="{7043DB3C-32B3-43B5-9ACE-4B1C78863594}" mergeInterval="0" personalView="1" maximized="1" windowWidth="1276" windowHeight="799" activeSheetId="4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4" l="1"/>
  <c r="K12" i="4" s="1"/>
  <c r="D2" i="6"/>
  <c r="C9" i="19"/>
  <c r="G9" i="17" l="1"/>
  <c r="E9" i="17"/>
  <c r="R12" i="4"/>
  <c r="R13" i="4"/>
  <c r="E12" i="4" l="1"/>
  <c r="I13" i="4" l="1"/>
  <c r="D12" i="4" l="1"/>
  <c r="C9" i="20"/>
  <c r="F12" i="4"/>
  <c r="H12" i="4"/>
  <c r="G12" i="4"/>
  <c r="I12" i="4"/>
  <c r="L12" i="4"/>
  <c r="M12" i="4"/>
  <c r="O12" i="4"/>
  <c r="J13" i="4"/>
  <c r="J12" i="4" s="1"/>
  <c r="O13" i="4"/>
  <c r="Q13" i="4"/>
  <c r="AA13" i="4"/>
  <c r="AB13" i="4" s="1"/>
  <c r="B10" i="17"/>
  <c r="D10" i="17" s="1"/>
  <c r="B11" i="17"/>
  <c r="C11" i="17" s="1"/>
  <c r="C9" i="16"/>
  <c r="A10" i="16"/>
  <c r="B10" i="16" s="1"/>
  <c r="A11" i="16"/>
  <c r="B11" i="16" s="1"/>
  <c r="C10" i="17" l="1"/>
  <c r="D11" i="17"/>
  <c r="F11" i="17" s="1"/>
  <c r="F10" i="17" l="1"/>
  <c r="F9" i="17" s="1"/>
  <c r="X12" i="4" l="1"/>
  <c r="Y13" i="4" l="1"/>
  <c r="U12" i="4" l="1"/>
  <c r="V13" i="4" l="1"/>
  <c r="I3" i="6" l="1"/>
  <c r="I4" i="6"/>
  <c r="I5" i="6"/>
  <c r="I2" i="6"/>
  <c r="H5" i="6"/>
  <c r="H4" i="6"/>
  <c r="H3" i="6"/>
  <c r="H2" i="6"/>
  <c r="W12" i="4" l="1"/>
  <c r="Q12" i="4"/>
  <c r="AC12" i="4" l="1"/>
  <c r="S12" i="4"/>
  <c r="AE12" i="4"/>
  <c r="AF13" i="4" l="1"/>
  <c r="T13" i="4"/>
  <c r="AD13" i="4"/>
  <c r="AF12" i="4"/>
  <c r="Y12" i="4"/>
  <c r="T12" i="4"/>
  <c r="V12" i="4"/>
  <c r="AD12" i="4"/>
  <c r="AG12" i="4" l="1"/>
  <c r="AG13" i="4"/>
  <c r="Z12" i="4"/>
  <c r="D12" i="5"/>
  <c r="F12" i="5" s="1"/>
  <c r="D11" i="5"/>
  <c r="E11" i="5" s="1"/>
  <c r="E12" i="5" l="1"/>
  <c r="F11" i="5"/>
  <c r="A9" i="20" l="1"/>
  <c r="A4" i="20"/>
  <c r="B9" i="20" l="1"/>
  <c r="A9" i="19"/>
  <c r="A4" i="19"/>
  <c r="B9" i="19" l="1"/>
  <c r="A9" i="18"/>
  <c r="B9" i="18" s="1"/>
  <c r="A4" i="18"/>
  <c r="B9" i="17" l="1"/>
  <c r="D9" i="17" s="1"/>
  <c r="H9" i="17" s="1"/>
  <c r="B4" i="17"/>
  <c r="C9" i="17" l="1"/>
  <c r="A4" i="16"/>
  <c r="A4" i="5"/>
  <c r="A9" i="16" l="1"/>
  <c r="B9" i="16" l="1"/>
  <c r="D9" i="16" s="1"/>
  <c r="G12" i="5"/>
  <c r="G11" i="5"/>
  <c r="D10" i="5"/>
  <c r="E10" i="5" s="1"/>
  <c r="G10" i="5" l="1"/>
  <c r="F10" i="5"/>
  <c r="H12" i="5"/>
  <c r="H11" i="5"/>
  <c r="H10" i="5" l="1"/>
  <c r="A10" i="20"/>
  <c r="A10" i="18"/>
  <c r="A10" i="19"/>
  <c r="B10" i="19" l="1"/>
  <c r="B10" i="20"/>
  <c r="B10" i="18"/>
  <c r="C10" i="18" s="1"/>
  <c r="C9" i="18" s="1"/>
  <c r="D10" i="18" l="1"/>
  <c r="D9" i="18" s="1"/>
  <c r="E9" i="18" s="1"/>
  <c r="K12" i="5"/>
  <c r="L12" i="5" s="1"/>
  <c r="K11" i="5"/>
  <c r="L11" i="5" s="1"/>
  <c r="A10" i="5"/>
  <c r="I10" i="5" s="1"/>
  <c r="A11" i="5"/>
  <c r="B101" i="7"/>
  <c r="H8" i="1"/>
  <c r="K8" i="1"/>
  <c r="U8" i="1" s="1"/>
  <c r="W8" i="1"/>
  <c r="H9" i="1"/>
  <c r="T9" i="1" s="1"/>
  <c r="K9" i="1"/>
  <c r="M9" i="1" s="1"/>
  <c r="V9" i="1"/>
  <c r="W9" i="1"/>
  <c r="H10" i="1"/>
  <c r="T10" i="1" s="1"/>
  <c r="K10" i="1"/>
  <c r="M10" i="1" s="1"/>
  <c r="V10" i="1"/>
  <c r="W10" i="1"/>
  <c r="H11" i="1"/>
  <c r="T11" i="1" s="1"/>
  <c r="K11" i="1"/>
  <c r="M11" i="1" s="1"/>
  <c r="V11" i="1"/>
  <c r="W11" i="1"/>
  <c r="H12" i="1"/>
  <c r="T12" i="1" s="1"/>
  <c r="K12" i="1"/>
  <c r="M12" i="1" s="1"/>
  <c r="V12" i="1"/>
  <c r="W12" i="1"/>
  <c r="H13" i="1"/>
  <c r="T13" i="1" s="1"/>
  <c r="K13" i="1"/>
  <c r="M13" i="1" s="1"/>
  <c r="V13" i="1"/>
  <c r="W13" i="1"/>
  <c r="H14" i="1"/>
  <c r="T14" i="1" s="1"/>
  <c r="K14" i="1"/>
  <c r="U14" i="1" s="1"/>
  <c r="V14" i="1"/>
  <c r="W14" i="1"/>
  <c r="H16" i="1"/>
  <c r="T16" i="1" s="1"/>
  <c r="K16" i="1"/>
  <c r="M16" i="1" s="1"/>
  <c r="V16" i="1"/>
  <c r="W16" i="1"/>
  <c r="H17" i="1"/>
  <c r="T17" i="1" s="1"/>
  <c r="K17" i="1"/>
  <c r="U17" i="1" s="1"/>
  <c r="V17" i="1"/>
  <c r="W17" i="1"/>
  <c r="H18" i="1"/>
  <c r="T18" i="1" s="1"/>
  <c r="K18" i="1"/>
  <c r="M18" i="1" s="1"/>
  <c r="V18" i="1"/>
  <c r="W18" i="1"/>
  <c r="H19" i="1"/>
  <c r="T19" i="1" s="1"/>
  <c r="K19" i="1"/>
  <c r="U19" i="1" s="1"/>
  <c r="V19" i="1"/>
  <c r="W19" i="1"/>
  <c r="H20" i="1"/>
  <c r="T20" i="1" s="1"/>
  <c r="K20" i="1"/>
  <c r="M20" i="1" s="1"/>
  <c r="R20" i="1"/>
  <c r="V20" i="1" s="1"/>
  <c r="W20" i="1"/>
  <c r="H21" i="1"/>
  <c r="T21" i="1" s="1"/>
  <c r="K21" i="1"/>
  <c r="M21" i="1" s="1"/>
  <c r="V21" i="1"/>
  <c r="W21" i="1"/>
  <c r="H23" i="1"/>
  <c r="T23" i="1" s="1"/>
  <c r="K23" i="1"/>
  <c r="M23" i="1" s="1"/>
  <c r="V23" i="1"/>
  <c r="W23" i="1"/>
  <c r="H24" i="1"/>
  <c r="T24" i="1" s="1"/>
  <c r="K24" i="1"/>
  <c r="M24" i="1" s="1"/>
  <c r="V24" i="1"/>
  <c r="W24" i="1"/>
  <c r="H25" i="1"/>
  <c r="T25" i="1" s="1"/>
  <c r="K25" i="1"/>
  <c r="M25" i="1" s="1"/>
  <c r="V25" i="1"/>
  <c r="W25" i="1"/>
  <c r="H26" i="1"/>
  <c r="T26" i="1" s="1"/>
  <c r="K26" i="1"/>
  <c r="M26" i="1" s="1"/>
  <c r="R26" i="1"/>
  <c r="V26" i="1" s="1"/>
  <c r="W26" i="1"/>
  <c r="H28" i="1"/>
  <c r="T28" i="1" s="1"/>
  <c r="K28" i="1"/>
  <c r="U28" i="1" s="1"/>
  <c r="V28" i="1"/>
  <c r="W28" i="1"/>
  <c r="H29" i="1"/>
  <c r="T29" i="1" s="1"/>
  <c r="K29" i="1"/>
  <c r="M29" i="1" s="1"/>
  <c r="V29" i="1"/>
  <c r="W29" i="1"/>
  <c r="H30" i="1"/>
  <c r="T30" i="1" s="1"/>
  <c r="K30" i="1"/>
  <c r="U30" i="1" s="1"/>
  <c r="V30" i="1"/>
  <c r="W30" i="1"/>
  <c r="G31" i="1"/>
  <c r="H31" i="1" s="1"/>
  <c r="T31" i="1" s="1"/>
  <c r="K31" i="1"/>
  <c r="M31" i="1" s="1"/>
  <c r="V31" i="1"/>
  <c r="W31" i="1"/>
  <c r="U11" i="1"/>
  <c r="U9" i="1"/>
  <c r="U21" i="1" l="1"/>
  <c r="U18" i="1"/>
  <c r="U10" i="1"/>
  <c r="M19" i="1"/>
  <c r="I11" i="5"/>
  <c r="B11" i="5"/>
  <c r="L10" i="5"/>
  <c r="O10" i="5"/>
  <c r="M10" i="5"/>
  <c r="B10" i="5"/>
  <c r="U12" i="1"/>
  <c r="U25" i="1"/>
  <c r="L8" i="1"/>
  <c r="M8" i="1" s="1"/>
  <c r="U31" i="1"/>
  <c r="U20" i="1"/>
  <c r="U16" i="1"/>
  <c r="J11" i="5"/>
  <c r="U24" i="1"/>
  <c r="M17" i="1"/>
  <c r="M14" i="1"/>
  <c r="U23" i="1"/>
  <c r="M30" i="1"/>
  <c r="C10" i="5"/>
  <c r="T8" i="1"/>
  <c r="A11" i="19"/>
  <c r="A11" i="20"/>
  <c r="O11" i="5"/>
  <c r="M11" i="5"/>
  <c r="N11" i="5"/>
  <c r="C11" i="5"/>
  <c r="A12" i="5"/>
  <c r="B12" i="5" s="1"/>
  <c r="U29" i="1"/>
  <c r="M28" i="1"/>
  <c r="U13" i="1"/>
  <c r="U26" i="1"/>
  <c r="V8" i="1" l="1"/>
  <c r="P11" i="5"/>
  <c r="B11" i="20"/>
  <c r="B11" i="19"/>
  <c r="I12" i="5"/>
  <c r="C12" i="5"/>
  <c r="O12" i="5"/>
  <c r="M12" i="5" l="1"/>
  <c r="N12" i="5" l="1"/>
  <c r="F9" i="18" l="1"/>
  <c r="N10" i="5" s="1"/>
  <c r="I9" i="17"/>
  <c r="J10" i="5" s="1"/>
  <c r="J12" i="5"/>
  <c r="P10" i="5" l="1"/>
  <c r="Q10" i="5" s="1"/>
  <c r="P12" i="5"/>
</calcChain>
</file>

<file path=xl/sharedStrings.xml><?xml version="1.0" encoding="utf-8"?>
<sst xmlns="http://schemas.openxmlformats.org/spreadsheetml/2006/main" count="322" uniqueCount="261">
  <si>
    <t>No. Oferta</t>
  </si>
  <si>
    <t>OFERENTE</t>
  </si>
  <si>
    <t>Verificación Formulario No. 03</t>
  </si>
  <si>
    <t>Datos Declaración Renta 2003</t>
  </si>
  <si>
    <t>Variación</t>
  </si>
  <si>
    <t>Activo Corriente</t>
  </si>
  <si>
    <t>Activo Fijo</t>
  </si>
  <si>
    <t>Otros Activos</t>
  </si>
  <si>
    <t>Total Activo</t>
  </si>
  <si>
    <t>Pasivo Corriente</t>
  </si>
  <si>
    <t>Pasivo Mediano y Largo Plazo</t>
  </si>
  <si>
    <t>Total Pasivo</t>
  </si>
  <si>
    <t>Patrimonio</t>
  </si>
  <si>
    <t>Total Pasivo + Patrimonio</t>
  </si>
  <si>
    <t>Utilidad Antes de Impuesto</t>
  </si>
  <si>
    <t>Utilidad Neta</t>
  </si>
  <si>
    <t>Patrimonio Bruto</t>
  </si>
  <si>
    <t>Patrimonio Liquido</t>
  </si>
  <si>
    <t>Renta Liquida</t>
  </si>
  <si>
    <t>CONSORCIO LAS ANIMAS #1</t>
  </si>
  <si>
    <t>GERMA TORRES SALGADO</t>
  </si>
  <si>
    <t>MARIO GIRALDO ENCISO</t>
  </si>
  <si>
    <t>MANUEL MOSQUERA</t>
  </si>
  <si>
    <t>JORGE DE JESUS E.</t>
  </si>
  <si>
    <t>REPRESENTA Y CONS PAI LTDA</t>
  </si>
  <si>
    <t>ASFALTOS DE OCCID S.A.</t>
  </si>
  <si>
    <t>CONCAY S.A.</t>
  </si>
  <si>
    <t>UNION TEMPORAL PAVIMENTACION DEL CHOCO</t>
  </si>
  <si>
    <t>AULI FERNANDO VELANDIA M</t>
  </si>
  <si>
    <t>HIFO S.A.</t>
  </si>
  <si>
    <t>INFICAS S.A.</t>
  </si>
  <si>
    <t>CATOBRAS LTDA</t>
  </si>
  <si>
    <t>CARLOS MARIO PALACIO CH</t>
  </si>
  <si>
    <t>LUIS CORANDO VELAZQUEZ</t>
  </si>
  <si>
    <t>CONSORCIO GOMGO 35</t>
  </si>
  <si>
    <t>MIGUEL EDGAR ALFONSO</t>
  </si>
  <si>
    <t>ABEL FRANCISCO VALBUENA</t>
  </si>
  <si>
    <t>CESAR GOMEZ</t>
  </si>
  <si>
    <t>LUIS MAYORGA AGUIRRE</t>
  </si>
  <si>
    <t>CONSORCIO PLAN VIAL CHOCO 2005</t>
  </si>
  <si>
    <t>VARGAS VELANDIA LTDA</t>
  </si>
  <si>
    <t>NACIONAL DE PAVIMENTOS LTDA</t>
  </si>
  <si>
    <t>JAIME VARGAS GALINDO</t>
  </si>
  <si>
    <t>VINDICO S.A.</t>
  </si>
  <si>
    <t>OBSERVACIONES:</t>
  </si>
  <si>
    <t xml:space="preserve">CONSORCIO LAS ANIMAS #1,,se subsana integrante 1,2porque no conciliacines  </t>
  </si>
  <si>
    <t>Modulo</t>
  </si>
  <si>
    <t>PO (Presupuesto)</t>
  </si>
  <si>
    <t>N</t>
  </si>
  <si>
    <t>Anticipo</t>
  </si>
  <si>
    <t>SMMLV 2024</t>
  </si>
  <si>
    <t>Capital de Trabajo Demandado</t>
  </si>
  <si>
    <t>% Requerido Patrimonio</t>
  </si>
  <si>
    <t>EXPERIENCIA</t>
  </si>
  <si>
    <t>CAPACIDAD TÉCNICA</t>
  </si>
  <si>
    <t>Mayor a</t>
  </si>
  <si>
    <t>Menor o Igual a</t>
  </si>
  <si>
    <t>Puntaje</t>
  </si>
  <si>
    <t>Desde</t>
  </si>
  <si>
    <t>Hasta</t>
  </si>
  <si>
    <t>Mayores</t>
  </si>
  <si>
    <t>CAPACIDAD FINANCIERA</t>
  </si>
  <si>
    <t>LISTADE OFERTAS</t>
  </si>
  <si>
    <t>MAYO</t>
  </si>
  <si>
    <t>Panel      Opciones</t>
  </si>
  <si>
    <t>ORDEN</t>
  </si>
  <si>
    <t>Referencia de oferta</t>
  </si>
  <si>
    <t>Entidad</t>
  </si>
  <si>
    <t>Evaluación</t>
  </si>
  <si>
    <t>Presentada</t>
  </si>
  <si>
    <t>Oferta</t>
  </si>
  <si>
    <t>Oferta en evaluación</t>
  </si>
  <si>
    <t xml:space="preserve">INSTITUTO NACIONAL DE VIAS </t>
  </si>
  <si>
    <t>DIRECCIÓN DE CONTRATACIÓN</t>
  </si>
  <si>
    <t>DIRECCIÓN TERRITORIAL BOLIVAR</t>
  </si>
  <si>
    <t>EVALUACIÓN FINANCIERA</t>
  </si>
  <si>
    <t>DATOS DEL INTERESADO</t>
  </si>
  <si>
    <t>INFORMACIÓN  FINANCIERA - RUP</t>
  </si>
  <si>
    <t>INDICE-LIQUIDEZ</t>
  </si>
  <si>
    <t>INDICE-ENDEUDAMIENTO</t>
  </si>
  <si>
    <t>RAZON DE COBERTURA DE INTERESES</t>
  </si>
  <si>
    <t>EVALUACIÓN CAPACIDAD FINANCIERA</t>
  </si>
  <si>
    <t>CALIDAD DE MIPYME</t>
  </si>
  <si>
    <t>RENTABILIDAD DEL PATRIMONIO (ROE)</t>
  </si>
  <si>
    <t>RENTABILIDAD DEL ACTIVO (ROA)</t>
  </si>
  <si>
    <t>EVALUACIÓN CAPACIDAD ORGANIZACIÓN</t>
  </si>
  <si>
    <t>OFERTA</t>
  </si>
  <si>
    <t>PROPONENTE</t>
  </si>
  <si>
    <t>PORCENTAJE DE PARTICIPACION</t>
  </si>
  <si>
    <t>ACTIVO CORRIENTE</t>
  </si>
  <si>
    <t>ACTIVO TOTAL</t>
  </si>
  <si>
    <t>PASIVO CORRIENTE</t>
  </si>
  <si>
    <t>PASIVO TOTAL</t>
  </si>
  <si>
    <t>CAPITAL DE TRABAJO
(Activo Corriente - Pasivo Corriente)</t>
  </si>
  <si>
    <t>PATRIMONIO
(Activo Total - Pasivo Total)</t>
  </si>
  <si>
    <t>PATRIMONIO ROE
(Activo Total - Pasivo Total)</t>
  </si>
  <si>
    <t>MÓDULO</t>
  </si>
  <si>
    <t>PLAZO (P)</t>
  </si>
  <si>
    <t>MODULOS ADJUDICADOS</t>
  </si>
  <si>
    <t>VALOR CAPITAL DE TRABAJO DEMANDADO MODULOS ADJUDICADOS</t>
  </si>
  <si>
    <t>VALOR PRESUPUESTO OFICIAL ANUAL(PO)</t>
  </si>
  <si>
    <t>Fórmula: Liquidez=AC/PC&gt;=0,42</t>
  </si>
  <si>
    <t>Fórmula: Endeudamiento = Pas.T/Act.Tot. &lt;= 0,70</t>
  </si>
  <si>
    <t>VALOR PATRIMONIO REQUERIDO MODULOS ADJUDICADOS</t>
  </si>
  <si>
    <t>Fórmula: Razón Cobertura Intereses = UO/GI &gt;= 1,00</t>
  </si>
  <si>
    <t>HABIL/NO HABIL</t>
  </si>
  <si>
    <t>SMMLV 2011</t>
  </si>
  <si>
    <t>Fórmula:                        ROE=UO/Pat.ROE&gt;=0,00</t>
  </si>
  <si>
    <t>Fórmula:                        ROE=UO/Act.Tot.&gt;=0,00</t>
  </si>
  <si>
    <t>UTILIDAD OPERACIONAL</t>
  </si>
  <si>
    <t>GASTOS DE INTERESES</t>
  </si>
  <si>
    <t>Req. Min. Solvencia: &gt; =</t>
  </si>
  <si>
    <t>Req. Min. Endeudamiento: &lt; =</t>
  </si>
  <si>
    <t>Req. Min. Cobertura Intereses: &gt; =</t>
  </si>
  <si>
    <t>SMMLV 2012</t>
  </si>
  <si>
    <t>Req. Min. ROE: &gt; =</t>
  </si>
  <si>
    <t>Req. Min. ROA: &gt; =</t>
  </si>
  <si>
    <t>INDICADOR</t>
  </si>
  <si>
    <t>RESULTADO</t>
  </si>
  <si>
    <t>CALIDAD DE MIPYME EN SMMLV</t>
  </si>
  <si>
    <t/>
  </si>
  <si>
    <t>INSTITUTO NACIONAL DE VIAS</t>
  </si>
  <si>
    <t>PUNTAJE POR EXPERIENCIA</t>
  </si>
  <si>
    <t>Porcentaje de Participación para este Proceso
(A)</t>
  </si>
  <si>
    <t xml:space="preserve">VALOR TOTAL DE LOS CONTRATOS EJECUTADOS
</t>
  </si>
  <si>
    <t>VALOR TOTAL DE LOS CONTRATOS EJECUTADOS EN SMMLV
(B)</t>
  </si>
  <si>
    <t>PRESUPUESTO OFICIAL ESTIMADO (POE) EN SMMLV
(C)</t>
  </si>
  <si>
    <t>RESULTADO   
B / (C * A)</t>
  </si>
  <si>
    <t>Rangos:
Mayor a 0 y Menor o Igual a 3 = 60 Puntos 
Mayor a 3 y Menor o Igual a 6 = 80 Puntos
Mayor a 6 y Menor o Igual a 10 = 100 Puntos
Mayor a 10 y Mayores = 120 Puntos</t>
  </si>
  <si>
    <t>PUNTAJE POR CAPACIDAD TÉCNICA</t>
  </si>
  <si>
    <t>PROFESIONALES VINCULADOS</t>
  </si>
  <si>
    <t>Numeros de Socios y Profesionales de la Arquitectura , Ingenierìa y Geologìa vinculados mediante relaciòn laboral o contractual en actividades relacionadas directamente a la construcciòn</t>
  </si>
  <si>
    <t>Rangos: 
Desde 1 hasta 5 = 20 Puntos
Desde 6 hasta 10 = 30 Puntos
Desde 11 hasta mayores = 40 Puntos</t>
  </si>
  <si>
    <t>PUNTAJE POR CAPACIDAD FINANCIERA</t>
  </si>
  <si>
    <t>ACTIVOS CORRIENTES
(A)</t>
  </si>
  <si>
    <t>PASIVOS CORRIENTES
(B)</t>
  </si>
  <si>
    <t xml:space="preserve">ÍNDICE DE LIQUIDEZ
(A) / (B) = (C) </t>
  </si>
  <si>
    <t>Rangos:
Mayor a 0 y Menor o Igual a 0,5 = 20 Puntos
Mayor a 0,5 y Menor o Igual a 0,75 = 25 Puntos
Mayor a 0,75 y Menor o Igual a 1,00 = 30 Puntos
Mayor a 1,00 y Menor o Igual a 1,5 = 35 Puntos
Mayor a 1,5 y Mayores =  40 Puntos</t>
  </si>
  <si>
    <t>SALDO CONTRATOS EN EJECUCIÓN</t>
  </si>
  <si>
    <t>TOTAL SALDOS CONTRATOS EN EJECUCION</t>
  </si>
  <si>
    <t>CAPACIDAD DE ORGANIZACIÓN</t>
  </si>
  <si>
    <t>CAPACIDAD DE ORGANIZACIÓN (En Pesos)</t>
  </si>
  <si>
    <t xml:space="preserve">Fórmula: 
Cinco (5) años o más: Mayor Ingreso Operacional de los ultimos 5 años 
Entre uno (1) y cinco (5) años: Mayor Ingreso Operacional de los años de vida del Oferente
Menos de un (1) año: USD $ 125.000 </t>
  </si>
  <si>
    <t>CAPACIDAD RESIDUAL</t>
  </si>
  <si>
    <t>Porcentaje de Participación para este Proceso</t>
  </si>
  <si>
    <t>PRESUPUESTO OFICIAL ESTIMADO (POE)</t>
  </si>
  <si>
    <t>PLAZO</t>
  </si>
  <si>
    <t>CAPACIDAD RESIDUAL DEL PROCESO DE CONTRATACION</t>
  </si>
  <si>
    <t xml:space="preserve">CAPACIDAD DE ORGANIZACIÓN </t>
  </si>
  <si>
    <t xml:space="preserve">EXPERIENCIA         </t>
  </si>
  <si>
    <t>SALDOS CONTRATOS EN EJECUCIÓN</t>
  </si>
  <si>
    <t>CAPACIDAD RESIDUAL DEL PROPONENTE</t>
  </si>
  <si>
    <t xml:space="preserve">CAPACIDAD RESIDUAL DE CONTRATACIÓN </t>
  </si>
  <si>
    <t>(%)</t>
  </si>
  <si>
    <t>En Pesos Colombianos</t>
  </si>
  <si>
    <t>Formula: Si el plazo es menor a 12 meses (POE - Anticipo), si el plazo es mayor a 12 meses [(POE- Anticipo)/Plazo]x12</t>
  </si>
  <si>
    <t>En Pesos</t>
  </si>
  <si>
    <r>
      <t xml:space="preserve">Formula: CO * </t>
    </r>
    <r>
      <rPr>
        <b/>
        <sz val="8"/>
        <rFont val="Calibri"/>
        <family val="2"/>
      </rPr>
      <t>[(E+CT+CF)/100] - SCE</t>
    </r>
  </si>
  <si>
    <t>HABIL  / NO HABIL</t>
  </si>
  <si>
    <t>ANEXO 1 - ADENDO 4 - DG-164-2004</t>
  </si>
  <si>
    <t>NUMERO DE GRUPO</t>
  </si>
  <si>
    <t>TOTAL GRUPO DE TRAMOS</t>
  </si>
  <si>
    <t>Tramo 01</t>
  </si>
  <si>
    <t>Tramo 02</t>
  </si>
  <si>
    <t>Tramo 03</t>
  </si>
  <si>
    <t>Tramo 04</t>
  </si>
  <si>
    <t>Tramo 05</t>
  </si>
  <si>
    <t>Tramo 06</t>
  </si>
  <si>
    <t>Tramo 07</t>
  </si>
  <si>
    <t>Tramo 08</t>
  </si>
  <si>
    <t>Tramo 09</t>
  </si>
  <si>
    <t>Tramo 10</t>
  </si>
  <si>
    <t>Tramo 11</t>
  </si>
  <si>
    <t>Tramo 12</t>
  </si>
  <si>
    <t>Tramo 13</t>
  </si>
  <si>
    <t>Tramo 14</t>
  </si>
  <si>
    <t>Tramo 15</t>
  </si>
  <si>
    <t>Tramo 16</t>
  </si>
  <si>
    <t>Tramo 17</t>
  </si>
  <si>
    <t>Tramo 18</t>
  </si>
  <si>
    <t>Tramo 19</t>
  </si>
  <si>
    <t>Tramo 20</t>
  </si>
  <si>
    <t>Tramo 21</t>
  </si>
  <si>
    <t>Tramo 22</t>
  </si>
  <si>
    <t>Tramo 23</t>
  </si>
  <si>
    <t>Tramo 24</t>
  </si>
  <si>
    <t>Tramo 25</t>
  </si>
  <si>
    <t>Tramo 26</t>
  </si>
  <si>
    <t>Tramo 27</t>
  </si>
  <si>
    <t>Tramo 29</t>
  </si>
  <si>
    <t>Tramo 30</t>
  </si>
  <si>
    <t>Tramo 31</t>
  </si>
  <si>
    <t>Tramo 32</t>
  </si>
  <si>
    <t>Tramo 33</t>
  </si>
  <si>
    <t>Tramo 35</t>
  </si>
  <si>
    <t>Tramo 36</t>
  </si>
  <si>
    <t>Tramo 37</t>
  </si>
  <si>
    <t>Tramo 38</t>
  </si>
  <si>
    <t>Tramo 39</t>
  </si>
  <si>
    <t>Tramo 40</t>
  </si>
  <si>
    <t>Tramo 41</t>
  </si>
  <si>
    <t>Tramo 42</t>
  </si>
  <si>
    <t>Tramo 43</t>
  </si>
  <si>
    <t>Tramo 44</t>
  </si>
  <si>
    <t>Tramo 45</t>
  </si>
  <si>
    <t>Tramo 46</t>
  </si>
  <si>
    <t>Tramo 47</t>
  </si>
  <si>
    <t>Tramo 48</t>
  </si>
  <si>
    <t>Tramo 49</t>
  </si>
  <si>
    <t>Tramo 50</t>
  </si>
  <si>
    <t>Tramo 51</t>
  </si>
  <si>
    <t>Tramo 52</t>
  </si>
  <si>
    <t>Tramo 53</t>
  </si>
  <si>
    <t>Tramo 54</t>
  </si>
  <si>
    <t>Tramo 55</t>
  </si>
  <si>
    <t>Tramo 56</t>
  </si>
  <si>
    <t>Tramo 57</t>
  </si>
  <si>
    <t>Tramo 59</t>
  </si>
  <si>
    <t>Tramo 60</t>
  </si>
  <si>
    <t>Tramo 61</t>
  </si>
  <si>
    <t>Tramo 62</t>
  </si>
  <si>
    <t>Tramo 63</t>
  </si>
  <si>
    <t>Tramo 64</t>
  </si>
  <si>
    <t>Tramo 65</t>
  </si>
  <si>
    <t>Tramo 66</t>
  </si>
  <si>
    <t>Tramo 67</t>
  </si>
  <si>
    <t>Tramo 68</t>
  </si>
  <si>
    <t>Tramo 69</t>
  </si>
  <si>
    <t>Tramo 70</t>
  </si>
  <si>
    <t>Tramo 71</t>
  </si>
  <si>
    <t>Tramo 72</t>
  </si>
  <si>
    <t>Tramo 73</t>
  </si>
  <si>
    <t>Tramo 74</t>
  </si>
  <si>
    <t>Tramo 75</t>
  </si>
  <si>
    <t>Tramo 76</t>
  </si>
  <si>
    <t>Tramo 77</t>
  </si>
  <si>
    <t>Tramo 78</t>
  </si>
  <si>
    <t>Tramo 79</t>
  </si>
  <si>
    <t>Tramo 81</t>
  </si>
  <si>
    <t>Tramo 82</t>
  </si>
  <si>
    <t>Tramo 83</t>
  </si>
  <si>
    <t>Tramo 84</t>
  </si>
  <si>
    <t>Tramo 85</t>
  </si>
  <si>
    <t>Tramo 86</t>
  </si>
  <si>
    <t>Tramo 87</t>
  </si>
  <si>
    <t>Tramo 88</t>
  </si>
  <si>
    <t>Tramo 89</t>
  </si>
  <si>
    <t>Tramo 90</t>
  </si>
  <si>
    <t>Tramo 91</t>
  </si>
  <si>
    <t>Tramo 92</t>
  </si>
  <si>
    <t>Tramo 93</t>
  </si>
  <si>
    <t>Tramo 94</t>
  </si>
  <si>
    <t>Tramo 95</t>
  </si>
  <si>
    <t>Tramo 96</t>
  </si>
  <si>
    <t>Tramo 97</t>
  </si>
  <si>
    <t>Tramo 98</t>
  </si>
  <si>
    <t>Tramo 99</t>
  </si>
  <si>
    <t>Tramo 100</t>
  </si>
  <si>
    <t>CONSTRUCCIONES HERCAR SAS</t>
  </si>
  <si>
    <t>OFERTA HERCAR INTERVENTORIA SAN JACINTO</t>
  </si>
  <si>
    <t>69.967.240 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</si>
</sst>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  <numFmt numFmtId="165" formatCode="_(* #,##0.00_);_(* \(#,##0.00\);_(* &quot;-&quot;??_);_(@_)"/>
    <numFmt numFmtId="166" formatCode="_(&quot;$&quot;\ * #,##0.00_);_(&quot;$&quot;\ * \(#,##0.00\);_(&quot;$&quot;\ * &quot;-&quot;??_);_(@_)"/>
    <numFmt numFmtId="167" formatCode="_ * #,##0_ ;_ * \-#,##0_ ;_ * &quot;-&quot;_ ;_ @_ "/>
    <numFmt numFmtId="168" formatCode="_ &quot;$&quot;\ * #,##0.00_ ;_ &quot;$&quot;\ * \-#,##0.00_ ;_ &quot;$&quot;\ * &quot;-&quot;??_ ;_ @_ "/>
    <numFmt numFmtId="169" formatCode="_ * #,##0.00_ ;_ * \-#,##0.00_ ;_ * &quot;-&quot;??_ ;_ @_ "/>
    <numFmt numFmtId="170" formatCode="0.0"/>
    <numFmt numFmtId="171" formatCode="_ * #,##0_ ;_ * \-#,##0_ ;_ * &quot;-&quot;??_ ;_ @_ "/>
    <numFmt numFmtId="172" formatCode="0.0%"/>
    <numFmt numFmtId="173" formatCode="#,##0.0"/>
    <numFmt numFmtId="174" formatCode="_-* #,##0.000_-;\-* #,##0.000_-;_-* &quot;-&quot;_-;_-@_-"/>
  </numFmts>
  <fonts count="4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sz val="8"/>
      <color indexed="9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9"/>
      <color indexed="63"/>
      <name val="Arial"/>
      <family val="2"/>
    </font>
    <font>
      <b/>
      <sz val="8"/>
      <name val="Arial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9"/>
      <name val="Arial Narrow"/>
      <family val="2"/>
    </font>
    <font>
      <b/>
      <sz val="9"/>
      <color indexed="12"/>
      <name val="Arial"/>
      <family val="2"/>
    </font>
    <font>
      <sz val="8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2"/>
      <color theme="1"/>
      <name val="Calibri"/>
      <family val="2"/>
    </font>
    <font>
      <b/>
      <sz val="8"/>
      <name val="Calibri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sz val="14"/>
      <name val="Arial"/>
      <family val="2"/>
    </font>
    <font>
      <sz val="8"/>
      <name val="Tahoma"/>
      <family val="2"/>
    </font>
    <font>
      <sz val="10"/>
      <name val="Arial"/>
      <family val="2"/>
    </font>
    <font>
      <b/>
      <sz val="14"/>
      <name val="Arial Narrow"/>
      <family val="2"/>
    </font>
    <font>
      <sz val="14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6">
    <xf numFmtId="0" fontId="0" fillId="0" borderId="0"/>
    <xf numFmtId="169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6" fillId="0" borderId="0"/>
    <xf numFmtId="0" fontId="6" fillId="0" borderId="0"/>
    <xf numFmtId="0" fontId="4" fillId="0" borderId="0"/>
    <xf numFmtId="9" fontId="4" fillId="0" borderId="0" applyFont="0" applyFill="0" applyBorder="0" applyAlignment="0" applyProtection="0"/>
    <xf numFmtId="0" fontId="4" fillId="0" borderId="0"/>
    <xf numFmtId="0" fontId="29" fillId="0" borderId="0"/>
    <xf numFmtId="166" fontId="4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9" fontId="35" fillId="0" borderId="0" applyFont="0" applyFill="0" applyBorder="0" applyAlignment="0" applyProtection="0"/>
    <xf numFmtId="0" fontId="4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9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4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4" fillId="0" borderId="0" applyFont="0" applyFill="0" applyBorder="0" applyAlignment="0" applyProtection="0"/>
    <xf numFmtId="41" fontId="36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385">
    <xf numFmtId="0" fontId="0" fillId="0" borderId="0" xfId="0"/>
    <xf numFmtId="0" fontId="5" fillId="0" borderId="1" xfId="0" applyFont="1" applyBorder="1"/>
    <xf numFmtId="0" fontId="5" fillId="0" borderId="5" xfId="0" quotePrefix="1" applyFont="1" applyBorder="1" applyAlignment="1">
      <alignment horizontal="left"/>
    </xf>
    <xf numFmtId="0" fontId="5" fillId="0" borderId="1" xfId="0" applyFont="1" applyBorder="1" applyAlignment="1">
      <alignment horizontal="centerContinuous"/>
    </xf>
    <xf numFmtId="0" fontId="5" fillId="0" borderId="1" xfId="0" applyFont="1" applyBorder="1" applyAlignment="1">
      <alignment horizontal="center" vertical="center"/>
    </xf>
    <xf numFmtId="0" fontId="8" fillId="0" borderId="0" xfId="0" applyFont="1"/>
    <xf numFmtId="0" fontId="4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3" fontId="13" fillId="0" borderId="6" xfId="0" applyNumberFormat="1" applyFont="1" applyBorder="1" applyAlignment="1">
      <alignment vertical="center" wrapText="1"/>
    </xf>
    <xf numFmtId="0" fontId="0" fillId="0" borderId="0" xfId="0" applyAlignment="1">
      <alignment wrapText="1"/>
    </xf>
    <xf numFmtId="172" fontId="0" fillId="0" borderId="0" xfId="6" applyNumberFormat="1" applyFont="1"/>
    <xf numFmtId="3" fontId="0" fillId="0" borderId="0" xfId="0" applyNumberFormat="1"/>
    <xf numFmtId="0" fontId="0" fillId="0" borderId="1" xfId="0" applyBorder="1"/>
    <xf numFmtId="0" fontId="0" fillId="0" borderId="7" xfId="0" applyBorder="1"/>
    <xf numFmtId="0" fontId="0" fillId="0" borderId="4" xfId="0" applyBorder="1"/>
    <xf numFmtId="0" fontId="0" fillId="0" borderId="8" xfId="0" applyBorder="1"/>
    <xf numFmtId="0" fontId="0" fillId="0" borderId="9" xfId="0" applyBorder="1" applyProtection="1">
      <protection locked="0"/>
    </xf>
    <xf numFmtId="0" fontId="5" fillId="3" borderId="10" xfId="0" applyFont="1" applyFill="1" applyBorder="1" applyAlignment="1">
      <alignment horizontal="center" wrapText="1"/>
    </xf>
    <xf numFmtId="0" fontId="5" fillId="3" borderId="11" xfId="0" applyFont="1" applyFill="1" applyBorder="1" applyAlignment="1">
      <alignment horizontal="center" wrapText="1"/>
    </xf>
    <xf numFmtId="0" fontId="5" fillId="3" borderId="12" xfId="0" applyFont="1" applyFill="1" applyBorder="1" applyAlignment="1">
      <alignment horizontal="center" wrapText="1"/>
    </xf>
    <xf numFmtId="0" fontId="5" fillId="3" borderId="3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15" fillId="0" borderId="0" xfId="0" applyFont="1"/>
    <xf numFmtId="9" fontId="15" fillId="0" borderId="1" xfId="6" applyFont="1" applyFill="1" applyBorder="1"/>
    <xf numFmtId="0" fontId="15" fillId="0" borderId="1" xfId="0" applyFont="1" applyBorder="1" applyAlignment="1">
      <alignment horizontal="center"/>
    </xf>
    <xf numFmtId="3" fontId="15" fillId="0" borderId="1" xfId="0" applyNumberFormat="1" applyFont="1" applyBorder="1" applyAlignment="1">
      <alignment horizontal="center"/>
    </xf>
    <xf numFmtId="9" fontId="15" fillId="0" borderId="1" xfId="6" applyFont="1" applyFill="1" applyBorder="1" applyAlignment="1">
      <alignment horizontal="center"/>
    </xf>
    <xf numFmtId="0" fontId="15" fillId="0" borderId="1" xfId="0" applyFont="1" applyBorder="1" applyAlignment="1">
      <alignment horizontal="right"/>
    </xf>
    <xf numFmtId="0" fontId="15" fillId="0" borderId="1" xfId="0" applyFont="1" applyBorder="1"/>
    <xf numFmtId="1" fontId="7" fillId="0" borderId="13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0" fontId="0" fillId="0" borderId="14" xfId="0" applyBorder="1" applyProtection="1">
      <protection locked="0"/>
    </xf>
    <xf numFmtId="0" fontId="0" fillId="0" borderId="14" xfId="0" applyBorder="1"/>
    <xf numFmtId="172" fontId="0" fillId="0" borderId="14" xfId="6" applyNumberFormat="1" applyFont="1" applyBorder="1"/>
    <xf numFmtId="172" fontId="0" fillId="0" borderId="15" xfId="6" applyNumberFormat="1" applyFont="1" applyBorder="1"/>
    <xf numFmtId="172" fontId="0" fillId="0" borderId="16" xfId="6" applyNumberFormat="1" applyFont="1" applyBorder="1"/>
    <xf numFmtId="171" fontId="15" fillId="0" borderId="11" xfId="1" applyNumberFormat="1" applyFont="1" applyBorder="1" applyProtection="1">
      <protection locked="0"/>
    </xf>
    <xf numFmtId="171" fontId="15" fillId="0" borderId="11" xfId="1" applyNumberFormat="1" applyFont="1" applyBorder="1"/>
    <xf numFmtId="172" fontId="0" fillId="0" borderId="11" xfId="6" applyNumberFormat="1" applyFont="1" applyBorder="1"/>
    <xf numFmtId="172" fontId="0" fillId="0" borderId="12" xfId="6" applyNumberFormat="1" applyFont="1" applyBorder="1"/>
    <xf numFmtId="0" fontId="0" fillId="0" borderId="0" xfId="0" applyProtection="1">
      <protection locked="0"/>
    </xf>
    <xf numFmtId="0" fontId="16" fillId="0" borderId="11" xfId="5" applyFont="1" applyBorder="1" applyAlignment="1">
      <alignment horizontal="left" indent="1"/>
    </xf>
    <xf numFmtId="1" fontId="7" fillId="0" borderId="10" xfId="0" applyNumberFormat="1" applyFont="1" applyBorder="1" applyAlignment="1">
      <alignment horizontal="center" vertical="center"/>
    </xf>
    <xf numFmtId="171" fontId="0" fillId="0" borderId="14" xfId="1" applyNumberFormat="1" applyFont="1" applyBorder="1" applyProtection="1">
      <protection locked="0"/>
    </xf>
    <xf numFmtId="170" fontId="14" fillId="0" borderId="11" xfId="0" applyNumberFormat="1" applyFont="1" applyBorder="1" applyAlignment="1">
      <alignment horizontal="center" vertical="center"/>
    </xf>
    <xf numFmtId="0" fontId="17" fillId="0" borderId="14" xfId="5" applyFont="1" applyBorder="1" applyAlignment="1">
      <alignment horizontal="left"/>
    </xf>
    <xf numFmtId="4" fontId="21" fillId="3" borderId="14" xfId="3" applyNumberFormat="1" applyFont="1" applyFill="1" applyBorder="1" applyAlignment="1">
      <alignment horizontal="center" vertical="center" wrapText="1"/>
    </xf>
    <xf numFmtId="0" fontId="21" fillId="3" borderId="14" xfId="3" applyFont="1" applyFill="1" applyBorder="1" applyAlignment="1">
      <alignment horizontal="center" vertical="center" wrapText="1"/>
    </xf>
    <xf numFmtId="0" fontId="21" fillId="6" borderId="14" xfId="3" applyFont="1" applyFill="1" applyBorder="1" applyAlignment="1">
      <alignment horizontal="center" vertical="center" wrapText="1"/>
    </xf>
    <xf numFmtId="0" fontId="21" fillId="3" borderId="40" xfId="3" applyFont="1" applyFill="1" applyBorder="1" applyAlignment="1">
      <alignment horizontal="center" vertical="center" wrapText="1"/>
    </xf>
    <xf numFmtId="0" fontId="21" fillId="6" borderId="40" xfId="3" applyFont="1" applyFill="1" applyBorder="1" applyAlignment="1">
      <alignment horizontal="center" vertical="center" wrapText="1"/>
    </xf>
    <xf numFmtId="169" fontId="28" fillId="0" borderId="43" xfId="1" applyFont="1" applyFill="1" applyBorder="1" applyAlignment="1">
      <alignment horizontal="center" vertical="center" wrapText="1"/>
    </xf>
    <xf numFmtId="167" fontId="6" fillId="5" borderId="0" xfId="0" applyNumberFormat="1" applyFont="1" applyFill="1" applyAlignment="1">
      <alignment horizont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28" fillId="5" borderId="0" xfId="0" applyFont="1" applyFill="1"/>
    <xf numFmtId="169" fontId="28" fillId="5" borderId="0" xfId="1" applyFont="1" applyFill="1" applyBorder="1"/>
    <xf numFmtId="9" fontId="28" fillId="5" borderId="0" xfId="6" applyFont="1" applyFill="1" applyBorder="1"/>
    <xf numFmtId="0" fontId="28" fillId="5" borderId="0" xfId="0" applyFont="1" applyFill="1" applyAlignment="1">
      <alignment horizontal="center" vertical="center" wrapText="1"/>
    </xf>
    <xf numFmtId="10" fontId="27" fillId="5" borderId="0" xfId="3" applyNumberFormat="1" applyFont="1" applyFill="1" applyAlignment="1">
      <alignment horizontal="center" vertical="center" wrapText="1"/>
    </xf>
    <xf numFmtId="169" fontId="27" fillId="5" borderId="0" xfId="3" applyNumberFormat="1" applyFont="1" applyFill="1" applyAlignment="1">
      <alignment horizontal="center" vertical="center" wrapText="1"/>
    </xf>
    <xf numFmtId="4" fontId="27" fillId="5" borderId="0" xfId="3" applyNumberFormat="1" applyFont="1" applyFill="1" applyAlignment="1">
      <alignment horizontal="center" vertical="center" wrapText="1"/>
    </xf>
    <xf numFmtId="171" fontId="24" fillId="5" borderId="0" xfId="1" applyNumberFormat="1" applyFont="1" applyFill="1" applyBorder="1" applyAlignment="1">
      <alignment horizontal="center" vertical="center"/>
    </xf>
    <xf numFmtId="173" fontId="27" fillId="5" borderId="0" xfId="3" applyNumberFormat="1" applyFont="1" applyFill="1" applyAlignment="1">
      <alignment horizontal="center" vertical="center" wrapText="1"/>
    </xf>
    <xf numFmtId="169" fontId="0" fillId="5" borderId="0" xfId="1" applyFont="1" applyFill="1"/>
    <xf numFmtId="9" fontId="0" fillId="5" borderId="0" xfId="6" applyFont="1" applyFill="1"/>
    <xf numFmtId="0" fontId="0" fillId="5" borderId="44" xfId="0" applyFill="1" applyBorder="1" applyAlignment="1">
      <alignment horizontal="center" vertical="center"/>
    </xf>
    <xf numFmtId="0" fontId="0" fillId="5" borderId="45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4" fillId="5" borderId="46" xfId="0" applyFont="1" applyFill="1" applyBorder="1" applyAlignment="1">
      <alignment horizontal="center" vertical="center"/>
    </xf>
    <xf numFmtId="0" fontId="0" fillId="5" borderId="47" xfId="0" applyFill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/>
    </xf>
    <xf numFmtId="2" fontId="0" fillId="5" borderId="47" xfId="0" applyNumberFormat="1" applyFill="1" applyBorder="1" applyAlignment="1">
      <alignment horizontal="center" vertical="center"/>
    </xf>
    <xf numFmtId="2" fontId="0" fillId="5" borderId="45" xfId="0" applyNumberFormat="1" applyFill="1" applyBorder="1" applyAlignment="1">
      <alignment horizontal="center" vertical="center"/>
    </xf>
    <xf numFmtId="0" fontId="5" fillId="4" borderId="32" xfId="0" applyFont="1" applyFill="1" applyBorder="1" applyAlignment="1">
      <alignment horizontal="center" vertical="center"/>
    </xf>
    <xf numFmtId="0" fontId="5" fillId="4" borderId="33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8" borderId="15" xfId="3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4" borderId="43" xfId="0" applyFont="1" applyFill="1" applyBorder="1" applyAlignment="1">
      <alignment horizontal="center" vertical="center" wrapText="1"/>
    </xf>
    <xf numFmtId="0" fontId="0" fillId="5" borderId="0" xfId="0" applyFill="1" applyAlignment="1">
      <alignment wrapText="1"/>
    </xf>
    <xf numFmtId="168" fontId="0" fillId="5" borderId="0" xfId="2" applyFont="1" applyFill="1" applyAlignment="1">
      <alignment horizontal="center" vertical="center" wrapText="1"/>
    </xf>
    <xf numFmtId="168" fontId="0" fillId="5" borderId="43" xfId="2" applyFont="1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9" fontId="0" fillId="5" borderId="0" xfId="6" applyFont="1" applyFill="1" applyAlignment="1">
      <alignment horizontal="center" vertical="center" wrapText="1"/>
    </xf>
    <xf numFmtId="169" fontId="0" fillId="5" borderId="0" xfId="1" applyFont="1" applyFill="1" applyAlignment="1">
      <alignment horizontal="center" vertical="center" wrapText="1"/>
    </xf>
    <xf numFmtId="169" fontId="0" fillId="5" borderId="43" xfId="1" applyFont="1" applyFill="1" applyBorder="1" applyAlignment="1">
      <alignment horizontal="center" vertical="center" wrapText="1"/>
    </xf>
    <xf numFmtId="169" fontId="0" fillId="5" borderId="0" xfId="1" applyFont="1" applyFill="1" applyAlignment="1">
      <alignment wrapText="1"/>
    </xf>
    <xf numFmtId="10" fontId="0" fillId="5" borderId="43" xfId="6" applyNumberFormat="1" applyFont="1" applyFill="1" applyBorder="1" applyAlignment="1">
      <alignment horizontal="center" vertical="center" wrapText="1"/>
    </xf>
    <xf numFmtId="169" fontId="27" fillId="0" borderId="43" xfId="3" applyNumberFormat="1" applyFont="1" applyBorder="1" applyAlignment="1">
      <alignment horizontal="center" vertical="center" wrapText="1"/>
    </xf>
    <xf numFmtId="41" fontId="0" fillId="5" borderId="0" xfId="6" applyNumberFormat="1" applyFont="1" applyFill="1"/>
    <xf numFmtId="3" fontId="27" fillId="0" borderId="43" xfId="1" applyNumberFormat="1" applyFont="1" applyFill="1" applyBorder="1" applyAlignment="1">
      <alignment horizontal="center" vertical="center" wrapText="1"/>
    </xf>
    <xf numFmtId="41" fontId="22" fillId="0" borderId="0" xfId="33" applyFont="1" applyAlignment="1">
      <alignment horizontal="center"/>
    </xf>
    <xf numFmtId="41" fontId="37" fillId="0" borderId="0" xfId="33" applyFont="1" applyAlignment="1">
      <alignment horizontal="center"/>
    </xf>
    <xf numFmtId="0" fontId="0" fillId="0" borderId="18" xfId="0" applyBorder="1"/>
    <xf numFmtId="0" fontId="0" fillId="0" borderId="30" xfId="0" applyBorder="1"/>
    <xf numFmtId="0" fontId="4" fillId="0" borderId="43" xfId="0" applyFont="1" applyBorder="1"/>
    <xf numFmtId="169" fontId="0" fillId="0" borderId="0" xfId="1" applyFont="1"/>
    <xf numFmtId="0" fontId="38" fillId="0" borderId="53" xfId="0" applyFont="1" applyBorder="1" applyAlignment="1">
      <alignment horizontal="center"/>
    </xf>
    <xf numFmtId="0" fontId="4" fillId="9" borderId="43" xfId="0" applyFont="1" applyFill="1" applyBorder="1"/>
    <xf numFmtId="0" fontId="4" fillId="0" borderId="0" xfId="0" applyFont="1"/>
    <xf numFmtId="0" fontId="40" fillId="0" borderId="0" xfId="0" applyFont="1"/>
    <xf numFmtId="0" fontId="40" fillId="0" borderId="43" xfId="0" applyFont="1" applyBorder="1"/>
    <xf numFmtId="0" fontId="40" fillId="0" borderId="43" xfId="0" applyFont="1" applyBorder="1" applyAlignment="1">
      <alignment wrapText="1"/>
    </xf>
    <xf numFmtId="22" fontId="40" fillId="0" borderId="43" xfId="0" applyNumberFormat="1" applyFont="1" applyBorder="1" applyAlignment="1">
      <alignment horizontal="center" vertical="center"/>
    </xf>
    <xf numFmtId="169" fontId="40" fillId="0" borderId="43" xfId="1" applyFont="1" applyFill="1" applyBorder="1" applyAlignment="1">
      <alignment horizontal="center"/>
    </xf>
    <xf numFmtId="0" fontId="39" fillId="0" borderId="0" xfId="0" applyFont="1"/>
    <xf numFmtId="0" fontId="25" fillId="0" borderId="16" xfId="0" applyFont="1" applyBorder="1" applyAlignment="1">
      <alignment horizontal="center" vertical="center" wrapText="1"/>
    </xf>
    <xf numFmtId="4" fontId="27" fillId="0" borderId="16" xfId="1" applyNumberFormat="1" applyFont="1" applyFill="1" applyBorder="1" applyAlignment="1">
      <alignment horizontal="center" vertical="center" wrapText="1"/>
    </xf>
    <xf numFmtId="169" fontId="5" fillId="0" borderId="0" xfId="1" applyFont="1" applyFill="1" applyAlignment="1">
      <alignment horizontal="center" vertical="center"/>
    </xf>
    <xf numFmtId="9" fontId="5" fillId="0" borderId="0" xfId="6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8" fillId="0" borderId="13" xfId="4" applyFont="1" applyBorder="1" applyAlignment="1">
      <alignment horizontal="center" vertical="center" wrapText="1"/>
    </xf>
    <xf numFmtId="171" fontId="27" fillId="0" borderId="43" xfId="1" applyNumberFormat="1" applyFont="1" applyFill="1" applyBorder="1" applyAlignment="1">
      <alignment horizontal="center" vertical="center" wrapText="1"/>
    </xf>
    <xf numFmtId="169" fontId="27" fillId="0" borderId="43" xfId="1" applyFont="1" applyFill="1" applyBorder="1" applyAlignment="1">
      <alignment horizontal="center" vertical="center" wrapText="1"/>
    </xf>
    <xf numFmtId="168" fontId="27" fillId="0" borderId="43" xfId="2" applyFont="1" applyFill="1" applyBorder="1" applyAlignment="1">
      <alignment horizontal="center" vertical="center" wrapText="1"/>
    </xf>
    <xf numFmtId="169" fontId="27" fillId="0" borderId="6" xfId="1" applyFont="1" applyFill="1" applyBorder="1" applyAlignment="1">
      <alignment horizontal="center" vertical="center" wrapText="1"/>
    </xf>
    <xf numFmtId="169" fontId="0" fillId="0" borderId="0" xfId="1" applyFont="1" applyFill="1"/>
    <xf numFmtId="41" fontId="0" fillId="0" borderId="0" xfId="6" applyNumberFormat="1" applyFont="1" applyFill="1"/>
    <xf numFmtId="9" fontId="0" fillId="0" borderId="0" xfId="6" applyFont="1" applyFill="1"/>
    <xf numFmtId="0" fontId="6" fillId="0" borderId="0" xfId="0" applyFont="1"/>
    <xf numFmtId="172" fontId="6" fillId="0" borderId="0" xfId="6" applyNumberFormat="1" applyFont="1" applyFill="1"/>
    <xf numFmtId="0" fontId="5" fillId="0" borderId="0" xfId="0" applyFont="1"/>
    <xf numFmtId="0" fontId="8" fillId="0" borderId="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9" xfId="0" quotePrefix="1" applyFont="1" applyBorder="1" applyAlignment="1">
      <alignment horizontal="center" vertical="center"/>
    </xf>
    <xf numFmtId="167" fontId="18" fillId="0" borderId="19" xfId="0" applyNumberFormat="1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9" fontId="18" fillId="0" borderId="5" xfId="0" applyNumberFormat="1" applyFont="1" applyBorder="1" applyAlignment="1">
      <alignment vertical="center"/>
    </xf>
    <xf numFmtId="9" fontId="18" fillId="0" borderId="1" xfId="0" applyNumberFormat="1" applyFont="1" applyBorder="1" applyAlignment="1">
      <alignment vertical="center"/>
    </xf>
    <xf numFmtId="9" fontId="18" fillId="0" borderId="1" xfId="0" applyNumberFormat="1" applyFont="1" applyBorder="1" applyAlignment="1">
      <alignment horizontal="center" vertical="center"/>
    </xf>
    <xf numFmtId="9" fontId="18" fillId="0" borderId="0" xfId="0" applyNumberFormat="1" applyFont="1" applyAlignment="1">
      <alignment vertical="center"/>
    </xf>
    <xf numFmtId="0" fontId="6" fillId="0" borderId="0" xfId="0" applyFont="1" applyAlignment="1">
      <alignment horizontal="center"/>
    </xf>
    <xf numFmtId="169" fontId="6" fillId="0" borderId="0" xfId="1" applyFont="1" applyFill="1" applyAlignment="1">
      <alignment horizontal="center"/>
    </xf>
    <xf numFmtId="167" fontId="6" fillId="0" borderId="0" xfId="0" applyNumberFormat="1" applyFont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center" vertical="center" wrapText="1"/>
    </xf>
    <xf numFmtId="10" fontId="27" fillId="0" borderId="0" xfId="3" applyNumberFormat="1" applyFont="1" applyAlignment="1">
      <alignment horizontal="center" vertical="center" wrapText="1"/>
    </xf>
    <xf numFmtId="169" fontId="27" fillId="0" borderId="0" xfId="3" applyNumberFormat="1" applyFont="1" applyAlignment="1">
      <alignment horizontal="center" vertical="center" wrapText="1"/>
    </xf>
    <xf numFmtId="171" fontId="24" fillId="0" borderId="0" xfId="1" applyNumberFormat="1" applyFont="1" applyFill="1" applyBorder="1" applyAlignment="1">
      <alignment horizontal="center" vertical="center"/>
    </xf>
    <xf numFmtId="0" fontId="27" fillId="0" borderId="13" xfId="4" applyFont="1" applyBorder="1" applyAlignment="1">
      <alignment horizontal="center" vertical="center" wrapText="1"/>
    </xf>
    <xf numFmtId="10" fontId="27" fillId="0" borderId="43" xfId="3" applyNumberFormat="1" applyFont="1" applyBorder="1" applyAlignment="1">
      <alignment horizontal="center" vertical="center" wrapText="1"/>
    </xf>
    <xf numFmtId="4" fontId="27" fillId="0" borderId="43" xfId="1" applyNumberFormat="1" applyFont="1" applyFill="1" applyBorder="1" applyAlignment="1">
      <alignment horizontal="center" vertical="center" wrapText="1"/>
    </xf>
    <xf numFmtId="0" fontId="27" fillId="0" borderId="20" xfId="4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7" fontId="6" fillId="0" borderId="0" xfId="0" applyNumberFormat="1" applyFont="1" applyAlignment="1">
      <alignment horizontal="center" vertical="center"/>
    </xf>
    <xf numFmtId="0" fontId="28" fillId="0" borderId="43" xfId="4" applyFont="1" applyBorder="1" applyAlignment="1">
      <alignment horizontal="center" vertical="center" wrapText="1"/>
    </xf>
    <xf numFmtId="169" fontId="28" fillId="0" borderId="0" xfId="1" applyFont="1" applyFill="1" applyBorder="1"/>
    <xf numFmtId="9" fontId="28" fillId="0" borderId="0" xfId="6" applyFont="1" applyFill="1" applyBorder="1"/>
    <xf numFmtId="174" fontId="27" fillId="0" borderId="16" xfId="33" applyNumberFormat="1" applyFont="1" applyFill="1" applyBorder="1" applyAlignment="1">
      <alignment horizontal="center" vertical="center" wrapText="1"/>
    </xf>
    <xf numFmtId="168" fontId="27" fillId="0" borderId="16" xfId="2" applyFont="1" applyFill="1" applyBorder="1" applyAlignment="1">
      <alignment horizontal="center" vertical="center" wrapText="1"/>
    </xf>
    <xf numFmtId="0" fontId="27" fillId="9" borderId="20" xfId="4" applyFont="1" applyFill="1" applyBorder="1" applyAlignment="1">
      <alignment horizontal="center" vertical="center" wrapText="1"/>
    </xf>
    <xf numFmtId="169" fontId="27" fillId="9" borderId="14" xfId="1" applyFont="1" applyFill="1" applyBorder="1" applyAlignment="1">
      <alignment horizontal="center" vertical="center" wrapText="1"/>
    </xf>
    <xf numFmtId="10" fontId="27" fillId="9" borderId="14" xfId="3" applyNumberFormat="1" applyFont="1" applyFill="1" applyBorder="1" applyAlignment="1">
      <alignment horizontal="center" vertical="center" wrapText="1"/>
    </xf>
    <xf numFmtId="171" fontId="27" fillId="9" borderId="14" xfId="1" applyNumberFormat="1" applyFont="1" applyFill="1" applyBorder="1" applyAlignment="1">
      <alignment horizontal="center" vertical="center" wrapText="1"/>
    </xf>
    <xf numFmtId="169" fontId="27" fillId="9" borderId="14" xfId="3" applyNumberFormat="1" applyFont="1" applyFill="1" applyBorder="1" applyAlignment="1">
      <alignment horizontal="center" vertical="center" wrapText="1"/>
    </xf>
    <xf numFmtId="0" fontId="28" fillId="9" borderId="13" xfId="4" applyFont="1" applyFill="1" applyBorder="1" applyAlignment="1">
      <alignment horizontal="center" vertical="center" wrapText="1"/>
    </xf>
    <xf numFmtId="171" fontId="27" fillId="9" borderId="43" xfId="1" applyNumberFormat="1" applyFont="1" applyFill="1" applyBorder="1" applyAlignment="1">
      <alignment horizontal="center" vertical="center" wrapText="1"/>
    </xf>
    <xf numFmtId="169" fontId="27" fillId="9" borderId="43" xfId="3" applyNumberFormat="1" applyFont="1" applyFill="1" applyBorder="1" applyAlignment="1">
      <alignment horizontal="center" vertical="center" wrapText="1"/>
    </xf>
    <xf numFmtId="169" fontId="28" fillId="9" borderId="43" xfId="1" applyFont="1" applyFill="1" applyBorder="1" applyAlignment="1">
      <alignment horizontal="center" vertical="center" wrapText="1"/>
    </xf>
    <xf numFmtId="10" fontId="27" fillId="9" borderId="43" xfId="3" applyNumberFormat="1" applyFont="1" applyFill="1" applyBorder="1" applyAlignment="1">
      <alignment horizontal="center" vertical="center" wrapText="1"/>
    </xf>
    <xf numFmtId="170" fontId="14" fillId="0" borderId="43" xfId="0" applyNumberFormat="1" applyFont="1" applyBorder="1" applyAlignment="1">
      <alignment horizontal="center" vertical="center"/>
    </xf>
    <xf numFmtId="0" fontId="16" fillId="0" borderId="43" xfId="5" applyFont="1" applyBorder="1" applyAlignment="1">
      <alignment horizontal="left" indent="1"/>
    </xf>
    <xf numFmtId="171" fontId="15" fillId="0" borderId="43" xfId="1" applyNumberFormat="1" applyFont="1" applyBorder="1" applyProtection="1">
      <protection locked="0"/>
    </xf>
    <xf numFmtId="171" fontId="15" fillId="0" borderId="43" xfId="1" applyNumberFormat="1" applyFont="1" applyBorder="1"/>
    <xf numFmtId="172" fontId="0" fillId="0" borderId="43" xfId="6" applyNumberFormat="1" applyFont="1" applyBorder="1"/>
    <xf numFmtId="0" fontId="17" fillId="0" borderId="43" xfId="5" applyFont="1" applyBorder="1" applyAlignment="1">
      <alignment horizontal="left"/>
    </xf>
    <xf numFmtId="0" fontId="4" fillId="0" borderId="1" xfId="0" applyFont="1" applyBorder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/>
    <xf numFmtId="0" fontId="4" fillId="0" borderId="4" xfId="0" applyFont="1" applyBorder="1"/>
    <xf numFmtId="9" fontId="4" fillId="0" borderId="4" xfId="6" applyFont="1" applyFill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right"/>
    </xf>
    <xf numFmtId="0" fontId="0" fillId="0" borderId="43" xfId="0" applyBorder="1" applyAlignment="1">
      <alignment horizontal="center" vertical="center" wrapText="1"/>
    </xf>
    <xf numFmtId="0" fontId="0" fillId="5" borderId="43" xfId="0" applyFill="1" applyBorder="1" applyAlignment="1">
      <alignment horizontal="center" vertical="center" wrapText="1"/>
    </xf>
    <xf numFmtId="169" fontId="4" fillId="5" borderId="43" xfId="1" applyFont="1" applyFill="1" applyBorder="1" applyAlignment="1">
      <alignment horizontal="center" vertical="center" wrapText="1"/>
    </xf>
    <xf numFmtId="172" fontId="4" fillId="0" borderId="0" xfId="6" applyNumberFormat="1" applyFont="1" applyFill="1"/>
    <xf numFmtId="0" fontId="4" fillId="0" borderId="7" xfId="0" applyFont="1" applyBorder="1"/>
    <xf numFmtId="172" fontId="4" fillId="0" borderId="0" xfId="6" applyNumberFormat="1" applyFont="1" applyFill="1" applyBorder="1"/>
    <xf numFmtId="0" fontId="4" fillId="0" borderId="9" xfId="0" applyFont="1" applyBorder="1"/>
    <xf numFmtId="43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169" fontId="4" fillId="0" borderId="0" xfId="1" applyFont="1" applyFill="1" applyAlignment="1">
      <alignment horizontal="center"/>
    </xf>
    <xf numFmtId="167" fontId="4" fillId="0" borderId="0" xfId="0" applyNumberFormat="1" applyFont="1" applyAlignment="1">
      <alignment horizontal="center"/>
    </xf>
    <xf numFmtId="4" fontId="27" fillId="0" borderId="43" xfId="1" applyNumberFormat="1" applyFont="1" applyFill="1" applyBorder="1" applyAlignment="1">
      <alignment horizontal="right" vertical="center" wrapText="1"/>
    </xf>
    <xf numFmtId="3" fontId="27" fillId="0" borderId="43" xfId="1" applyNumberFormat="1" applyFont="1" applyFill="1" applyBorder="1" applyAlignment="1">
      <alignment horizontal="right" vertical="center" wrapText="1"/>
    </xf>
    <xf numFmtId="0" fontId="9" fillId="2" borderId="43" xfId="0" applyFont="1" applyFill="1" applyBorder="1" applyAlignment="1">
      <alignment horizontal="center" vertical="center" textRotation="90" wrapText="1"/>
    </xf>
    <xf numFmtId="3" fontId="9" fillId="2" borderId="43" xfId="0" applyNumberFormat="1" applyFont="1" applyFill="1" applyBorder="1" applyAlignment="1">
      <alignment horizontal="center" vertical="center" textRotation="90" wrapText="1"/>
    </xf>
    <xf numFmtId="0" fontId="10" fillId="0" borderId="43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  <xf numFmtId="3" fontId="5" fillId="0" borderId="0" xfId="0" applyNumberFormat="1" applyFont="1" applyAlignment="1">
      <alignment vertical="center" wrapText="1"/>
    </xf>
    <xf numFmtId="171" fontId="5" fillId="0" borderId="0" xfId="1" applyNumberFormat="1" applyFont="1" applyFill="1" applyAlignment="1">
      <alignment vertical="center" wrapText="1"/>
    </xf>
    <xf numFmtId="0" fontId="21" fillId="6" borderId="42" xfId="3" applyFont="1" applyFill="1" applyBorder="1" applyAlignment="1">
      <alignment horizontal="center" vertical="center" wrapText="1"/>
    </xf>
    <xf numFmtId="0" fontId="32" fillId="0" borderId="36" xfId="0" applyFont="1" applyBorder="1"/>
    <xf numFmtId="0" fontId="32" fillId="0" borderId="43" xfId="0" applyFont="1" applyBorder="1"/>
    <xf numFmtId="169" fontId="32" fillId="0" borderId="16" xfId="1" applyFont="1" applyFill="1" applyBorder="1"/>
    <xf numFmtId="0" fontId="18" fillId="10" borderId="20" xfId="0" applyFont="1" applyFill="1" applyBorder="1" applyAlignment="1">
      <alignment horizontal="center" vertical="center" wrapText="1"/>
    </xf>
    <xf numFmtId="0" fontId="22" fillId="10" borderId="14" xfId="0" applyFont="1" applyFill="1" applyBorder="1" applyAlignment="1">
      <alignment horizontal="center" vertical="center" wrapText="1"/>
    </xf>
    <xf numFmtId="9" fontId="22" fillId="10" borderId="14" xfId="6" applyFont="1" applyFill="1" applyBorder="1" applyAlignment="1">
      <alignment horizontal="center" vertical="center" wrapText="1"/>
    </xf>
    <xf numFmtId="169" fontId="18" fillId="10" borderId="14" xfId="1" applyFont="1" applyFill="1" applyBorder="1" applyAlignment="1">
      <alignment horizontal="center" vertical="center" wrapText="1"/>
    </xf>
    <xf numFmtId="171" fontId="24" fillId="10" borderId="14" xfId="1" applyNumberFormat="1" applyFont="1" applyFill="1" applyBorder="1" applyAlignment="1">
      <alignment horizontal="center" vertical="center"/>
    </xf>
    <xf numFmtId="169" fontId="24" fillId="10" borderId="14" xfId="1" applyFont="1" applyFill="1" applyBorder="1" applyAlignment="1">
      <alignment horizontal="center" vertical="center"/>
    </xf>
    <xf numFmtId="169" fontId="5" fillId="10" borderId="14" xfId="1" applyFont="1" applyFill="1" applyBorder="1" applyAlignment="1">
      <alignment horizontal="center" vertical="center"/>
    </xf>
    <xf numFmtId="0" fontId="25" fillId="10" borderId="14" xfId="0" applyFont="1" applyFill="1" applyBorder="1" applyAlignment="1">
      <alignment horizontal="center" vertical="center" wrapText="1"/>
    </xf>
    <xf numFmtId="169" fontId="19" fillId="10" borderId="14" xfId="1" applyFont="1" applyFill="1" applyBorder="1" applyAlignment="1">
      <alignment horizontal="center" vertical="center" wrapText="1"/>
    </xf>
    <xf numFmtId="0" fontId="5" fillId="10" borderId="37" xfId="0" applyFont="1" applyFill="1" applyBorder="1"/>
    <xf numFmtId="0" fontId="7" fillId="10" borderId="15" xfId="0" applyFont="1" applyFill="1" applyBorder="1"/>
    <xf numFmtId="0" fontId="25" fillId="10" borderId="38" xfId="0" applyFont="1" applyFill="1" applyBorder="1" applyAlignment="1">
      <alignment horizontal="center" vertical="center" wrapText="1"/>
    </xf>
    <xf numFmtId="0" fontId="15" fillId="10" borderId="13" xfId="0" applyFont="1" applyFill="1" applyBorder="1" applyAlignment="1">
      <alignment horizontal="center" vertical="center" wrapText="1"/>
    </xf>
    <xf numFmtId="0" fontId="40" fillId="10" borderId="43" xfId="0" applyFont="1" applyFill="1" applyBorder="1" applyAlignment="1">
      <alignment wrapText="1"/>
    </xf>
    <xf numFmtId="9" fontId="23" fillId="10" borderId="43" xfId="6" applyFont="1" applyFill="1" applyBorder="1" applyAlignment="1">
      <alignment horizontal="center" vertical="center" wrapText="1"/>
    </xf>
    <xf numFmtId="169" fontId="15" fillId="10" borderId="43" xfId="1" applyFont="1" applyFill="1" applyBorder="1" applyAlignment="1">
      <alignment horizontal="center" vertical="center" wrapText="1"/>
    </xf>
    <xf numFmtId="171" fontId="24" fillId="10" borderId="22" xfId="1" applyNumberFormat="1" applyFont="1" applyFill="1" applyBorder="1" applyAlignment="1">
      <alignment horizontal="center" vertical="center"/>
    </xf>
    <xf numFmtId="169" fontId="24" fillId="10" borderId="22" xfId="1" applyFont="1" applyFill="1" applyBorder="1" applyAlignment="1">
      <alignment horizontal="center" vertical="center"/>
    </xf>
    <xf numFmtId="167" fontId="24" fillId="10" borderId="43" xfId="1" applyNumberFormat="1" applyFont="1" applyFill="1" applyBorder="1" applyAlignment="1">
      <alignment horizontal="center" vertical="center" wrapText="1"/>
    </xf>
    <xf numFmtId="169" fontId="5" fillId="10" borderId="43" xfId="1" applyFont="1" applyFill="1" applyBorder="1" applyAlignment="1">
      <alignment horizontal="center" vertical="center"/>
    </xf>
    <xf numFmtId="169" fontId="18" fillId="10" borderId="43" xfId="1" applyFont="1" applyFill="1" applyBorder="1" applyAlignment="1">
      <alignment horizontal="center" vertical="center" wrapText="1"/>
    </xf>
    <xf numFmtId="0" fontId="25" fillId="10" borderId="43" xfId="0" applyFont="1" applyFill="1" applyBorder="1" applyAlignment="1">
      <alignment horizontal="center" vertical="center" wrapText="1"/>
    </xf>
    <xf numFmtId="172" fontId="19" fillId="10" borderId="43" xfId="6" applyNumberFormat="1" applyFont="1" applyFill="1" applyBorder="1" applyAlignment="1">
      <alignment horizontal="center" vertical="center" wrapText="1"/>
    </xf>
    <xf numFmtId="169" fontId="5" fillId="10" borderId="36" xfId="1" applyFont="1" applyFill="1" applyBorder="1"/>
    <xf numFmtId="0" fontId="7" fillId="10" borderId="16" xfId="0" applyFont="1" applyFill="1" applyBorder="1"/>
    <xf numFmtId="172" fontId="24" fillId="10" borderId="43" xfId="6" applyNumberFormat="1" applyFont="1" applyFill="1" applyBorder="1" applyAlignment="1">
      <alignment horizontal="center" vertical="center" wrapText="1"/>
    </xf>
    <xf numFmtId="0" fontId="25" fillId="10" borderId="26" xfId="0" applyFont="1" applyFill="1" applyBorder="1" applyAlignment="1">
      <alignment horizontal="center" vertical="center" wrapText="1"/>
    </xf>
    <xf numFmtId="171" fontId="24" fillId="10" borderId="43" xfId="1" applyNumberFormat="1" applyFont="1" applyFill="1" applyBorder="1" applyAlignment="1">
      <alignment horizontal="center" vertical="center"/>
    </xf>
    <xf numFmtId="0" fontId="25" fillId="10" borderId="16" xfId="0" applyFont="1" applyFill="1" applyBorder="1" applyAlignment="1">
      <alignment horizontal="center" vertical="center" wrapText="1"/>
    </xf>
    <xf numFmtId="169" fontId="18" fillId="6" borderId="9" xfId="1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vertical="center" wrapText="1"/>
    </xf>
    <xf numFmtId="168" fontId="18" fillId="6" borderId="16" xfId="2" applyFont="1" applyFill="1" applyBorder="1" applyAlignment="1">
      <alignment vertical="center" wrapText="1"/>
    </xf>
    <xf numFmtId="0" fontId="18" fillId="6" borderId="3" xfId="0" quotePrefix="1" applyFont="1" applyFill="1" applyBorder="1" applyAlignment="1">
      <alignment horizontal="left" vertical="center" wrapText="1"/>
    </xf>
    <xf numFmtId="169" fontId="21" fillId="6" borderId="8" xfId="1" applyFont="1" applyFill="1" applyBorder="1" applyAlignment="1">
      <alignment horizontal="center" vertical="center"/>
    </xf>
    <xf numFmtId="0" fontId="18" fillId="6" borderId="10" xfId="0" applyFont="1" applyFill="1" applyBorder="1" applyAlignment="1">
      <alignment vertical="center" wrapText="1"/>
    </xf>
    <xf numFmtId="168" fontId="18" fillId="6" borderId="12" xfId="2" applyFont="1" applyFill="1" applyBorder="1" applyAlignment="1">
      <alignment vertical="center" wrapText="1"/>
    </xf>
    <xf numFmtId="172" fontId="18" fillId="6" borderId="3" xfId="6" quotePrefix="1" applyNumberFormat="1" applyFont="1" applyFill="1" applyBorder="1" applyAlignment="1">
      <alignment horizontal="left" vertical="center" wrapText="1"/>
    </xf>
    <xf numFmtId="4" fontId="21" fillId="6" borderId="8" xfId="6" applyNumberFormat="1" applyFont="1" applyFill="1" applyBorder="1" applyAlignment="1">
      <alignment horizontal="center" vertical="center"/>
    </xf>
    <xf numFmtId="0" fontId="18" fillId="6" borderId="18" xfId="0" applyFont="1" applyFill="1" applyBorder="1" applyAlignment="1">
      <alignment horizontal="center" vertical="center"/>
    </xf>
    <xf numFmtId="0" fontId="18" fillId="6" borderId="7" xfId="0" applyFont="1" applyFill="1" applyBorder="1" applyAlignment="1">
      <alignment horizontal="center" vertical="center"/>
    </xf>
    <xf numFmtId="0" fontId="18" fillId="6" borderId="25" xfId="0" applyFont="1" applyFill="1" applyBorder="1" applyAlignment="1">
      <alignment vertical="center" wrapText="1"/>
    </xf>
    <xf numFmtId="168" fontId="18" fillId="6" borderId="26" xfId="2" applyFont="1" applyFill="1" applyBorder="1" applyAlignment="1">
      <alignment vertical="center" wrapText="1"/>
    </xf>
    <xf numFmtId="172" fontId="18" fillId="6" borderId="17" xfId="6" applyNumberFormat="1" applyFont="1" applyFill="1" applyBorder="1" applyAlignment="1">
      <alignment horizontal="center" vertical="center"/>
    </xf>
    <xf numFmtId="0" fontId="18" fillId="6" borderId="33" xfId="0" applyFont="1" applyFill="1" applyBorder="1" applyAlignment="1">
      <alignment horizontal="center" vertical="center"/>
    </xf>
    <xf numFmtId="169" fontId="27" fillId="10" borderId="43" xfId="1" applyFont="1" applyFill="1" applyBorder="1" applyAlignment="1">
      <alignment horizontal="center" vertical="center" wrapText="1"/>
    </xf>
    <xf numFmtId="10" fontId="27" fillId="10" borderId="43" xfId="3" applyNumberFormat="1" applyFont="1" applyFill="1" applyBorder="1" applyAlignment="1">
      <alignment horizontal="center" vertical="center" wrapText="1"/>
    </xf>
    <xf numFmtId="169" fontId="27" fillId="10" borderId="43" xfId="3" applyNumberFormat="1" applyFont="1" applyFill="1" applyBorder="1" applyAlignment="1">
      <alignment horizontal="center" vertical="center" wrapText="1"/>
    </xf>
    <xf numFmtId="4" fontId="27" fillId="10" borderId="43" xfId="1" applyNumberFormat="1" applyFont="1" applyFill="1" applyBorder="1" applyAlignment="1">
      <alignment horizontal="center" vertical="center" wrapText="1"/>
    </xf>
    <xf numFmtId="4" fontId="27" fillId="10" borderId="16" xfId="1" applyNumberFormat="1" applyFont="1" applyFill="1" applyBorder="1" applyAlignment="1">
      <alignment horizontal="center" vertical="center" wrapText="1"/>
    </xf>
    <xf numFmtId="169" fontId="28" fillId="10" borderId="43" xfId="1" applyFont="1" applyFill="1" applyBorder="1" applyAlignment="1">
      <alignment horizontal="center" vertical="center" wrapText="1"/>
    </xf>
    <xf numFmtId="0" fontId="21" fillId="6" borderId="15" xfId="3" applyFont="1" applyFill="1" applyBorder="1" applyAlignment="1">
      <alignment horizontal="center" vertical="center" wrapText="1"/>
    </xf>
    <xf numFmtId="0" fontId="21" fillId="6" borderId="43" xfId="3" applyFont="1" applyFill="1" applyBorder="1" applyAlignment="1">
      <alignment horizontal="center" vertical="center" wrapText="1"/>
    </xf>
    <xf numFmtId="0" fontId="21" fillId="6" borderId="16" xfId="3" applyFont="1" applyFill="1" applyBorder="1" applyAlignment="1">
      <alignment horizontal="center" vertical="center" wrapText="1"/>
    </xf>
    <xf numFmtId="0" fontId="28" fillId="6" borderId="0" xfId="0" applyFont="1" applyFill="1" applyAlignment="1">
      <alignment horizontal="center" vertical="center" wrapText="1"/>
    </xf>
    <xf numFmtId="4" fontId="27" fillId="6" borderId="0" xfId="3" applyNumberFormat="1" applyFont="1" applyFill="1" applyAlignment="1">
      <alignment horizontal="center" vertical="center" wrapText="1"/>
    </xf>
    <xf numFmtId="171" fontId="24" fillId="6" borderId="0" xfId="1" applyNumberFormat="1" applyFont="1" applyFill="1" applyBorder="1" applyAlignment="1">
      <alignment horizontal="center" vertical="center"/>
    </xf>
    <xf numFmtId="0" fontId="21" fillId="6" borderId="39" xfId="3" applyFont="1" applyFill="1" applyBorder="1" applyAlignment="1">
      <alignment horizontal="center" vertical="center" wrapText="1"/>
    </xf>
    <xf numFmtId="0" fontId="0" fillId="6" borderId="0" xfId="0" applyFill="1"/>
    <xf numFmtId="169" fontId="27" fillId="0" borderId="14" xfId="1" applyFont="1" applyFill="1" applyBorder="1" applyAlignment="1">
      <alignment horizontal="center" vertical="center" wrapText="1"/>
    </xf>
    <xf numFmtId="3" fontId="27" fillId="0" borderId="14" xfId="1" applyNumberFormat="1" applyFont="1" applyFill="1" applyBorder="1" applyAlignment="1">
      <alignment horizontal="center" vertical="center" wrapText="1"/>
    </xf>
    <xf numFmtId="3" fontId="27" fillId="0" borderId="15" xfId="1" applyNumberFormat="1" applyFont="1" applyFill="1" applyBorder="1" applyAlignment="1">
      <alignment horizontal="center" vertical="center" wrapText="1"/>
    </xf>
    <xf numFmtId="4" fontId="27" fillId="0" borderId="14" xfId="1" applyNumberFormat="1" applyFont="1" applyFill="1" applyBorder="1" applyAlignment="1">
      <alignment horizontal="center" vertical="center" wrapText="1"/>
    </xf>
    <xf numFmtId="174" fontId="27" fillId="0" borderId="15" xfId="33" applyNumberFormat="1" applyFont="1" applyFill="1" applyBorder="1" applyAlignment="1">
      <alignment horizontal="center" vertical="center" wrapText="1"/>
    </xf>
    <xf numFmtId="169" fontId="27" fillId="0" borderId="15" xfId="1" applyFont="1" applyFill="1" applyBorder="1" applyAlignment="1">
      <alignment horizontal="center" vertical="center" wrapText="1"/>
    </xf>
    <xf numFmtId="171" fontId="27" fillId="0" borderId="14" xfId="1" applyNumberFormat="1" applyFont="1" applyFill="1" applyBorder="1" applyAlignment="1">
      <alignment horizontal="center" vertical="center" wrapText="1"/>
    </xf>
    <xf numFmtId="41" fontId="27" fillId="0" borderId="14" xfId="33" applyFont="1" applyFill="1" applyBorder="1" applyAlignment="1">
      <alignment horizontal="center" vertical="center" wrapText="1"/>
    </xf>
    <xf numFmtId="169" fontId="27" fillId="0" borderId="40" xfId="1" applyFont="1" applyFill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167" fontId="4" fillId="6" borderId="0" xfId="0" applyNumberFormat="1" applyFont="1" applyFill="1" applyAlignment="1">
      <alignment horizontal="center"/>
    </xf>
    <xf numFmtId="0" fontId="4" fillId="0" borderId="0" xfId="0" applyFont="1" applyAlignment="1" applyProtection="1">
      <alignment horizontal="left" vertical="top" wrapText="1"/>
      <protection locked="0"/>
    </xf>
    <xf numFmtId="0" fontId="0" fillId="0" borderId="0" xfId="0" applyAlignment="1">
      <alignment horizontal="left" vertical="top" wrapText="1"/>
    </xf>
    <xf numFmtId="0" fontId="5" fillId="3" borderId="27" xfId="0" applyFont="1" applyFill="1" applyBorder="1" applyAlignment="1">
      <alignment horizontal="center"/>
    </xf>
    <xf numFmtId="0" fontId="5" fillId="3" borderId="28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9" fontId="5" fillId="3" borderId="5" xfId="6" applyFont="1" applyFill="1" applyBorder="1" applyAlignment="1">
      <alignment horizontal="center" vertical="center" wrapText="1"/>
    </xf>
    <xf numFmtId="9" fontId="5" fillId="3" borderId="7" xfId="6" applyFont="1" applyFill="1" applyBorder="1" applyAlignment="1">
      <alignment horizontal="center" vertical="center" wrapText="1"/>
    </xf>
    <xf numFmtId="9" fontId="5" fillId="3" borderId="3" xfId="6" applyFont="1" applyFill="1" applyBorder="1" applyAlignment="1">
      <alignment horizontal="center" vertical="center" wrapText="1"/>
    </xf>
    <xf numFmtId="9" fontId="5" fillId="3" borderId="8" xfId="6" applyFont="1" applyFill="1" applyBorder="1" applyAlignment="1">
      <alignment horizontal="center" vertical="center" wrapText="1"/>
    </xf>
    <xf numFmtId="9" fontId="5" fillId="3" borderId="18" xfId="6" quotePrefix="1" applyFont="1" applyFill="1" applyBorder="1" applyAlignment="1">
      <alignment horizontal="center" vertical="center"/>
    </xf>
    <xf numFmtId="9" fontId="5" fillId="3" borderId="30" xfId="6" quotePrefix="1" applyFont="1" applyFill="1" applyBorder="1" applyAlignment="1">
      <alignment horizontal="center" vertical="center"/>
    </xf>
    <xf numFmtId="0" fontId="5" fillId="3" borderId="20" xfId="0" quotePrefix="1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1" fontId="7" fillId="0" borderId="20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169" fontId="0" fillId="0" borderId="38" xfId="1" applyFont="1" applyBorder="1" applyAlignment="1">
      <alignment horizontal="center"/>
    </xf>
    <xf numFmtId="169" fontId="0" fillId="0" borderId="52" xfId="1" applyFont="1" applyBorder="1" applyAlignment="1">
      <alignment horizont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167" fontId="18" fillId="6" borderId="31" xfId="0" applyNumberFormat="1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textRotation="90"/>
    </xf>
    <xf numFmtId="0" fontId="18" fillId="6" borderId="31" xfId="0" applyFont="1" applyFill="1" applyBorder="1" applyAlignment="1">
      <alignment horizontal="center" vertical="center" textRotation="90"/>
    </xf>
    <xf numFmtId="0" fontId="18" fillId="6" borderId="30" xfId="0" applyFont="1" applyFill="1" applyBorder="1" applyAlignment="1">
      <alignment horizontal="center" vertical="center" textRotation="90"/>
    </xf>
    <xf numFmtId="0" fontId="18" fillId="6" borderId="7" xfId="0" applyFont="1" applyFill="1" applyBorder="1" applyAlignment="1">
      <alignment horizontal="center" vertical="center" textRotation="90"/>
    </xf>
    <xf numFmtId="0" fontId="18" fillId="6" borderId="9" xfId="0" applyFont="1" applyFill="1" applyBorder="1" applyAlignment="1">
      <alignment horizontal="center" vertical="center" textRotation="90"/>
    </xf>
    <xf numFmtId="0" fontId="18" fillId="6" borderId="8" xfId="0" applyFont="1" applyFill="1" applyBorder="1" applyAlignment="1">
      <alignment horizontal="center" vertical="center" textRotation="90"/>
    </xf>
    <xf numFmtId="9" fontId="18" fillId="6" borderId="9" xfId="6" applyFont="1" applyFill="1" applyBorder="1" applyAlignment="1">
      <alignment horizontal="center" vertical="center" wrapText="1"/>
    </xf>
    <xf numFmtId="169" fontId="18" fillId="6" borderId="31" xfId="1" applyFont="1" applyFill="1" applyBorder="1" applyAlignment="1">
      <alignment horizontal="center" vertical="center" wrapText="1"/>
    </xf>
    <xf numFmtId="9" fontId="18" fillId="6" borderId="18" xfId="6" applyFont="1" applyFill="1" applyBorder="1" applyAlignment="1">
      <alignment horizontal="center" vertical="center" wrapText="1"/>
    </xf>
    <xf numFmtId="9" fontId="18" fillId="6" borderId="31" xfId="6" applyFont="1" applyFill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167" fontId="18" fillId="0" borderId="32" xfId="0" applyNumberFormat="1" applyFont="1" applyBorder="1" applyAlignment="1">
      <alignment horizontal="center" vertical="center" wrapText="1"/>
    </xf>
    <xf numFmtId="167" fontId="18" fillId="0" borderId="33" xfId="0" applyNumberFormat="1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1" fillId="6" borderId="18" xfId="0" applyFont="1" applyFill="1" applyBorder="1" applyAlignment="1">
      <alignment horizontal="center" vertical="center" textRotation="90" wrapText="1"/>
    </xf>
    <xf numFmtId="0" fontId="0" fillId="6" borderId="31" xfId="0" applyFill="1" applyBorder="1" applyAlignment="1">
      <alignment textRotation="90"/>
    </xf>
    <xf numFmtId="0" fontId="18" fillId="6" borderId="31" xfId="0" applyFont="1" applyFill="1" applyBorder="1" applyAlignment="1">
      <alignment horizontal="center" vertical="center" wrapText="1"/>
    </xf>
    <xf numFmtId="0" fontId="18" fillId="6" borderId="30" xfId="0" applyFont="1" applyFill="1" applyBorder="1" applyAlignment="1">
      <alignment horizontal="center" vertical="center" wrapText="1"/>
    </xf>
    <xf numFmtId="0" fontId="21" fillId="6" borderId="5" xfId="0" quotePrefix="1" applyFont="1" applyFill="1" applyBorder="1" applyAlignment="1">
      <alignment horizontal="center" vertical="center" wrapText="1"/>
    </xf>
    <xf numFmtId="0" fontId="21" fillId="6" borderId="7" xfId="0" quotePrefix="1" applyFont="1" applyFill="1" applyBorder="1" applyAlignment="1">
      <alignment horizontal="center" vertical="center" wrapText="1"/>
    </xf>
    <xf numFmtId="0" fontId="18" fillId="6" borderId="18" xfId="0" applyFont="1" applyFill="1" applyBorder="1" applyAlignment="1">
      <alignment horizontal="center" vertical="center" wrapText="1"/>
    </xf>
    <xf numFmtId="167" fontId="18" fillId="6" borderId="18" xfId="0" applyNumberFormat="1" applyFont="1" applyFill="1" applyBorder="1" applyAlignment="1">
      <alignment horizontal="center" vertical="center" wrapText="1"/>
    </xf>
    <xf numFmtId="167" fontId="18" fillId="6" borderId="30" xfId="0" applyNumberFormat="1" applyFont="1" applyFill="1" applyBorder="1" applyAlignment="1">
      <alignment horizontal="center" vertical="center" wrapText="1"/>
    </xf>
    <xf numFmtId="0" fontId="18" fillId="6" borderId="31" xfId="0" quotePrefix="1" applyFont="1" applyFill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21" fillId="6" borderId="14" xfId="3" applyFont="1" applyFill="1" applyBorder="1" applyAlignment="1">
      <alignment horizontal="center" vertical="center" wrapText="1"/>
    </xf>
    <xf numFmtId="0" fontId="21" fillId="6" borderId="15" xfId="3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1" fillId="6" borderId="20" xfId="4" applyFont="1" applyFill="1" applyBorder="1" applyAlignment="1">
      <alignment horizontal="center" vertical="center" textRotation="90" wrapText="1"/>
    </xf>
    <xf numFmtId="0" fontId="21" fillId="6" borderId="13" xfId="4" applyFont="1" applyFill="1" applyBorder="1" applyAlignment="1">
      <alignment horizontal="center" vertical="center" textRotation="90" wrapText="1"/>
    </xf>
    <xf numFmtId="9" fontId="18" fillId="6" borderId="14" xfId="6" applyFont="1" applyFill="1" applyBorder="1" applyAlignment="1">
      <alignment horizontal="center" vertical="center" wrapText="1"/>
    </xf>
    <xf numFmtId="9" fontId="18" fillId="6" borderId="43" xfId="6" applyFont="1" applyFill="1" applyBorder="1" applyAlignment="1">
      <alignment horizontal="center" vertical="center" wrapText="1"/>
    </xf>
    <xf numFmtId="4" fontId="21" fillId="6" borderId="14" xfId="3" applyNumberFormat="1" applyFont="1" applyFill="1" applyBorder="1" applyAlignment="1">
      <alignment horizontal="center" vertical="center" wrapText="1"/>
    </xf>
    <xf numFmtId="4" fontId="21" fillId="6" borderId="43" xfId="3" applyNumberFormat="1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21" fillId="6" borderId="34" xfId="4" applyFont="1" applyFill="1" applyBorder="1" applyAlignment="1">
      <alignment horizontal="center" vertical="center" textRotation="90" wrapText="1"/>
    </xf>
    <xf numFmtId="0" fontId="21" fillId="6" borderId="41" xfId="4" applyFont="1" applyFill="1" applyBorder="1" applyAlignment="1">
      <alignment horizontal="center" vertical="center" textRotation="90" wrapText="1"/>
    </xf>
    <xf numFmtId="9" fontId="18" fillId="6" borderId="21" xfId="6" applyFont="1" applyFill="1" applyBorder="1" applyAlignment="1">
      <alignment horizontal="center" vertical="center" wrapText="1"/>
    </xf>
    <xf numFmtId="9" fontId="18" fillId="6" borderId="42" xfId="6" applyFont="1" applyFill="1" applyBorder="1" applyAlignment="1">
      <alignment horizontal="center" vertical="center" wrapText="1"/>
    </xf>
    <xf numFmtId="4" fontId="21" fillId="6" borderId="21" xfId="3" applyNumberFormat="1" applyFont="1" applyFill="1" applyBorder="1" applyAlignment="1">
      <alignment horizontal="center" vertical="center" wrapText="1"/>
    </xf>
    <xf numFmtId="4" fontId="21" fillId="6" borderId="42" xfId="3" applyNumberFormat="1" applyFont="1" applyFill="1" applyBorder="1" applyAlignment="1">
      <alignment horizontal="center" vertical="center" wrapText="1"/>
    </xf>
    <xf numFmtId="0" fontId="21" fillId="6" borderId="21" xfId="3" applyFont="1" applyFill="1" applyBorder="1" applyAlignment="1">
      <alignment horizontal="center" vertical="center" wrapText="1"/>
    </xf>
    <xf numFmtId="0" fontId="21" fillId="6" borderId="42" xfId="3" applyFont="1" applyFill="1" applyBorder="1" applyAlignment="1">
      <alignment horizontal="center" vertical="center" wrapText="1"/>
    </xf>
    <xf numFmtId="0" fontId="21" fillId="6" borderId="38" xfId="3" applyFont="1" applyFill="1" applyBorder="1" applyAlignment="1">
      <alignment horizontal="center" vertical="center" wrapText="1"/>
    </xf>
    <xf numFmtId="0" fontId="21" fillId="6" borderId="39" xfId="3" applyFont="1" applyFill="1" applyBorder="1" applyAlignment="1">
      <alignment horizontal="center" vertical="center" wrapText="1"/>
    </xf>
    <xf numFmtId="0" fontId="31" fillId="6" borderId="0" xfId="0" applyFont="1" applyFill="1" applyAlignment="1">
      <alignment horizontal="center" vertical="center" wrapText="1"/>
    </xf>
    <xf numFmtId="0" fontId="34" fillId="6" borderId="0" xfId="0" applyFont="1" applyFill="1" applyAlignment="1">
      <alignment horizontal="center" vertical="center" wrapText="1"/>
    </xf>
    <xf numFmtId="0" fontId="21" fillId="3" borderId="34" xfId="4" applyFont="1" applyFill="1" applyBorder="1" applyAlignment="1">
      <alignment horizontal="center" vertical="center" textRotation="90" wrapText="1"/>
    </xf>
    <xf numFmtId="0" fontId="21" fillId="3" borderId="35" xfId="4" applyFont="1" applyFill="1" applyBorder="1" applyAlignment="1">
      <alignment horizontal="center" vertical="center" textRotation="90" wrapText="1"/>
    </xf>
    <xf numFmtId="0" fontId="21" fillId="3" borderId="41" xfId="4" applyFont="1" applyFill="1" applyBorder="1" applyAlignment="1">
      <alignment horizontal="center" vertical="center" textRotation="90" wrapText="1"/>
    </xf>
    <xf numFmtId="9" fontId="18" fillId="3" borderId="21" xfId="6" applyFont="1" applyFill="1" applyBorder="1" applyAlignment="1">
      <alignment horizontal="center" vertical="center" wrapText="1"/>
    </xf>
    <xf numFmtId="9" fontId="18" fillId="3" borderId="24" xfId="6" applyFont="1" applyFill="1" applyBorder="1" applyAlignment="1">
      <alignment horizontal="center" vertical="center" wrapText="1"/>
    </xf>
    <xf numFmtId="9" fontId="18" fillId="3" borderId="42" xfId="6" applyFont="1" applyFill="1" applyBorder="1" applyAlignment="1">
      <alignment horizontal="center" vertical="center" wrapText="1"/>
    </xf>
    <xf numFmtId="4" fontId="21" fillId="3" borderId="23" xfId="3" applyNumberFormat="1" applyFont="1" applyFill="1" applyBorder="1" applyAlignment="1">
      <alignment horizontal="center" vertical="center" wrapText="1"/>
    </xf>
    <xf numFmtId="4" fontId="21" fillId="3" borderId="42" xfId="3" applyNumberFormat="1" applyFont="1" applyFill="1" applyBorder="1" applyAlignment="1">
      <alignment horizontal="center" vertical="center" wrapText="1"/>
    </xf>
    <xf numFmtId="171" fontId="18" fillId="3" borderId="21" xfId="1" applyNumberFormat="1" applyFont="1" applyFill="1" applyBorder="1" applyAlignment="1">
      <alignment horizontal="center" vertical="center" textRotation="90"/>
    </xf>
    <xf numFmtId="171" fontId="18" fillId="3" borderId="24" xfId="1" applyNumberFormat="1" applyFont="1" applyFill="1" applyBorder="1" applyAlignment="1">
      <alignment horizontal="center" vertical="center" textRotation="90"/>
    </xf>
    <xf numFmtId="171" fontId="18" fillId="3" borderId="42" xfId="1" applyNumberFormat="1" applyFont="1" applyFill="1" applyBorder="1" applyAlignment="1">
      <alignment horizontal="center" vertical="center" textRotation="90"/>
    </xf>
    <xf numFmtId="0" fontId="18" fillId="3" borderId="21" xfId="0" applyFont="1" applyFill="1" applyBorder="1" applyAlignment="1">
      <alignment horizontal="center" vertical="center" textRotation="90" wrapText="1"/>
    </xf>
    <xf numFmtId="0" fontId="18" fillId="3" borderId="24" xfId="0" applyFont="1" applyFill="1" applyBorder="1" applyAlignment="1">
      <alignment horizontal="center" vertical="center" textRotation="90" wrapText="1"/>
    </xf>
    <xf numFmtId="0" fontId="18" fillId="3" borderId="42" xfId="0" applyFont="1" applyFill="1" applyBorder="1" applyAlignment="1">
      <alignment horizontal="center" vertical="center" textRotation="90" wrapText="1"/>
    </xf>
    <xf numFmtId="0" fontId="31" fillId="5" borderId="0" xfId="0" applyFont="1" applyFill="1" applyAlignment="1">
      <alignment horizontal="center" vertical="center" wrapText="1"/>
    </xf>
    <xf numFmtId="0" fontId="34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5" fillId="8" borderId="26" xfId="3" applyFont="1" applyFill="1" applyBorder="1" applyAlignment="1">
      <alignment horizontal="center" vertical="center" wrapText="1"/>
    </xf>
    <xf numFmtId="0" fontId="5" fillId="8" borderId="39" xfId="3" applyFont="1" applyFill="1" applyBorder="1" applyAlignment="1">
      <alignment horizontal="center" vertical="center" wrapText="1"/>
    </xf>
    <xf numFmtId="0" fontId="18" fillId="7" borderId="18" xfId="0" applyFont="1" applyFill="1" applyBorder="1" applyAlignment="1">
      <alignment horizontal="center" vertical="center" textRotation="90"/>
    </xf>
    <xf numFmtId="0" fontId="18" fillId="7" borderId="31" xfId="0" applyFont="1" applyFill="1" applyBorder="1" applyAlignment="1">
      <alignment horizontal="center" vertical="center" textRotation="90"/>
    </xf>
    <xf numFmtId="0" fontId="18" fillId="7" borderId="30" xfId="0" applyFont="1" applyFill="1" applyBorder="1" applyAlignment="1">
      <alignment horizontal="center" vertical="center" textRotation="90"/>
    </xf>
    <xf numFmtId="167" fontId="18" fillId="7" borderId="18" xfId="0" applyNumberFormat="1" applyFont="1" applyFill="1" applyBorder="1" applyAlignment="1">
      <alignment horizontal="center" vertical="center" wrapText="1"/>
    </xf>
    <xf numFmtId="167" fontId="18" fillId="7" borderId="31" xfId="0" applyNumberFormat="1" applyFont="1" applyFill="1" applyBorder="1" applyAlignment="1">
      <alignment horizontal="center" vertical="center" wrapText="1"/>
    </xf>
    <xf numFmtId="167" fontId="18" fillId="7" borderId="30" xfId="0" applyNumberFormat="1" applyFont="1" applyFill="1" applyBorder="1" applyAlignment="1">
      <alignment horizontal="center" vertical="center" wrapText="1"/>
    </xf>
    <xf numFmtId="0" fontId="21" fillId="6" borderId="23" xfId="3" applyFont="1" applyFill="1" applyBorder="1" applyAlignment="1">
      <alignment horizontal="center" vertical="center" wrapText="1"/>
    </xf>
    <xf numFmtId="0" fontId="21" fillId="3" borderId="23" xfId="3" applyFont="1" applyFill="1" applyBorder="1" applyAlignment="1">
      <alignment horizontal="center" vertical="center" wrapText="1"/>
    </xf>
    <xf numFmtId="0" fontId="21" fillId="3" borderId="42" xfId="3" applyFont="1" applyFill="1" applyBorder="1" applyAlignment="1">
      <alignment horizontal="center" vertical="center" wrapText="1"/>
    </xf>
  </cellXfs>
  <cellStyles count="36">
    <cellStyle name="Millares" xfId="1" builtinId="3"/>
    <cellStyle name="Millares [0]" xfId="33" builtinId="6"/>
    <cellStyle name="Millares 12" xfId="30" xr:uid="{00000000-0005-0000-0000-000002000000}"/>
    <cellStyle name="Millares 16 8" xfId="21" xr:uid="{00000000-0005-0000-0000-000003000000}"/>
    <cellStyle name="Millares 2" xfId="11" xr:uid="{00000000-0005-0000-0000-000004000000}"/>
    <cellStyle name="Millares 2 2" xfId="14" xr:uid="{00000000-0005-0000-0000-000005000000}"/>
    <cellStyle name="Millares 3" xfId="13" xr:uid="{00000000-0005-0000-0000-000006000000}"/>
    <cellStyle name="Millares 4" xfId="28" xr:uid="{00000000-0005-0000-0000-000007000000}"/>
    <cellStyle name="Millares 43" xfId="24" xr:uid="{00000000-0005-0000-0000-000008000000}"/>
    <cellStyle name="Millares 5" xfId="22" xr:uid="{00000000-0005-0000-0000-000009000000}"/>
    <cellStyle name="Millares 66" xfId="23" xr:uid="{00000000-0005-0000-0000-00000A000000}"/>
    <cellStyle name="Moneda" xfId="2" builtinId="4"/>
    <cellStyle name="Moneda 2" xfId="9" xr:uid="{00000000-0005-0000-0000-00000D000000}"/>
    <cellStyle name="Normal" xfId="0" builtinId="0"/>
    <cellStyle name="Normal 10" xfId="20" xr:uid="{00000000-0005-0000-0000-00000F000000}"/>
    <cellStyle name="Normal 11 45 9" xfId="27" xr:uid="{00000000-0005-0000-0000-000010000000}"/>
    <cellStyle name="Normal 12 2" xfId="26" xr:uid="{00000000-0005-0000-0000-000011000000}"/>
    <cellStyle name="Normal 2" xfId="7" xr:uid="{00000000-0005-0000-0000-000012000000}"/>
    <cellStyle name="Normal 2 2" xfId="3" xr:uid="{00000000-0005-0000-0000-000013000000}"/>
    <cellStyle name="Normal 3" xfId="4" xr:uid="{00000000-0005-0000-0000-000014000000}"/>
    <cellStyle name="Normal 4" xfId="8" xr:uid="{00000000-0005-0000-0000-000015000000}"/>
    <cellStyle name="Normal 4 3 2" xfId="16" xr:uid="{00000000-0005-0000-0000-000016000000}"/>
    <cellStyle name="Normal 5" xfId="10" xr:uid="{00000000-0005-0000-0000-000017000000}"/>
    <cellStyle name="Normal 6" xfId="34" xr:uid="{00000000-0005-0000-0000-000018000000}"/>
    <cellStyle name="Normal 68 2 2" xfId="31" xr:uid="{00000000-0005-0000-0000-000019000000}"/>
    <cellStyle name="Normal 73" xfId="18" xr:uid="{00000000-0005-0000-0000-00001A000000}"/>
    <cellStyle name="Normal_Los 100 Grupos Tramos - 4 ABR 2005" xfId="5" xr:uid="{00000000-0005-0000-0000-00001B000000}"/>
    <cellStyle name="Porcentaje" xfId="6" builtinId="5"/>
    <cellStyle name="Porcentaje 2" xfId="19" xr:uid="{00000000-0005-0000-0000-00001D000000}"/>
    <cellStyle name="Porcentaje 3" xfId="15" xr:uid="{00000000-0005-0000-0000-00001E000000}"/>
    <cellStyle name="Porcentaje 3 2 2" xfId="17" xr:uid="{00000000-0005-0000-0000-00001F000000}"/>
    <cellStyle name="Porcentaje 4" xfId="35" xr:uid="{00000000-0005-0000-0000-000020000000}"/>
    <cellStyle name="Porcentaje 8" xfId="25" xr:uid="{00000000-0005-0000-0000-000021000000}"/>
    <cellStyle name="Porcentaje 8 2" xfId="29" xr:uid="{00000000-0005-0000-0000-000022000000}"/>
    <cellStyle name="Porcentual 2" xfId="12" xr:uid="{00000000-0005-0000-0000-000023000000}"/>
    <cellStyle name="Porcentual 2 2" xfId="32" xr:uid="{00000000-0005-0000-0000-000024000000}"/>
  </cellStyles>
  <dxfs count="64"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ill>
        <patternFill>
          <bgColor theme="9" tint="-0.24994659260841701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 val="0"/>
        <i val="0"/>
        <strike val="0"/>
        <color indexed="8"/>
      </font>
      <fill>
        <patternFill>
          <bgColor indexed="22"/>
        </patternFill>
      </fill>
      <border>
        <top style="dotted">
          <color indexed="64"/>
        </top>
        <bottom style="dotted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2"/>
      </font>
      <fill>
        <patternFill>
          <bgColor indexed="44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B3:AF39"/>
  <sheetViews>
    <sheetView topLeftCell="B2" zoomScale="75" workbookViewId="0">
      <pane xSplit="3" ySplit="5" topLeftCell="M7" activePane="bottomRight" state="frozen"/>
      <selection pane="topRight" activeCell="E34" sqref="E34"/>
      <selection pane="bottomLeft" activeCell="E34" sqref="E34"/>
      <selection pane="bottomRight" activeCell="C35" sqref="C35:V38"/>
    </sheetView>
  </sheetViews>
  <sheetFormatPr baseColWidth="10" defaultColWidth="11.44140625" defaultRowHeight="13.2" x14ac:dyDescent="0.25"/>
  <cols>
    <col min="2" max="2" width="3.6640625" customWidth="1"/>
    <col min="3" max="3" width="6.88671875" customWidth="1"/>
    <col min="4" max="4" width="43" bestFit="1" customWidth="1"/>
    <col min="5" max="5" width="14.109375" bestFit="1" customWidth="1"/>
    <col min="6" max="6" width="13.88671875" bestFit="1" customWidth="1"/>
    <col min="7" max="7" width="14.109375" bestFit="1" customWidth="1"/>
    <col min="8" max="8" width="14" bestFit="1" customWidth="1"/>
    <col min="9" max="9" width="14.109375" bestFit="1" customWidth="1"/>
    <col min="10" max="11" width="13.88671875" bestFit="1" customWidth="1"/>
    <col min="12" max="12" width="14.109375" bestFit="1" customWidth="1"/>
    <col min="13" max="13" width="13.88671875" bestFit="1" customWidth="1"/>
    <col min="14" max="15" width="13.109375" bestFit="1" customWidth="1"/>
    <col min="16" max="18" width="14.109375" bestFit="1" customWidth="1"/>
    <col min="19" max="19" width="13.109375" bestFit="1" customWidth="1"/>
  </cols>
  <sheetData>
    <row r="3" spans="2:32" ht="13.8" thickBot="1" x14ac:dyDescent="0.3"/>
    <row r="4" spans="2:32" x14ac:dyDescent="0.25">
      <c r="B4" s="274" t="s">
        <v>0</v>
      </c>
      <c r="C4" s="275"/>
      <c r="D4" s="278" t="s">
        <v>1</v>
      </c>
      <c r="E4" s="280" t="s">
        <v>2</v>
      </c>
      <c r="F4" s="281"/>
      <c r="G4" s="281"/>
      <c r="H4" s="281"/>
      <c r="I4" s="281"/>
      <c r="J4" s="281"/>
      <c r="K4" s="281"/>
      <c r="L4" s="281"/>
      <c r="M4" s="281"/>
      <c r="N4" s="281"/>
      <c r="O4" s="282"/>
      <c r="P4" s="271" t="s">
        <v>3</v>
      </c>
      <c r="Q4" s="272"/>
      <c r="R4" s="272"/>
      <c r="S4" s="273"/>
      <c r="T4" s="271" t="s">
        <v>4</v>
      </c>
      <c r="U4" s="272"/>
      <c r="V4" s="272"/>
      <c r="W4" s="273"/>
    </row>
    <row r="5" spans="2:32" ht="40.200000000000003" thickBot="1" x14ac:dyDescent="0.3">
      <c r="B5" s="276"/>
      <c r="C5" s="277"/>
      <c r="D5" s="279"/>
      <c r="E5" s="17" t="s">
        <v>5</v>
      </c>
      <c r="F5" s="18" t="s">
        <v>6</v>
      </c>
      <c r="G5" s="18" t="s">
        <v>7</v>
      </c>
      <c r="H5" s="18" t="s">
        <v>8</v>
      </c>
      <c r="I5" s="18" t="s">
        <v>9</v>
      </c>
      <c r="J5" s="18" t="s">
        <v>10</v>
      </c>
      <c r="K5" s="18" t="s">
        <v>11</v>
      </c>
      <c r="L5" s="18" t="s">
        <v>12</v>
      </c>
      <c r="M5" s="18" t="s">
        <v>13</v>
      </c>
      <c r="N5" s="18" t="s">
        <v>14</v>
      </c>
      <c r="O5" s="19" t="s">
        <v>15</v>
      </c>
      <c r="P5" s="20" t="s">
        <v>16</v>
      </c>
      <c r="Q5" s="21" t="s">
        <v>11</v>
      </c>
      <c r="R5" s="21" t="s">
        <v>17</v>
      </c>
      <c r="S5" s="22" t="s">
        <v>18</v>
      </c>
      <c r="T5" s="20" t="s">
        <v>16</v>
      </c>
      <c r="U5" s="21" t="s">
        <v>11</v>
      </c>
      <c r="V5" s="21" t="s">
        <v>17</v>
      </c>
      <c r="W5" s="22" t="s">
        <v>18</v>
      </c>
      <c r="X5" s="9"/>
      <c r="Y5" s="9"/>
      <c r="Z5" s="9"/>
      <c r="AA5" s="9"/>
      <c r="AB5" s="9"/>
      <c r="AC5" s="9"/>
      <c r="AD5" s="9"/>
      <c r="AE5" s="9"/>
      <c r="AF5" s="9"/>
    </row>
    <row r="6" spans="2:32" ht="13.8" thickBot="1" x14ac:dyDescent="0.3">
      <c r="B6" s="3"/>
      <c r="C6" s="3"/>
      <c r="D6" s="4"/>
      <c r="L6" s="41"/>
      <c r="T6" s="10"/>
      <c r="U6" s="10"/>
      <c r="V6" s="10"/>
      <c r="W6" s="10"/>
    </row>
    <row r="7" spans="2:32" ht="13.8" x14ac:dyDescent="0.25">
      <c r="B7" s="283">
        <v>1</v>
      </c>
      <c r="C7" s="31"/>
      <c r="D7" s="46" t="s">
        <v>19</v>
      </c>
      <c r="E7" s="32"/>
      <c r="F7" s="32"/>
      <c r="G7" s="32"/>
      <c r="H7" s="33"/>
      <c r="I7" s="32"/>
      <c r="J7" s="32"/>
      <c r="K7" s="33"/>
      <c r="L7" s="32"/>
      <c r="M7" s="33"/>
      <c r="N7" s="44"/>
      <c r="O7" s="44"/>
      <c r="P7" s="44"/>
      <c r="Q7" s="44"/>
      <c r="R7" s="44"/>
      <c r="S7" s="44"/>
      <c r="T7" s="34"/>
      <c r="U7" s="34"/>
      <c r="V7" s="34"/>
      <c r="W7" s="35"/>
    </row>
    <row r="8" spans="2:32" ht="13.8" x14ac:dyDescent="0.25">
      <c r="B8" s="284"/>
      <c r="C8" s="164">
        <v>1.1000000000000001</v>
      </c>
      <c r="D8" s="165" t="s">
        <v>20</v>
      </c>
      <c r="E8" s="166">
        <v>661279000</v>
      </c>
      <c r="F8" s="166">
        <v>586850000</v>
      </c>
      <c r="G8" s="166"/>
      <c r="H8" s="167">
        <f>SUM(E8:G8)</f>
        <v>1248129000</v>
      </c>
      <c r="I8" s="166">
        <v>133995725</v>
      </c>
      <c r="J8" s="166">
        <v>243009275</v>
      </c>
      <c r="K8" s="167">
        <f>SUM(I8:J8)</f>
        <v>377005000</v>
      </c>
      <c r="L8" s="166">
        <f>+H8-K8</f>
        <v>871124000</v>
      </c>
      <c r="M8" s="167">
        <f>+K8+L8</f>
        <v>1248129000</v>
      </c>
      <c r="N8" s="166">
        <v>89170000</v>
      </c>
      <c r="O8" s="166">
        <v>65583000</v>
      </c>
      <c r="P8" s="166">
        <v>1248129000</v>
      </c>
      <c r="Q8" s="166">
        <v>353418000</v>
      </c>
      <c r="R8" s="166">
        <v>894711000</v>
      </c>
      <c r="S8" s="166">
        <v>93656000</v>
      </c>
      <c r="T8" s="168">
        <f>(H8-P8)/P8</f>
        <v>0</v>
      </c>
      <c r="U8" s="168">
        <f>+(K8-Q8)/Q8</f>
        <v>6.673966804180885E-2</v>
      </c>
      <c r="V8" s="168">
        <f>(L8-R8)/R8</f>
        <v>-2.6362702593351373E-2</v>
      </c>
      <c r="W8" s="36">
        <f>(O8-S8)/S8</f>
        <v>-0.29974587853421031</v>
      </c>
    </row>
    <row r="9" spans="2:32" ht="13.8" x14ac:dyDescent="0.25">
      <c r="B9" s="284"/>
      <c r="C9" s="164">
        <v>1.2</v>
      </c>
      <c r="D9" s="165" t="s">
        <v>21</v>
      </c>
      <c r="E9" s="166">
        <v>902790808</v>
      </c>
      <c r="F9" s="166">
        <v>22582416</v>
      </c>
      <c r="G9" s="166">
        <v>15532940</v>
      </c>
      <c r="H9" s="167">
        <f t="shared" ref="H9:H31" si="0">SUM(E9:G9)</f>
        <v>940906164</v>
      </c>
      <c r="I9" s="166">
        <v>69497421</v>
      </c>
      <c r="J9" s="166">
        <v>467428657</v>
      </c>
      <c r="K9" s="167">
        <f t="shared" ref="K9:K31" si="1">SUM(I9:J9)</f>
        <v>536926078</v>
      </c>
      <c r="L9" s="166">
        <v>403980086</v>
      </c>
      <c r="M9" s="167">
        <f t="shared" ref="M9:M31" si="2">+K9+L9</f>
        <v>940906164</v>
      </c>
      <c r="N9" s="166">
        <v>18766695</v>
      </c>
      <c r="O9" s="166">
        <v>20396695</v>
      </c>
      <c r="P9" s="166"/>
      <c r="Q9" s="166"/>
      <c r="R9" s="166"/>
      <c r="S9" s="166"/>
      <c r="T9" s="168" t="e">
        <f t="shared" ref="T9:T31" si="3">(H9-P9)/P9</f>
        <v>#DIV/0!</v>
      </c>
      <c r="U9" s="168" t="e">
        <f t="shared" ref="U9:U31" si="4">+(K9-Q9)/Q9</f>
        <v>#DIV/0!</v>
      </c>
      <c r="V9" s="168" t="e">
        <f t="shared" ref="V9:V31" si="5">(L9-R9)/R9</f>
        <v>#DIV/0!</v>
      </c>
      <c r="W9" s="36" t="e">
        <f t="shared" ref="W9:W31" si="6">(O9-S9)/S9</f>
        <v>#DIV/0!</v>
      </c>
    </row>
    <row r="10" spans="2:32" ht="13.8" x14ac:dyDescent="0.25">
      <c r="B10" s="284"/>
      <c r="C10" s="164">
        <v>1.3</v>
      </c>
      <c r="D10" s="165" t="s">
        <v>22</v>
      </c>
      <c r="E10" s="166">
        <v>300353422</v>
      </c>
      <c r="F10" s="166">
        <v>251940082</v>
      </c>
      <c r="G10" s="166">
        <v>69532472</v>
      </c>
      <c r="H10" s="167">
        <f t="shared" si="0"/>
        <v>621825976</v>
      </c>
      <c r="I10" s="166">
        <v>153716887</v>
      </c>
      <c r="J10" s="166">
        <v>54587444</v>
      </c>
      <c r="K10" s="167">
        <f t="shared" si="1"/>
        <v>208304331</v>
      </c>
      <c r="L10" s="166">
        <v>413521645</v>
      </c>
      <c r="M10" s="167">
        <f t="shared" si="2"/>
        <v>621825976</v>
      </c>
      <c r="N10" s="166">
        <v>16241438</v>
      </c>
      <c r="O10" s="166">
        <v>16221673</v>
      </c>
      <c r="P10" s="166">
        <v>611957000</v>
      </c>
      <c r="Q10" s="166">
        <v>208285000</v>
      </c>
      <c r="R10" s="166">
        <v>403672000</v>
      </c>
      <c r="S10" s="166">
        <v>17042000</v>
      </c>
      <c r="T10" s="168">
        <f t="shared" si="3"/>
        <v>1.6126910877725067E-2</v>
      </c>
      <c r="U10" s="168">
        <f t="shared" si="4"/>
        <v>9.2810331997023312E-5</v>
      </c>
      <c r="V10" s="168">
        <f t="shared" si="5"/>
        <v>2.4400119403872451E-2</v>
      </c>
      <c r="W10" s="36">
        <f t="shared" si="6"/>
        <v>-4.8135606149512969E-2</v>
      </c>
    </row>
    <row r="11" spans="2:32" ht="13.8" x14ac:dyDescent="0.25">
      <c r="B11" s="284"/>
      <c r="C11" s="164">
        <v>1.4</v>
      </c>
      <c r="D11" s="165" t="s">
        <v>23</v>
      </c>
      <c r="E11" s="166">
        <v>506655816</v>
      </c>
      <c r="F11" s="166">
        <v>152054516</v>
      </c>
      <c r="G11" s="166">
        <v>245059330</v>
      </c>
      <c r="H11" s="167">
        <f t="shared" si="0"/>
        <v>903769662</v>
      </c>
      <c r="I11" s="166">
        <v>137779007</v>
      </c>
      <c r="J11" s="166">
        <v>42562365</v>
      </c>
      <c r="K11" s="167">
        <f t="shared" si="1"/>
        <v>180341372</v>
      </c>
      <c r="L11" s="166">
        <v>723428291</v>
      </c>
      <c r="M11" s="167">
        <f t="shared" si="2"/>
        <v>903769663</v>
      </c>
      <c r="N11" s="166">
        <v>50395207</v>
      </c>
      <c r="O11" s="166">
        <v>42647207</v>
      </c>
      <c r="P11" s="166">
        <v>903769000</v>
      </c>
      <c r="Q11" s="166">
        <v>180341000</v>
      </c>
      <c r="R11" s="166">
        <v>723428000</v>
      </c>
      <c r="S11" s="166">
        <v>46988000</v>
      </c>
      <c r="T11" s="168">
        <f t="shared" si="3"/>
        <v>7.3248805834234188E-7</v>
      </c>
      <c r="U11" s="168">
        <f t="shared" si="4"/>
        <v>2.0627588845575881E-6</v>
      </c>
      <c r="V11" s="168">
        <f t="shared" si="5"/>
        <v>4.0225150256832744E-7</v>
      </c>
      <c r="W11" s="36">
        <f t="shared" si="6"/>
        <v>-9.2380884481144121E-2</v>
      </c>
    </row>
    <row r="12" spans="2:32" ht="13.8" x14ac:dyDescent="0.25">
      <c r="B12" s="284"/>
      <c r="C12" s="164">
        <v>1.5</v>
      </c>
      <c r="D12" s="165" t="s">
        <v>24</v>
      </c>
      <c r="E12" s="166">
        <v>378072865</v>
      </c>
      <c r="F12" s="166">
        <v>103601233</v>
      </c>
      <c r="G12" s="166">
        <v>955950</v>
      </c>
      <c r="H12" s="167">
        <f t="shared" si="0"/>
        <v>482630048</v>
      </c>
      <c r="I12" s="166">
        <v>36771662</v>
      </c>
      <c r="J12" s="166">
        <v>134085789</v>
      </c>
      <c r="K12" s="167">
        <f t="shared" si="1"/>
        <v>170857451</v>
      </c>
      <c r="L12" s="166">
        <v>311772597</v>
      </c>
      <c r="M12" s="167">
        <f t="shared" si="2"/>
        <v>482630048</v>
      </c>
      <c r="N12" s="166">
        <v>15703386</v>
      </c>
      <c r="O12" s="166">
        <v>7048986</v>
      </c>
      <c r="P12" s="166">
        <v>482631000</v>
      </c>
      <c r="Q12" s="166">
        <v>170858000</v>
      </c>
      <c r="R12" s="166">
        <v>311773000</v>
      </c>
      <c r="S12" s="166">
        <v>22479000</v>
      </c>
      <c r="T12" s="168">
        <f t="shared" si="3"/>
        <v>-1.9725214501347823E-6</v>
      </c>
      <c r="U12" s="168">
        <f t="shared" si="4"/>
        <v>-3.2131945826358732E-6</v>
      </c>
      <c r="V12" s="168">
        <f t="shared" si="5"/>
        <v>-1.2926071212067754E-6</v>
      </c>
      <c r="W12" s="36">
        <f t="shared" si="6"/>
        <v>-0.68641905778726808</v>
      </c>
    </row>
    <row r="13" spans="2:32" ht="13.8" x14ac:dyDescent="0.25">
      <c r="B13" s="284"/>
      <c r="C13" s="164">
        <v>1.6</v>
      </c>
      <c r="D13" s="165" t="s">
        <v>25</v>
      </c>
      <c r="E13" s="166">
        <v>69932426</v>
      </c>
      <c r="F13" s="166">
        <v>460250218</v>
      </c>
      <c r="G13" s="166">
        <v>107112095</v>
      </c>
      <c r="H13" s="167">
        <f t="shared" si="0"/>
        <v>637294739</v>
      </c>
      <c r="I13" s="166">
        <v>29489669</v>
      </c>
      <c r="J13" s="166">
        <v>80572256</v>
      </c>
      <c r="K13" s="167">
        <f t="shared" si="1"/>
        <v>110061925</v>
      </c>
      <c r="L13" s="166">
        <v>527232814</v>
      </c>
      <c r="M13" s="167">
        <f t="shared" si="2"/>
        <v>637294739</v>
      </c>
      <c r="N13" s="166">
        <v>8363847</v>
      </c>
      <c r="O13" s="166">
        <v>3783847</v>
      </c>
      <c r="P13" s="166">
        <v>637294000</v>
      </c>
      <c r="Q13" s="166">
        <v>110061000</v>
      </c>
      <c r="R13" s="166">
        <v>527233000</v>
      </c>
      <c r="S13" s="166">
        <v>11897000</v>
      </c>
      <c r="T13" s="168">
        <f t="shared" si="3"/>
        <v>1.1595903931309569E-6</v>
      </c>
      <c r="U13" s="168">
        <f t="shared" si="4"/>
        <v>8.4044302704863674E-6</v>
      </c>
      <c r="V13" s="168">
        <f t="shared" si="5"/>
        <v>-3.527852012298168E-7</v>
      </c>
      <c r="W13" s="36">
        <f t="shared" si="6"/>
        <v>-0.681949483062957</v>
      </c>
    </row>
    <row r="14" spans="2:32" ht="13.8" x14ac:dyDescent="0.25">
      <c r="B14" s="30">
        <v>2</v>
      </c>
      <c r="C14" s="164"/>
      <c r="D14" s="169" t="s">
        <v>26</v>
      </c>
      <c r="E14" s="166">
        <v>40069494079</v>
      </c>
      <c r="F14" s="166">
        <v>5482697057</v>
      </c>
      <c r="G14" s="166">
        <v>13667555753</v>
      </c>
      <c r="H14" s="167">
        <f t="shared" si="0"/>
        <v>59219746889</v>
      </c>
      <c r="I14" s="166">
        <v>21914617588</v>
      </c>
      <c r="J14" s="166">
        <v>7301680273</v>
      </c>
      <c r="K14" s="167">
        <f t="shared" si="1"/>
        <v>29216297861</v>
      </c>
      <c r="L14" s="166">
        <v>30003449028</v>
      </c>
      <c r="M14" s="167">
        <f t="shared" si="2"/>
        <v>59219746889</v>
      </c>
      <c r="N14" s="166">
        <v>6682012591</v>
      </c>
      <c r="O14" s="166">
        <v>6273203591</v>
      </c>
      <c r="P14" s="166">
        <v>42778874000</v>
      </c>
      <c r="Q14" s="166">
        <v>22139102000</v>
      </c>
      <c r="R14" s="166">
        <v>20639772000</v>
      </c>
      <c r="S14" s="166">
        <v>1168027000</v>
      </c>
      <c r="T14" s="168">
        <f t="shared" si="3"/>
        <v>0.3843222448772261</v>
      </c>
      <c r="U14" s="168">
        <f t="shared" si="4"/>
        <v>0.31966950877230704</v>
      </c>
      <c r="V14" s="168">
        <f t="shared" si="5"/>
        <v>0.453671534162296</v>
      </c>
      <c r="W14" s="36">
        <f t="shared" si="6"/>
        <v>4.3707693323870078</v>
      </c>
    </row>
    <row r="15" spans="2:32" ht="13.8" x14ac:dyDescent="0.25">
      <c r="B15" s="284">
        <v>3</v>
      </c>
      <c r="C15" s="164"/>
      <c r="D15" s="169" t="s">
        <v>27</v>
      </c>
      <c r="E15" s="166"/>
      <c r="F15" s="166"/>
      <c r="G15" s="166"/>
      <c r="H15" s="167"/>
      <c r="I15" s="166"/>
      <c r="J15" s="166"/>
      <c r="K15" s="167"/>
      <c r="L15" s="166"/>
      <c r="M15" s="167"/>
      <c r="N15" s="166"/>
      <c r="O15" s="166"/>
      <c r="P15" s="166"/>
      <c r="Q15" s="166"/>
      <c r="R15" s="166"/>
      <c r="S15" s="166"/>
      <c r="T15" s="168"/>
      <c r="U15" s="168"/>
      <c r="V15" s="168"/>
      <c r="W15" s="36"/>
    </row>
    <row r="16" spans="2:32" ht="13.8" x14ac:dyDescent="0.25">
      <c r="B16" s="284"/>
      <c r="C16" s="164">
        <v>3.1</v>
      </c>
      <c r="D16" s="165" t="s">
        <v>28</v>
      </c>
      <c r="E16" s="166">
        <v>1044688000</v>
      </c>
      <c r="F16" s="166">
        <v>114208000</v>
      </c>
      <c r="G16" s="166">
        <v>507125000</v>
      </c>
      <c r="H16" s="167">
        <f t="shared" si="0"/>
        <v>1666021000</v>
      </c>
      <c r="I16" s="166">
        <v>89341000</v>
      </c>
      <c r="J16" s="166">
        <v>920563000</v>
      </c>
      <c r="K16" s="167">
        <f t="shared" si="1"/>
        <v>1009904000</v>
      </c>
      <c r="L16" s="166">
        <v>656117000</v>
      </c>
      <c r="M16" s="167">
        <f t="shared" si="2"/>
        <v>1666021000</v>
      </c>
      <c r="N16" s="166">
        <v>82940000</v>
      </c>
      <c r="O16" s="166">
        <v>65192000</v>
      </c>
      <c r="P16" s="166">
        <v>1666021000</v>
      </c>
      <c r="Q16" s="166">
        <v>1009904000</v>
      </c>
      <c r="R16" s="166">
        <v>656117000</v>
      </c>
      <c r="S16" s="166">
        <v>82940000</v>
      </c>
      <c r="T16" s="168">
        <f t="shared" si="3"/>
        <v>0</v>
      </c>
      <c r="U16" s="168">
        <f t="shared" si="4"/>
        <v>0</v>
      </c>
      <c r="V16" s="168">
        <f t="shared" si="5"/>
        <v>0</v>
      </c>
      <c r="W16" s="36">
        <f t="shared" si="6"/>
        <v>-0.213986013986014</v>
      </c>
    </row>
    <row r="17" spans="2:23" ht="13.8" x14ac:dyDescent="0.25">
      <c r="B17" s="284"/>
      <c r="C17" s="164">
        <v>3.2</v>
      </c>
      <c r="D17" s="165" t="s">
        <v>29</v>
      </c>
      <c r="E17" s="166">
        <v>2210583412</v>
      </c>
      <c r="F17" s="166">
        <v>1796245413</v>
      </c>
      <c r="G17" s="166">
        <v>950172658</v>
      </c>
      <c r="H17" s="167">
        <f t="shared" si="0"/>
        <v>4957001483</v>
      </c>
      <c r="I17" s="166">
        <v>578205453</v>
      </c>
      <c r="J17" s="166">
        <v>2306752990</v>
      </c>
      <c r="K17" s="167">
        <f t="shared" si="1"/>
        <v>2884958443</v>
      </c>
      <c r="L17" s="166">
        <v>2072043050</v>
      </c>
      <c r="M17" s="167">
        <f t="shared" si="2"/>
        <v>4957001493</v>
      </c>
      <c r="N17" s="166">
        <v>126050800</v>
      </c>
      <c r="O17" s="166">
        <v>81933020</v>
      </c>
      <c r="P17" s="166">
        <v>4957002000</v>
      </c>
      <c r="Q17" s="166">
        <v>2884958000</v>
      </c>
      <c r="R17" s="166">
        <v>2072044000</v>
      </c>
      <c r="S17" s="166">
        <v>126051000</v>
      </c>
      <c r="T17" s="168">
        <f t="shared" si="3"/>
        <v>-1.042969117220449E-7</v>
      </c>
      <c r="U17" s="168">
        <f t="shared" si="4"/>
        <v>1.5355509508284004E-7</v>
      </c>
      <c r="V17" s="168">
        <f t="shared" si="5"/>
        <v>-4.5848447233746003E-7</v>
      </c>
      <c r="W17" s="36">
        <f t="shared" si="6"/>
        <v>-0.35000103132858923</v>
      </c>
    </row>
    <row r="18" spans="2:23" ht="13.8" x14ac:dyDescent="0.25">
      <c r="B18" s="284"/>
      <c r="C18" s="164">
        <v>3.3</v>
      </c>
      <c r="D18" s="165" t="s">
        <v>30</v>
      </c>
      <c r="E18" s="166">
        <v>1128389590</v>
      </c>
      <c r="F18" s="166">
        <v>497010730</v>
      </c>
      <c r="G18" s="166">
        <v>450516529</v>
      </c>
      <c r="H18" s="167">
        <f t="shared" si="0"/>
        <v>2075916849</v>
      </c>
      <c r="I18" s="166">
        <v>843827380</v>
      </c>
      <c r="J18" s="166">
        <v>171544974</v>
      </c>
      <c r="K18" s="167">
        <f t="shared" si="1"/>
        <v>1015372354</v>
      </c>
      <c r="L18" s="166">
        <v>1060544495</v>
      </c>
      <c r="M18" s="167">
        <f t="shared" si="2"/>
        <v>2075916849</v>
      </c>
      <c r="N18" s="166">
        <v>150152888</v>
      </c>
      <c r="O18" s="166">
        <v>84818888</v>
      </c>
      <c r="P18" s="166">
        <v>2075917000</v>
      </c>
      <c r="Q18" s="166">
        <v>1014364000</v>
      </c>
      <c r="R18" s="166">
        <v>1061553000</v>
      </c>
      <c r="S18" s="166">
        <v>186669000</v>
      </c>
      <c r="T18" s="168">
        <f t="shared" si="3"/>
        <v>-7.2738938984554782E-8</v>
      </c>
      <c r="U18" s="168">
        <f t="shared" si="4"/>
        <v>9.9407510518906435E-4</v>
      </c>
      <c r="V18" s="168">
        <f t="shared" si="5"/>
        <v>-9.5002793077689012E-4</v>
      </c>
      <c r="W18" s="36">
        <f t="shared" si="6"/>
        <v>-0.54561877976525297</v>
      </c>
    </row>
    <row r="19" spans="2:23" ht="13.8" x14ac:dyDescent="0.25">
      <c r="B19" s="284"/>
      <c r="C19" s="164">
        <v>3.4</v>
      </c>
      <c r="D19" s="165" t="s">
        <v>31</v>
      </c>
      <c r="E19" s="166"/>
      <c r="F19" s="166"/>
      <c r="G19" s="166"/>
      <c r="H19" s="167">
        <f t="shared" si="0"/>
        <v>0</v>
      </c>
      <c r="I19" s="166"/>
      <c r="J19" s="166"/>
      <c r="K19" s="167">
        <f t="shared" si="1"/>
        <v>0</v>
      </c>
      <c r="L19" s="166"/>
      <c r="M19" s="167">
        <f t="shared" si="2"/>
        <v>0</v>
      </c>
      <c r="N19" s="166"/>
      <c r="O19" s="166"/>
      <c r="P19" s="166"/>
      <c r="Q19" s="166"/>
      <c r="R19" s="166"/>
      <c r="S19" s="166"/>
      <c r="T19" s="168" t="e">
        <f t="shared" si="3"/>
        <v>#DIV/0!</v>
      </c>
      <c r="U19" s="168" t="e">
        <f t="shared" si="4"/>
        <v>#DIV/0!</v>
      </c>
      <c r="V19" s="168" t="e">
        <f t="shared" si="5"/>
        <v>#DIV/0!</v>
      </c>
      <c r="W19" s="36" t="e">
        <f t="shared" si="6"/>
        <v>#DIV/0!</v>
      </c>
    </row>
    <row r="20" spans="2:23" ht="13.8" x14ac:dyDescent="0.25">
      <c r="B20" s="284"/>
      <c r="C20" s="164">
        <v>3.5</v>
      </c>
      <c r="D20" s="165" t="s">
        <v>32</v>
      </c>
      <c r="E20" s="166">
        <v>397516649</v>
      </c>
      <c r="F20" s="166">
        <v>44535519</v>
      </c>
      <c r="G20" s="166"/>
      <c r="H20" s="167">
        <f t="shared" si="0"/>
        <v>442052168</v>
      </c>
      <c r="I20" s="166">
        <v>205584360</v>
      </c>
      <c r="J20" s="166"/>
      <c r="K20" s="167">
        <f t="shared" si="1"/>
        <v>205584360</v>
      </c>
      <c r="L20" s="166">
        <v>236467808</v>
      </c>
      <c r="M20" s="167">
        <f t="shared" si="2"/>
        <v>442052168</v>
      </c>
      <c r="N20" s="166">
        <v>52120000</v>
      </c>
      <c r="O20" s="166">
        <v>52120000</v>
      </c>
      <c r="P20" s="166">
        <v>442053000</v>
      </c>
      <c r="Q20" s="166">
        <v>205584000</v>
      </c>
      <c r="R20" s="166">
        <f>P20-Q20</f>
        <v>236469000</v>
      </c>
      <c r="S20" s="166">
        <v>52120000</v>
      </c>
      <c r="T20" s="168">
        <f t="shared" si="3"/>
        <v>-1.8821272562339809E-6</v>
      </c>
      <c r="U20" s="168">
        <f t="shared" si="4"/>
        <v>1.7511090357226243E-6</v>
      </c>
      <c r="V20" s="168">
        <f t="shared" si="5"/>
        <v>-5.0408298762205619E-6</v>
      </c>
      <c r="W20" s="36">
        <f t="shared" si="6"/>
        <v>0</v>
      </c>
    </row>
    <row r="21" spans="2:23" ht="13.8" x14ac:dyDescent="0.25">
      <c r="B21" s="284"/>
      <c r="C21" s="164">
        <v>3.6</v>
      </c>
      <c r="D21" s="165" t="s">
        <v>33</v>
      </c>
      <c r="E21" s="166">
        <v>230187357</v>
      </c>
      <c r="F21" s="166">
        <v>487735892</v>
      </c>
      <c r="G21" s="166">
        <v>9625046</v>
      </c>
      <c r="H21" s="167">
        <f t="shared" si="0"/>
        <v>727548295</v>
      </c>
      <c r="I21" s="166">
        <v>117145481</v>
      </c>
      <c r="J21" s="166">
        <v>76862715</v>
      </c>
      <c r="K21" s="167">
        <f t="shared" si="1"/>
        <v>194008196</v>
      </c>
      <c r="L21" s="166">
        <v>533540099</v>
      </c>
      <c r="M21" s="167">
        <f t="shared" si="2"/>
        <v>727548295</v>
      </c>
      <c r="N21" s="166"/>
      <c r="O21" s="166"/>
      <c r="P21" s="166">
        <v>727548000</v>
      </c>
      <c r="Q21" s="166">
        <v>194008000</v>
      </c>
      <c r="R21" s="166">
        <v>533540000</v>
      </c>
      <c r="S21" s="166"/>
      <c r="T21" s="168">
        <f t="shared" si="3"/>
        <v>4.0547152902626356E-7</v>
      </c>
      <c r="U21" s="168">
        <f t="shared" si="4"/>
        <v>1.0102676178301925E-6</v>
      </c>
      <c r="V21" s="168">
        <f t="shared" si="5"/>
        <v>1.855530981744574E-7</v>
      </c>
      <c r="W21" s="36" t="e">
        <f t="shared" si="6"/>
        <v>#DIV/0!</v>
      </c>
    </row>
    <row r="22" spans="2:23" ht="13.8" x14ac:dyDescent="0.25">
      <c r="B22" s="284">
        <v>4</v>
      </c>
      <c r="C22" s="164"/>
      <c r="D22" s="169" t="s">
        <v>34</v>
      </c>
      <c r="E22" s="166"/>
      <c r="F22" s="166"/>
      <c r="G22" s="166"/>
      <c r="H22" s="167"/>
      <c r="I22" s="166"/>
      <c r="J22" s="166"/>
      <c r="K22" s="167"/>
      <c r="L22" s="166"/>
      <c r="M22" s="167"/>
      <c r="N22" s="166"/>
      <c r="O22" s="166"/>
      <c r="P22" s="166"/>
      <c r="Q22" s="166"/>
      <c r="R22" s="166"/>
      <c r="S22" s="166"/>
      <c r="T22" s="168"/>
      <c r="U22" s="168"/>
      <c r="V22" s="168"/>
      <c r="W22" s="36"/>
    </row>
    <row r="23" spans="2:23" ht="13.8" x14ac:dyDescent="0.25">
      <c r="B23" s="284"/>
      <c r="C23" s="164">
        <v>4.0999999999999996</v>
      </c>
      <c r="D23" s="165" t="s">
        <v>35</v>
      </c>
      <c r="E23" s="166">
        <v>940500000</v>
      </c>
      <c r="F23" s="166">
        <v>220000000</v>
      </c>
      <c r="G23" s="166">
        <v>19500000</v>
      </c>
      <c r="H23" s="167">
        <f t="shared" si="0"/>
        <v>1180000000</v>
      </c>
      <c r="I23" s="166">
        <v>50000000</v>
      </c>
      <c r="J23" s="166">
        <v>50000000</v>
      </c>
      <c r="K23" s="167">
        <f t="shared" si="1"/>
        <v>100000000</v>
      </c>
      <c r="L23" s="166">
        <v>1080000000</v>
      </c>
      <c r="M23" s="167">
        <f t="shared" si="2"/>
        <v>1180000000</v>
      </c>
      <c r="N23" s="166">
        <v>38000000</v>
      </c>
      <c r="O23" s="166">
        <v>38000000</v>
      </c>
      <c r="P23" s="166">
        <v>1180000000</v>
      </c>
      <c r="Q23" s="166">
        <v>100000000</v>
      </c>
      <c r="R23" s="166">
        <v>1080000000</v>
      </c>
      <c r="S23" s="166">
        <v>35000000</v>
      </c>
      <c r="T23" s="168">
        <f t="shared" si="3"/>
        <v>0</v>
      </c>
      <c r="U23" s="168">
        <f t="shared" si="4"/>
        <v>0</v>
      </c>
      <c r="V23" s="168">
        <f t="shared" si="5"/>
        <v>0</v>
      </c>
      <c r="W23" s="36">
        <f t="shared" si="6"/>
        <v>8.5714285714285715E-2</v>
      </c>
    </row>
    <row r="24" spans="2:23" ht="13.8" x14ac:dyDescent="0.25">
      <c r="B24" s="284"/>
      <c r="C24" s="164">
        <v>4.2</v>
      </c>
      <c r="D24" s="165" t="s">
        <v>36</v>
      </c>
      <c r="E24" s="166">
        <v>1215892000</v>
      </c>
      <c r="F24" s="166">
        <v>443008000</v>
      </c>
      <c r="G24" s="166">
        <v>283790000</v>
      </c>
      <c r="H24" s="167">
        <f t="shared" si="0"/>
        <v>1942690000</v>
      </c>
      <c r="I24" s="166">
        <v>374625000</v>
      </c>
      <c r="J24" s="166">
        <v>55000000</v>
      </c>
      <c r="K24" s="167">
        <f t="shared" si="1"/>
        <v>429625000</v>
      </c>
      <c r="L24" s="166">
        <v>1513065000</v>
      </c>
      <c r="M24" s="167">
        <f t="shared" si="2"/>
        <v>1942690000</v>
      </c>
      <c r="N24" s="166">
        <v>47375000</v>
      </c>
      <c r="O24" s="166">
        <v>47375000</v>
      </c>
      <c r="P24" s="166">
        <v>1942690000</v>
      </c>
      <c r="Q24" s="166">
        <v>429625000</v>
      </c>
      <c r="R24" s="166">
        <v>1513065000</v>
      </c>
      <c r="S24" s="166">
        <v>47375000</v>
      </c>
      <c r="T24" s="168">
        <f t="shared" si="3"/>
        <v>0</v>
      </c>
      <c r="U24" s="168">
        <f t="shared" si="4"/>
        <v>0</v>
      </c>
      <c r="V24" s="168">
        <f t="shared" si="5"/>
        <v>0</v>
      </c>
      <c r="W24" s="36">
        <f t="shared" si="6"/>
        <v>0</v>
      </c>
    </row>
    <row r="25" spans="2:23" ht="13.8" x14ac:dyDescent="0.25">
      <c r="B25" s="284"/>
      <c r="C25" s="164">
        <v>4.3</v>
      </c>
      <c r="D25" s="165" t="s">
        <v>37</v>
      </c>
      <c r="E25" s="166">
        <v>2149248232</v>
      </c>
      <c r="F25" s="166">
        <v>390736722</v>
      </c>
      <c r="G25" s="166"/>
      <c r="H25" s="167">
        <f t="shared" si="0"/>
        <v>2539984954</v>
      </c>
      <c r="I25" s="166">
        <v>1922763807</v>
      </c>
      <c r="J25" s="166">
        <v>93405043</v>
      </c>
      <c r="K25" s="167">
        <f t="shared" si="1"/>
        <v>2016168850</v>
      </c>
      <c r="L25" s="166">
        <v>523816104</v>
      </c>
      <c r="M25" s="167">
        <f t="shared" si="2"/>
        <v>2539984954</v>
      </c>
      <c r="N25" s="166">
        <v>41060626</v>
      </c>
      <c r="O25" s="166">
        <v>54549620</v>
      </c>
      <c r="P25" s="166">
        <v>2539984000</v>
      </c>
      <c r="Q25" s="166">
        <v>2016168000</v>
      </c>
      <c r="R25" s="166">
        <v>523816000</v>
      </c>
      <c r="S25" s="166">
        <v>71993000</v>
      </c>
      <c r="T25" s="168">
        <f t="shared" si="3"/>
        <v>3.7559291712073775E-7</v>
      </c>
      <c r="U25" s="168">
        <f t="shared" si="4"/>
        <v>4.2159185147269473E-7</v>
      </c>
      <c r="V25" s="168">
        <f t="shared" si="5"/>
        <v>1.9854299983200209E-7</v>
      </c>
      <c r="W25" s="36">
        <f t="shared" si="6"/>
        <v>-0.24229272290361564</v>
      </c>
    </row>
    <row r="26" spans="2:23" ht="13.8" x14ac:dyDescent="0.25">
      <c r="B26" s="284"/>
      <c r="C26" s="164">
        <v>4.4000000000000004</v>
      </c>
      <c r="D26" s="165" t="s">
        <v>38</v>
      </c>
      <c r="E26" s="166">
        <v>1286602000</v>
      </c>
      <c r="F26" s="166">
        <v>529776000</v>
      </c>
      <c r="G26" s="166">
        <v>367025000</v>
      </c>
      <c r="H26" s="167">
        <f t="shared" si="0"/>
        <v>2183403000</v>
      </c>
      <c r="I26" s="166">
        <v>631956000</v>
      </c>
      <c r="J26" s="166">
        <v>6584000</v>
      </c>
      <c r="K26" s="167">
        <f t="shared" si="1"/>
        <v>638540000</v>
      </c>
      <c r="L26" s="166">
        <v>1544863000</v>
      </c>
      <c r="M26" s="167">
        <f t="shared" si="2"/>
        <v>2183403000</v>
      </c>
      <c r="N26" s="166"/>
      <c r="O26" s="166"/>
      <c r="P26" s="166">
        <v>2183403000</v>
      </c>
      <c r="Q26" s="166">
        <v>638540000</v>
      </c>
      <c r="R26" s="166">
        <f>P26-Q26</f>
        <v>1544863000</v>
      </c>
      <c r="S26" s="166"/>
      <c r="T26" s="168">
        <f t="shared" si="3"/>
        <v>0</v>
      </c>
      <c r="U26" s="168">
        <f t="shared" si="4"/>
        <v>0</v>
      </c>
      <c r="V26" s="168">
        <f t="shared" si="5"/>
        <v>0</v>
      </c>
      <c r="W26" s="36" t="e">
        <f t="shared" si="6"/>
        <v>#DIV/0!</v>
      </c>
    </row>
    <row r="27" spans="2:23" ht="13.8" x14ac:dyDescent="0.25">
      <c r="B27" s="284">
        <v>5</v>
      </c>
      <c r="C27" s="164"/>
      <c r="D27" s="169" t="s">
        <v>39</v>
      </c>
      <c r="E27" s="166"/>
      <c r="F27" s="166"/>
      <c r="G27" s="166"/>
      <c r="H27" s="167"/>
      <c r="I27" s="166"/>
      <c r="J27" s="166"/>
      <c r="K27" s="167"/>
      <c r="L27" s="166"/>
      <c r="M27" s="167"/>
      <c r="N27" s="166"/>
      <c r="O27" s="166"/>
      <c r="P27" s="166"/>
      <c r="Q27" s="166"/>
      <c r="R27" s="166"/>
      <c r="S27" s="166"/>
      <c r="T27" s="168"/>
      <c r="U27" s="168"/>
      <c r="V27" s="168"/>
      <c r="W27" s="36"/>
    </row>
    <row r="28" spans="2:23" ht="13.8" x14ac:dyDescent="0.25">
      <c r="B28" s="284"/>
      <c r="C28" s="164">
        <v>5.0999999999999996</v>
      </c>
      <c r="D28" s="165" t="s">
        <v>40</v>
      </c>
      <c r="E28" s="166">
        <v>3662005000</v>
      </c>
      <c r="F28" s="166">
        <v>457085000</v>
      </c>
      <c r="G28" s="166">
        <v>114779000</v>
      </c>
      <c r="H28" s="167">
        <f t="shared" si="0"/>
        <v>4233869000</v>
      </c>
      <c r="I28" s="166">
        <v>530721000</v>
      </c>
      <c r="J28" s="166">
        <v>160038000</v>
      </c>
      <c r="K28" s="167">
        <f t="shared" si="1"/>
        <v>690759000</v>
      </c>
      <c r="L28" s="166">
        <v>3543110000</v>
      </c>
      <c r="M28" s="167">
        <f t="shared" si="2"/>
        <v>4233869000</v>
      </c>
      <c r="N28" s="166">
        <v>457250000</v>
      </c>
      <c r="O28" s="166">
        <v>297212000</v>
      </c>
      <c r="P28" s="166">
        <v>4229443000</v>
      </c>
      <c r="Q28" s="166">
        <v>686333000</v>
      </c>
      <c r="R28" s="166">
        <v>3543110000</v>
      </c>
      <c r="S28" s="166">
        <v>457250000</v>
      </c>
      <c r="T28" s="168">
        <f t="shared" si="3"/>
        <v>1.0464734954460906E-3</v>
      </c>
      <c r="U28" s="168">
        <f t="shared" si="4"/>
        <v>6.4487646667142628E-3</v>
      </c>
      <c r="V28" s="168">
        <f t="shared" si="5"/>
        <v>0</v>
      </c>
      <c r="W28" s="36">
        <f t="shared" si="6"/>
        <v>-0.35000109349371239</v>
      </c>
    </row>
    <row r="29" spans="2:23" ht="13.8" x14ac:dyDescent="0.25">
      <c r="B29" s="284"/>
      <c r="C29" s="164">
        <v>5.2</v>
      </c>
      <c r="D29" s="165" t="s">
        <v>41</v>
      </c>
      <c r="E29" s="166">
        <v>1345051857</v>
      </c>
      <c r="F29" s="166">
        <v>622683311</v>
      </c>
      <c r="G29" s="166">
        <v>1888148909</v>
      </c>
      <c r="H29" s="167">
        <f t="shared" si="0"/>
        <v>3855884077</v>
      </c>
      <c r="I29" s="166">
        <v>235974264</v>
      </c>
      <c r="J29" s="166">
        <v>1059293810</v>
      </c>
      <c r="K29" s="167">
        <f t="shared" si="1"/>
        <v>1295268074</v>
      </c>
      <c r="L29" s="166">
        <v>2560616003</v>
      </c>
      <c r="M29" s="167">
        <f t="shared" si="2"/>
        <v>3855884077</v>
      </c>
      <c r="N29" s="166">
        <v>211804765</v>
      </c>
      <c r="O29" s="166">
        <v>128144765</v>
      </c>
      <c r="P29" s="166">
        <v>1968115000</v>
      </c>
      <c r="Q29" s="166">
        <v>1295268000</v>
      </c>
      <c r="R29" s="166">
        <v>672847000</v>
      </c>
      <c r="S29" s="166">
        <v>239030000</v>
      </c>
      <c r="T29" s="168">
        <f t="shared" si="3"/>
        <v>0.95917620515061364</v>
      </c>
      <c r="U29" s="168">
        <f t="shared" si="4"/>
        <v>5.7131033886423504E-8</v>
      </c>
      <c r="V29" s="168">
        <f t="shared" si="5"/>
        <v>2.8056437838022612</v>
      </c>
      <c r="W29" s="36">
        <f t="shared" si="6"/>
        <v>-0.46389672844412833</v>
      </c>
    </row>
    <row r="30" spans="2:23" ht="13.8" x14ac:dyDescent="0.25">
      <c r="B30" s="284"/>
      <c r="C30" s="164">
        <v>5.3</v>
      </c>
      <c r="D30" s="165" t="s">
        <v>42</v>
      </c>
      <c r="E30" s="166">
        <v>68481000</v>
      </c>
      <c r="F30" s="166">
        <v>248149000</v>
      </c>
      <c r="G30" s="166">
        <v>1829723000</v>
      </c>
      <c r="H30" s="167">
        <f t="shared" si="0"/>
        <v>2146353000</v>
      </c>
      <c r="I30" s="166">
        <v>20336000</v>
      </c>
      <c r="J30" s="166">
        <v>1030069000</v>
      </c>
      <c r="K30" s="167">
        <f t="shared" si="1"/>
        <v>1050405000</v>
      </c>
      <c r="L30" s="166">
        <v>1095948000</v>
      </c>
      <c r="M30" s="167">
        <f t="shared" si="2"/>
        <v>2146353000</v>
      </c>
      <c r="N30" s="166">
        <v>63435000</v>
      </c>
      <c r="O30" s="166">
        <v>51635000</v>
      </c>
      <c r="P30" s="166">
        <v>2146353000</v>
      </c>
      <c r="Q30" s="166">
        <v>1050405000</v>
      </c>
      <c r="R30" s="166">
        <v>1095948000</v>
      </c>
      <c r="S30" s="166">
        <v>63435000</v>
      </c>
      <c r="T30" s="168">
        <f t="shared" si="3"/>
        <v>0</v>
      </c>
      <c r="U30" s="168">
        <f t="shared" si="4"/>
        <v>0</v>
      </c>
      <c r="V30" s="168">
        <f t="shared" si="5"/>
        <v>0</v>
      </c>
      <c r="W30" s="36">
        <f t="shared" si="6"/>
        <v>-0.18601718294317018</v>
      </c>
    </row>
    <row r="31" spans="2:23" ht="13.8" x14ac:dyDescent="0.25">
      <c r="B31" s="284"/>
      <c r="C31" s="164">
        <v>5.4</v>
      </c>
      <c r="D31" s="165" t="s">
        <v>43</v>
      </c>
      <c r="E31" s="166">
        <v>9098479232</v>
      </c>
      <c r="F31" s="166">
        <v>531593591</v>
      </c>
      <c r="G31" s="166">
        <f>1377315265+27043045</f>
        <v>1404358310</v>
      </c>
      <c r="H31" s="167">
        <f t="shared" si="0"/>
        <v>11034431133</v>
      </c>
      <c r="I31" s="166">
        <v>1681476244</v>
      </c>
      <c r="J31" s="166">
        <v>4212950518</v>
      </c>
      <c r="K31" s="167">
        <f t="shared" si="1"/>
        <v>5894426762</v>
      </c>
      <c r="L31" s="166">
        <v>5140004372</v>
      </c>
      <c r="M31" s="167">
        <f t="shared" si="2"/>
        <v>11034431134</v>
      </c>
      <c r="N31" s="166">
        <v>101528025</v>
      </c>
      <c r="O31" s="166">
        <v>54379630</v>
      </c>
      <c r="P31" s="166">
        <v>11007389000</v>
      </c>
      <c r="Q31" s="166">
        <v>5894427000</v>
      </c>
      <c r="R31" s="166">
        <v>5112962000</v>
      </c>
      <c r="S31" s="166">
        <v>122857000</v>
      </c>
      <c r="T31" s="168">
        <f t="shared" si="3"/>
        <v>2.4567254777677068E-3</v>
      </c>
      <c r="U31" s="168">
        <f t="shared" si="4"/>
        <v>-4.0377122322492076E-8</v>
      </c>
      <c r="V31" s="168">
        <f t="shared" si="5"/>
        <v>5.2889835676463073E-3</v>
      </c>
      <c r="W31" s="36">
        <f t="shared" si="6"/>
        <v>-0.55737458997045342</v>
      </c>
    </row>
    <row r="32" spans="2:23" ht="14.4" thickBot="1" x14ac:dyDescent="0.3">
      <c r="B32" s="43"/>
      <c r="C32" s="45"/>
      <c r="D32" s="42"/>
      <c r="E32" s="37"/>
      <c r="F32" s="37"/>
      <c r="G32" s="37"/>
      <c r="H32" s="38"/>
      <c r="I32" s="37"/>
      <c r="J32" s="37"/>
      <c r="K32" s="38"/>
      <c r="L32" s="37"/>
      <c r="M32" s="38"/>
      <c r="N32" s="37"/>
      <c r="O32" s="37"/>
      <c r="P32" s="37"/>
      <c r="Q32" s="37"/>
      <c r="R32" s="37"/>
      <c r="S32" s="37"/>
      <c r="T32" s="39"/>
      <c r="U32" s="39"/>
      <c r="V32" s="39"/>
      <c r="W32" s="40"/>
    </row>
    <row r="33" spans="2:23" ht="13.8" thickBot="1" x14ac:dyDescent="0.3"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</row>
    <row r="34" spans="2:23" x14ac:dyDescent="0.25">
      <c r="B34" s="2" t="s">
        <v>44</v>
      </c>
      <c r="C34" s="1"/>
      <c r="D34" s="170"/>
      <c r="E34" s="24"/>
      <c r="F34" s="25"/>
      <c r="G34" s="26"/>
      <c r="H34" s="25"/>
      <c r="I34" s="27"/>
      <c r="J34" s="27"/>
      <c r="K34" s="28"/>
      <c r="L34" s="25"/>
      <c r="M34" s="29"/>
      <c r="N34" s="25"/>
      <c r="O34" s="29"/>
      <c r="P34" s="25"/>
      <c r="Q34" s="29"/>
      <c r="R34" s="29"/>
      <c r="S34" s="29"/>
      <c r="T34" s="12"/>
      <c r="U34" s="12"/>
      <c r="V34" s="12"/>
      <c r="W34" s="13"/>
    </row>
    <row r="35" spans="2:23" x14ac:dyDescent="0.25">
      <c r="B35" s="171"/>
      <c r="C35" s="269" t="s">
        <v>45</v>
      </c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0"/>
      <c r="T35" s="270"/>
      <c r="U35" s="270"/>
      <c r="V35" s="270"/>
      <c r="W35" s="16"/>
    </row>
    <row r="36" spans="2:23" x14ac:dyDescent="0.25">
      <c r="B36" s="171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0"/>
      <c r="T36" s="270"/>
      <c r="U36" s="270"/>
      <c r="V36" s="270"/>
      <c r="W36" s="16"/>
    </row>
    <row r="37" spans="2:23" x14ac:dyDescent="0.25">
      <c r="B37" s="171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0"/>
      <c r="T37" s="270"/>
      <c r="U37" s="270"/>
      <c r="V37" s="270"/>
      <c r="W37" s="16"/>
    </row>
    <row r="38" spans="2:23" x14ac:dyDescent="0.25">
      <c r="B38" s="171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0"/>
      <c r="T38" s="270"/>
      <c r="U38" s="270"/>
      <c r="V38" s="270"/>
      <c r="W38" s="16"/>
    </row>
    <row r="39" spans="2:23" ht="13.8" thickBot="1" x14ac:dyDescent="0.3">
      <c r="B39" s="172"/>
      <c r="C39" s="173"/>
      <c r="D39" s="173"/>
      <c r="E39" s="174"/>
      <c r="F39" s="175"/>
      <c r="G39" s="175"/>
      <c r="H39" s="175"/>
      <c r="I39" s="175"/>
      <c r="J39" s="175"/>
      <c r="K39" s="176"/>
      <c r="L39" s="175"/>
      <c r="M39" s="173"/>
      <c r="N39" s="175"/>
      <c r="O39" s="173"/>
      <c r="P39" s="175"/>
      <c r="Q39" s="14"/>
      <c r="R39" s="14"/>
      <c r="S39" s="14"/>
      <c r="T39" s="14"/>
      <c r="U39" s="14"/>
      <c r="V39" s="14"/>
      <c r="W39" s="15"/>
    </row>
  </sheetData>
  <customSheetViews>
    <customSheetView guid="{7043DB3C-32B3-43B5-9ACE-4B1C78863594}" scale="75" state="hidden" topLeftCell="B2">
      <pane xSplit="3" ySplit="5" topLeftCell="M7" activePane="bottomRight" state="frozen"/>
      <selection pane="bottomRight" activeCell="C35" sqref="C35:V38"/>
      <pageMargins left="0" right="0" top="0" bottom="0" header="0" footer="0"/>
      <pageSetup paperSize="9" orientation="landscape" r:id="rId1"/>
      <headerFooter alignWithMargins="0"/>
    </customSheetView>
  </customSheetViews>
  <mergeCells count="10">
    <mergeCell ref="C35:V38"/>
    <mergeCell ref="T4:W4"/>
    <mergeCell ref="B4:C5"/>
    <mergeCell ref="D4:D5"/>
    <mergeCell ref="P4:S4"/>
    <mergeCell ref="E4:O4"/>
    <mergeCell ref="B7:B13"/>
    <mergeCell ref="B15:B21"/>
    <mergeCell ref="B22:B26"/>
    <mergeCell ref="B27:B31"/>
  </mergeCells>
  <phoneticPr fontId="0" type="noConversion"/>
  <conditionalFormatting sqref="B4 D4 B6:D6 B7 C7:D32 B14 D34:P34 C34:C35 B34:B39 C39:P39">
    <cfRule type="cellIs" dxfId="63" priority="1" stopIfTrue="1" operator="equal">
      <formula>"NO ADMISIBLE"</formula>
    </cfRule>
  </conditionalFormatting>
  <pageMargins left="0.75" right="0.75" top="1" bottom="1" header="0" footer="0"/>
  <pageSetup paperSize="9" orientation="landscape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">
    <tabColor rgb="FFFFC000"/>
    <pageSetUpPr fitToPage="1"/>
  </sheetPr>
  <dimension ref="A1:M13"/>
  <sheetViews>
    <sheetView view="pageBreakPreview" zoomScaleNormal="100" zoomScaleSheetLayoutView="100" workbookViewId="0">
      <selection activeCell="A5" sqref="A5"/>
    </sheetView>
  </sheetViews>
  <sheetFormatPr baseColWidth="10" defaultColWidth="11.44140625" defaultRowHeight="13.2" x14ac:dyDescent="0.25"/>
  <cols>
    <col min="1" max="1" width="11.44140625" style="86"/>
    <col min="2" max="2" width="18.5546875" style="86" bestFit="1" customWidth="1"/>
    <col min="3" max="3" width="11.44140625" style="86"/>
    <col min="4" max="4" width="18.109375" style="86" customWidth="1"/>
    <col min="5" max="5" width="4.6640625" style="86" customWidth="1"/>
    <col min="6" max="6" width="16.5546875" style="86" bestFit="1" customWidth="1"/>
    <col min="7" max="7" width="4.6640625" style="83" customWidth="1"/>
    <col min="8" max="8" width="15.44140625" style="83" customWidth="1"/>
    <col min="9" max="9" width="14.6640625" style="83" customWidth="1"/>
    <col min="10" max="10" width="4.6640625" style="83" customWidth="1"/>
    <col min="11" max="11" width="11.44140625" style="83"/>
    <col min="12" max="12" width="12.88671875" style="90" bestFit="1" customWidth="1"/>
    <col min="13" max="13" width="13.88671875" style="90" bestFit="1" customWidth="1"/>
    <col min="14" max="16384" width="11.44140625" style="83"/>
  </cols>
  <sheetData>
    <row r="1" spans="1:11" ht="41.25" customHeight="1" x14ac:dyDescent="0.25">
      <c r="A1" s="82" t="s">
        <v>46</v>
      </c>
      <c r="B1" s="82" t="s">
        <v>47</v>
      </c>
      <c r="C1" s="82" t="s">
        <v>48</v>
      </c>
      <c r="D1" s="82" t="s">
        <v>49</v>
      </c>
      <c r="E1" s="81"/>
      <c r="F1" s="82" t="s">
        <v>50</v>
      </c>
      <c r="H1" s="82" t="s">
        <v>51</v>
      </c>
      <c r="I1" s="82" t="s">
        <v>12</v>
      </c>
      <c r="K1" s="82" t="s">
        <v>52</v>
      </c>
    </row>
    <row r="2" spans="1:11" ht="13.8" x14ac:dyDescent="0.25">
      <c r="A2" s="177">
        <v>1</v>
      </c>
      <c r="B2" s="95">
        <v>120000000</v>
      </c>
      <c r="C2" s="178">
        <v>4</v>
      </c>
      <c r="D2" s="179">
        <f>+B2*0</f>
        <v>0</v>
      </c>
      <c r="E2" s="84"/>
      <c r="F2" s="85">
        <v>1300000</v>
      </c>
      <c r="H2" s="89">
        <f>+IF(OR(B2="",PlazoM1=""),"",B2/PlazoM1)</f>
        <v>30000000</v>
      </c>
      <c r="I2" s="89">
        <f>IF(OR(B2="",$K$2=""),"",B2*$K$2)</f>
        <v>12000000</v>
      </c>
      <c r="K2" s="91">
        <v>0.1</v>
      </c>
    </row>
    <row r="3" spans="1:11" x14ac:dyDescent="0.25">
      <c r="A3" s="177"/>
      <c r="B3" s="179"/>
      <c r="C3" s="178"/>
      <c r="D3" s="179"/>
      <c r="H3" s="89" t="str">
        <f>+IF(OR(B3="",PlazoM2=""),"",B3/PlazoM2)</f>
        <v/>
      </c>
      <c r="I3" s="89" t="str">
        <f>IF(OR(B3="",$K$2=""),"",B3*$K$2)</f>
        <v/>
      </c>
    </row>
    <row r="4" spans="1:11" x14ac:dyDescent="0.25">
      <c r="A4" s="177"/>
      <c r="B4" s="179"/>
      <c r="C4" s="178"/>
      <c r="D4" s="179"/>
      <c r="H4" s="89" t="str">
        <f>+IF(OR(B4="",PlazoM3=""),"",B4/PlazoM3)</f>
        <v/>
      </c>
      <c r="I4" s="89" t="str">
        <f>IF(OR(B4="",$K$2=""),"",B4*$K$2)</f>
        <v/>
      </c>
    </row>
    <row r="5" spans="1:11" x14ac:dyDescent="0.25">
      <c r="A5" s="177"/>
      <c r="B5" s="179"/>
      <c r="C5" s="178"/>
      <c r="D5" s="179"/>
      <c r="H5" s="89" t="str">
        <f>+IF(OR(B5="",PlazoM4=""),"",B5/PlazoM4)</f>
        <v/>
      </c>
      <c r="I5" s="89" t="str">
        <f>IF(OR(B5="",$K$2=""),"",B5*$K$2)</f>
        <v/>
      </c>
    </row>
    <row r="6" spans="1:11" x14ac:dyDescent="0.25">
      <c r="E6" s="87"/>
    </row>
    <row r="7" spans="1:11" x14ac:dyDescent="0.25">
      <c r="D7" s="88"/>
    </row>
    <row r="13" spans="1:11" ht="18" x14ac:dyDescent="0.35">
      <c r="B13" s="96"/>
    </row>
  </sheetData>
  <customSheetViews>
    <customSheetView guid="{7043DB3C-32B3-43B5-9ACE-4B1C78863594}" topLeftCell="A4">
      <selection activeCell="F24" sqref="F24"/>
      <pageMargins left="0" right="0" top="0" bottom="0" header="0" footer="0"/>
      <headerFooter alignWithMargins="0"/>
    </customSheetView>
  </customSheetViews>
  <phoneticPr fontId="26" type="noConversion"/>
  <pageMargins left="0.75" right="0.75" top="1" bottom="1" header="0" footer="0"/>
  <pageSetup paperSize="1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4">
    <tabColor rgb="FFFFC000"/>
    <pageSetUpPr fitToPage="1"/>
  </sheetPr>
  <dimension ref="B1:H16"/>
  <sheetViews>
    <sheetView tabSelected="1" view="pageBreakPreview" zoomScaleNormal="100" zoomScaleSheetLayoutView="100" workbookViewId="0">
      <selection activeCell="C5" sqref="C5"/>
    </sheetView>
  </sheetViews>
  <sheetFormatPr baseColWidth="10" defaultColWidth="11.44140625" defaultRowHeight="13.2" x14ac:dyDescent="0.25"/>
  <cols>
    <col min="1" max="2" width="11.44140625" style="54"/>
    <col min="3" max="3" width="15.33203125" style="54" bestFit="1" customWidth="1"/>
    <col min="4" max="6" width="11.44140625" style="54"/>
    <col min="7" max="7" width="11.44140625" style="54" customWidth="1"/>
    <col min="8" max="16384" width="11.44140625" style="54"/>
  </cols>
  <sheetData>
    <row r="1" spans="2:8" ht="13.8" thickBot="1" x14ac:dyDescent="0.3"/>
    <row r="2" spans="2:8" ht="13.8" thickBot="1" x14ac:dyDescent="0.3">
      <c r="B2" s="285" t="s">
        <v>53</v>
      </c>
      <c r="C2" s="286"/>
      <c r="D2" s="287"/>
      <c r="F2" s="285" t="s">
        <v>54</v>
      </c>
      <c r="G2" s="286"/>
      <c r="H2" s="287"/>
    </row>
    <row r="3" spans="2:8" ht="13.8" thickBot="1" x14ac:dyDescent="0.3">
      <c r="B3" s="75" t="s">
        <v>55</v>
      </c>
      <c r="C3" s="77" t="s">
        <v>56</v>
      </c>
      <c r="D3" s="76" t="s">
        <v>57</v>
      </c>
      <c r="F3" s="75" t="s">
        <v>58</v>
      </c>
      <c r="G3" s="77" t="s">
        <v>59</v>
      </c>
      <c r="H3" s="76" t="s">
        <v>57</v>
      </c>
    </row>
    <row r="4" spans="2:8" x14ac:dyDescent="0.25">
      <c r="B4" s="67">
        <v>0</v>
      </c>
      <c r="C4" s="67">
        <v>3</v>
      </c>
      <c r="D4" s="67">
        <v>60</v>
      </c>
      <c r="F4" s="67">
        <v>1</v>
      </c>
      <c r="G4" s="67">
        <v>5</v>
      </c>
      <c r="H4" s="67">
        <v>20</v>
      </c>
    </row>
    <row r="5" spans="2:8" x14ac:dyDescent="0.25">
      <c r="B5" s="68">
        <v>3</v>
      </c>
      <c r="C5" s="68">
        <v>6</v>
      </c>
      <c r="D5" s="68">
        <v>80</v>
      </c>
      <c r="F5" s="68">
        <v>6</v>
      </c>
      <c r="G5" s="68">
        <v>10</v>
      </c>
      <c r="H5" s="68">
        <v>30</v>
      </c>
    </row>
    <row r="6" spans="2:8" ht="13.8" thickBot="1" x14ac:dyDescent="0.3">
      <c r="B6" s="68">
        <v>6</v>
      </c>
      <c r="C6" s="68">
        <v>10</v>
      </c>
      <c r="D6" s="68">
        <v>100</v>
      </c>
      <c r="F6" s="69">
        <v>11</v>
      </c>
      <c r="G6" s="70" t="s">
        <v>60</v>
      </c>
      <c r="H6" s="69">
        <v>40</v>
      </c>
    </row>
    <row r="7" spans="2:8" ht="13.8" thickBot="1" x14ac:dyDescent="0.3">
      <c r="B7" s="69">
        <v>10</v>
      </c>
      <c r="C7" s="70" t="s">
        <v>60</v>
      </c>
      <c r="D7" s="69">
        <v>120</v>
      </c>
      <c r="F7" s="78"/>
      <c r="G7" s="79"/>
      <c r="H7" s="78"/>
    </row>
    <row r="9" spans="2:8" ht="13.8" thickBot="1" x14ac:dyDescent="0.3"/>
    <row r="10" spans="2:8" ht="13.8" thickBot="1" x14ac:dyDescent="0.3">
      <c r="B10" s="285" t="s">
        <v>61</v>
      </c>
      <c r="C10" s="286"/>
      <c r="D10" s="287"/>
    </row>
    <row r="11" spans="2:8" ht="13.8" thickBot="1" x14ac:dyDescent="0.3">
      <c r="B11" s="75" t="s">
        <v>55</v>
      </c>
      <c r="C11" s="77" t="s">
        <v>56</v>
      </c>
      <c r="D11" s="76" t="s">
        <v>57</v>
      </c>
    </row>
    <row r="12" spans="2:8" x14ac:dyDescent="0.25">
      <c r="B12" s="67">
        <v>0</v>
      </c>
      <c r="C12" s="67">
        <v>0.5</v>
      </c>
      <c r="D12" s="67">
        <v>20</v>
      </c>
    </row>
    <row r="13" spans="2:8" x14ac:dyDescent="0.25">
      <c r="B13" s="68">
        <v>0.5</v>
      </c>
      <c r="C13" s="68">
        <v>0.75</v>
      </c>
      <c r="D13" s="68">
        <v>25</v>
      </c>
    </row>
    <row r="14" spans="2:8" x14ac:dyDescent="0.25">
      <c r="B14" s="68">
        <v>0.75</v>
      </c>
      <c r="C14" s="74">
        <v>1</v>
      </c>
      <c r="D14" s="68">
        <v>30</v>
      </c>
    </row>
    <row r="15" spans="2:8" x14ac:dyDescent="0.25">
      <c r="B15" s="73">
        <v>1</v>
      </c>
      <c r="C15" s="72">
        <v>1.5</v>
      </c>
      <c r="D15" s="71">
        <v>35</v>
      </c>
    </row>
    <row r="16" spans="2:8" ht="13.8" thickBot="1" x14ac:dyDescent="0.3">
      <c r="B16" s="69">
        <v>1.5</v>
      </c>
      <c r="C16" s="70" t="s">
        <v>60</v>
      </c>
      <c r="D16" s="69">
        <v>40</v>
      </c>
    </row>
  </sheetData>
  <mergeCells count="3">
    <mergeCell ref="B2:D2"/>
    <mergeCell ref="B10:D10"/>
    <mergeCell ref="F2:H2"/>
  </mergeCells>
  <pageMargins left="0.7" right="0.7" top="0.75" bottom="0.75" header="0.3" footer="0.3"/>
  <pageSetup paperSize="1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9"/>
  <sheetViews>
    <sheetView showGridLines="0" zoomScaleNormal="100" zoomScaleSheetLayoutView="110" workbookViewId="0">
      <selection activeCell="E12" sqref="E12"/>
    </sheetView>
  </sheetViews>
  <sheetFormatPr baseColWidth="10" defaultColWidth="11.44140625" defaultRowHeight="13.2" x14ac:dyDescent="0.25"/>
  <cols>
    <col min="1" max="1" width="9.109375" customWidth="1"/>
    <col min="2" max="2" width="78.88671875" customWidth="1"/>
    <col min="3" max="3" width="43.44140625" bestFit="1" customWidth="1"/>
    <col min="4" max="4" width="19" bestFit="1" customWidth="1"/>
    <col min="5" max="5" width="18.88671875" customWidth="1"/>
    <col min="6" max="6" width="21" style="100" customWidth="1"/>
  </cols>
  <sheetData>
    <row r="1" spans="1:11" x14ac:dyDescent="0.25">
      <c r="A1" s="97"/>
      <c r="B1" s="288" t="s">
        <v>62</v>
      </c>
      <c r="C1" s="290"/>
      <c r="D1" s="291"/>
      <c r="E1" s="294" t="s">
        <v>63</v>
      </c>
      <c r="F1" s="296" t="s">
        <v>64</v>
      </c>
    </row>
    <row r="2" spans="1:11" ht="13.8" thickBot="1" x14ac:dyDescent="0.3">
      <c r="A2" s="98"/>
      <c r="B2" s="289"/>
      <c r="C2" s="292"/>
      <c r="D2" s="293"/>
      <c r="E2" s="295"/>
      <c r="F2" s="297"/>
      <c r="H2" t="s">
        <v>65</v>
      </c>
    </row>
    <row r="3" spans="1:11" ht="17.399999999999999" x14ac:dyDescent="0.3">
      <c r="A3" s="101" t="s">
        <v>48</v>
      </c>
      <c r="B3" s="197" t="s">
        <v>66</v>
      </c>
      <c r="C3" s="198" t="s">
        <v>67</v>
      </c>
      <c r="D3" s="198" t="s">
        <v>68</v>
      </c>
      <c r="E3" s="198" t="s">
        <v>69</v>
      </c>
      <c r="F3" s="199" t="s">
        <v>70</v>
      </c>
    </row>
    <row r="4" spans="1:11" x14ac:dyDescent="0.25">
      <c r="A4" s="105">
        <v>1</v>
      </c>
      <c r="B4" s="106" t="s">
        <v>259</v>
      </c>
      <c r="C4" s="106" t="s">
        <v>258</v>
      </c>
      <c r="D4" s="105" t="s">
        <v>71</v>
      </c>
      <c r="E4" s="107">
        <v>45526.456250000003</v>
      </c>
      <c r="F4" s="108" t="s">
        <v>260</v>
      </c>
      <c r="G4" s="109"/>
      <c r="H4">
        <v>1</v>
      </c>
      <c r="K4" s="104"/>
    </row>
    <row r="12" spans="1:11" x14ac:dyDescent="0.25">
      <c r="C12" s="103"/>
    </row>
    <row r="13" spans="1:11" hidden="1" x14ac:dyDescent="0.25">
      <c r="C13" s="102"/>
      <c r="D13" s="103"/>
    </row>
    <row r="14" spans="1:11" hidden="1" x14ac:dyDescent="0.25">
      <c r="C14" s="102"/>
      <c r="D14" s="103"/>
    </row>
    <row r="15" spans="1:11" hidden="1" x14ac:dyDescent="0.25">
      <c r="C15" s="106"/>
      <c r="D15" s="103"/>
    </row>
    <row r="16" spans="1:11" hidden="1" x14ac:dyDescent="0.25">
      <c r="C16" s="99"/>
      <c r="D16" s="103"/>
    </row>
    <row r="17" spans="3:3" hidden="1" x14ac:dyDescent="0.25">
      <c r="C17" s="99"/>
    </row>
    <row r="18" spans="3:3" hidden="1" x14ac:dyDescent="0.25">
      <c r="C18" s="99"/>
    </row>
    <row r="19" spans="3:3" hidden="1" x14ac:dyDescent="0.25">
      <c r="C19" s="99"/>
    </row>
  </sheetData>
  <mergeCells count="4">
    <mergeCell ref="B1:B2"/>
    <mergeCell ref="C1:D2"/>
    <mergeCell ref="E1:E2"/>
    <mergeCell ref="F1:F2"/>
  </mergeCells>
  <pageMargins left="0.7" right="0.7" top="0.75" bottom="0.75" header="0.3" footer="0.3"/>
  <pageSetup paperSize="14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>
    <pageSetUpPr fitToPage="1"/>
  </sheetPr>
  <dimension ref="B1:AG25"/>
  <sheetViews>
    <sheetView showGridLines="0" view="pageBreakPreview" topLeftCell="D1" zoomScale="80" zoomScaleNormal="80" zoomScaleSheetLayoutView="80" workbookViewId="0">
      <selection activeCell="M18" sqref="M18"/>
    </sheetView>
  </sheetViews>
  <sheetFormatPr baseColWidth="10" defaultColWidth="11.44140625" defaultRowHeight="18" customHeight="1" x14ac:dyDescent="0.25"/>
  <cols>
    <col min="1" max="1" width="11.44140625" style="123"/>
    <col min="2" max="2" width="8.88671875" style="123" bestFit="1" customWidth="1"/>
    <col min="3" max="3" width="51.44140625" style="123" bestFit="1" customWidth="1"/>
    <col min="4" max="4" width="17.44140625" style="123" customWidth="1"/>
    <col min="5" max="5" width="25" style="123" customWidth="1"/>
    <col min="6" max="6" width="26.6640625" style="135" customWidth="1"/>
    <col min="7" max="7" width="25" style="135" bestFit="1" customWidth="1"/>
    <col min="8" max="9" width="23.109375" style="135" customWidth="1"/>
    <col min="10" max="10" width="28.6640625" style="136" customWidth="1"/>
    <col min="11" max="11" width="28.33203125" style="136" customWidth="1"/>
    <col min="12" max="12" width="23" style="136" customWidth="1"/>
    <col min="13" max="13" width="20.88671875" style="136" customWidth="1"/>
    <col min="14" max="14" width="4.109375" style="137" bestFit="1" customWidth="1"/>
    <col min="15" max="15" width="8" style="137" bestFit="1" customWidth="1"/>
    <col min="16" max="16" width="8" style="137" hidden="1" customWidth="1"/>
    <col min="17" max="17" width="19.5546875" style="137" hidden="1" customWidth="1"/>
    <col min="18" max="18" width="21.6640625" style="137" bestFit="1" customWidth="1"/>
    <col min="19" max="19" width="17.33203125" style="137" customWidth="1"/>
    <col min="20" max="20" width="14.6640625" style="137" customWidth="1"/>
    <col min="21" max="21" width="17.5546875" style="137" customWidth="1"/>
    <col min="22" max="22" width="21.6640625" style="137" customWidth="1"/>
    <col min="23" max="23" width="20.44140625" style="137" hidden="1" customWidth="1"/>
    <col min="24" max="24" width="19.44140625" style="137" customWidth="1"/>
    <col min="25" max="25" width="14.6640625" style="137" customWidth="1"/>
    <col min="26" max="26" width="15.88671875" style="135" customWidth="1"/>
    <col min="27" max="27" width="15.5546875" style="123" hidden="1" customWidth="1"/>
    <col min="28" max="28" width="15.88671875" style="123" hidden="1" customWidth="1"/>
    <col min="29" max="29" width="14.5546875" style="124" customWidth="1"/>
    <col min="30" max="30" width="14.5546875" style="123" customWidth="1"/>
    <col min="31" max="31" width="14.5546875" style="124" customWidth="1"/>
    <col min="32" max="32" width="14.5546875" style="123" customWidth="1"/>
    <col min="33" max="33" width="17.44140625" style="123" customWidth="1"/>
    <col min="34" max="16384" width="11.44140625" style="123"/>
  </cols>
  <sheetData>
    <row r="1" spans="2:33" ht="18" customHeight="1" x14ac:dyDescent="0.25">
      <c r="B1" s="298"/>
      <c r="C1" s="298"/>
      <c r="D1" s="298"/>
      <c r="E1" s="298"/>
      <c r="F1" s="298"/>
      <c r="G1" s="298"/>
      <c r="H1" s="298"/>
      <c r="I1" s="298"/>
      <c r="J1" s="298"/>
      <c r="K1" s="298"/>
      <c r="L1" s="298"/>
      <c r="M1" s="298"/>
      <c r="N1" s="298"/>
      <c r="O1" s="298"/>
      <c r="P1" s="298"/>
      <c r="Q1" s="298"/>
      <c r="R1" s="298"/>
      <c r="S1" s="298"/>
      <c r="T1" s="298"/>
      <c r="U1" s="298"/>
      <c r="V1" s="298"/>
      <c r="W1" s="298"/>
      <c r="X1" s="298"/>
      <c r="Y1" s="298"/>
      <c r="Z1" s="298"/>
      <c r="AA1" s="103"/>
      <c r="AB1" s="103"/>
      <c r="AC1" s="180"/>
      <c r="AD1" s="103"/>
      <c r="AE1" s="180"/>
      <c r="AF1" s="103"/>
      <c r="AG1" s="103"/>
    </row>
    <row r="2" spans="2:33" s="125" customFormat="1" ht="22.8" x14ac:dyDescent="0.4">
      <c r="B2" s="301" t="s">
        <v>72</v>
      </c>
      <c r="C2" s="301"/>
      <c r="D2" s="301"/>
      <c r="E2" s="301"/>
      <c r="F2" s="301"/>
      <c r="G2" s="301"/>
      <c r="H2" s="301"/>
      <c r="I2" s="301"/>
      <c r="J2" s="301"/>
      <c r="K2" s="301"/>
      <c r="L2" s="301"/>
      <c r="M2" s="301"/>
      <c r="N2" s="301"/>
      <c r="O2" s="301"/>
      <c r="P2" s="301"/>
      <c r="Q2" s="301"/>
      <c r="R2" s="301"/>
      <c r="S2" s="301"/>
      <c r="T2" s="301"/>
      <c r="U2" s="301"/>
      <c r="V2" s="301"/>
      <c r="W2" s="301"/>
      <c r="X2" s="301"/>
      <c r="Y2" s="301"/>
      <c r="Z2" s="301"/>
      <c r="AA2" s="301"/>
      <c r="AB2" s="301"/>
      <c r="AC2" s="301"/>
      <c r="AD2" s="301"/>
      <c r="AE2" s="301"/>
      <c r="AF2" s="301"/>
      <c r="AG2" s="301"/>
    </row>
    <row r="3" spans="2:33" s="125" customFormat="1" ht="17.399999999999999" x14ac:dyDescent="0.3">
      <c r="B3" s="300" t="s">
        <v>73</v>
      </c>
      <c r="C3" s="300"/>
      <c r="D3" s="300"/>
      <c r="E3" s="300"/>
      <c r="F3" s="300"/>
      <c r="G3" s="300"/>
      <c r="H3" s="300"/>
      <c r="I3" s="300"/>
      <c r="J3" s="300"/>
      <c r="K3" s="300"/>
      <c r="L3" s="300"/>
      <c r="M3" s="300"/>
      <c r="N3" s="300"/>
      <c r="O3" s="300"/>
      <c r="P3" s="300"/>
      <c r="Q3" s="300"/>
      <c r="R3" s="300"/>
      <c r="S3" s="300"/>
      <c r="T3" s="300"/>
      <c r="U3" s="300"/>
      <c r="V3" s="300"/>
      <c r="W3" s="300"/>
      <c r="X3" s="300"/>
      <c r="Y3" s="300"/>
      <c r="Z3" s="300"/>
      <c r="AA3" s="300"/>
      <c r="AB3" s="300"/>
      <c r="AC3" s="300"/>
      <c r="AD3" s="300"/>
      <c r="AE3" s="300"/>
      <c r="AF3" s="300"/>
      <c r="AG3" s="300"/>
    </row>
    <row r="4" spans="2:33" ht="18" customHeight="1" x14ac:dyDescent="0.3">
      <c r="B4" s="299" t="s">
        <v>74</v>
      </c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  <c r="V4" s="299"/>
      <c r="W4" s="299"/>
      <c r="X4" s="299"/>
      <c r="Y4" s="299"/>
      <c r="Z4" s="299"/>
      <c r="AA4" s="299"/>
      <c r="AB4" s="299"/>
      <c r="AC4" s="299"/>
      <c r="AD4" s="299"/>
      <c r="AE4" s="299"/>
      <c r="AF4" s="299"/>
      <c r="AG4" s="299"/>
    </row>
    <row r="5" spans="2:33" ht="18" customHeight="1" x14ac:dyDescent="0.25">
      <c r="B5" s="320" t="s">
        <v>75</v>
      </c>
      <c r="C5" s="320"/>
      <c r="D5" s="320"/>
      <c r="E5" s="320"/>
      <c r="F5" s="320"/>
      <c r="G5" s="320"/>
      <c r="H5" s="320"/>
      <c r="I5" s="320"/>
      <c r="J5" s="320"/>
      <c r="K5" s="320"/>
      <c r="L5" s="320"/>
      <c r="M5" s="320"/>
      <c r="N5" s="320"/>
      <c r="O5" s="320"/>
      <c r="P5" s="320"/>
      <c r="Q5" s="320"/>
      <c r="R5" s="320"/>
      <c r="S5" s="320"/>
      <c r="T5" s="320"/>
      <c r="U5" s="320"/>
      <c r="V5" s="320"/>
      <c r="W5" s="320"/>
      <c r="X5" s="320"/>
      <c r="Y5" s="320"/>
      <c r="Z5" s="320"/>
      <c r="AA5" s="320"/>
      <c r="AB5" s="320"/>
      <c r="AC5" s="320"/>
      <c r="AD5" s="320"/>
      <c r="AE5" s="320"/>
      <c r="AF5" s="320"/>
      <c r="AG5" s="320"/>
    </row>
    <row r="6" spans="2:33" ht="18" customHeight="1" thickBot="1" x14ac:dyDescent="0.3"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6"/>
      <c r="S6" s="126"/>
      <c r="T6" s="126"/>
      <c r="U6" s="126"/>
      <c r="V6" s="126"/>
      <c r="W6" s="126"/>
      <c r="X6" s="126"/>
      <c r="Y6" s="126"/>
      <c r="Z6" s="126"/>
      <c r="AA6" s="126"/>
      <c r="AB6" s="126"/>
      <c r="AC6" s="126"/>
      <c r="AD6" s="126"/>
      <c r="AE6" s="126"/>
      <c r="AF6" s="126"/>
      <c r="AG6" s="126"/>
    </row>
    <row r="7" spans="2:33" ht="44.25" customHeight="1" thickBot="1" x14ac:dyDescent="0.3">
      <c r="B7" s="313" t="s">
        <v>76</v>
      </c>
      <c r="C7" s="314"/>
      <c r="D7" s="315"/>
      <c r="E7" s="318" t="s">
        <v>77</v>
      </c>
      <c r="F7" s="319"/>
      <c r="G7" s="319"/>
      <c r="H7" s="319"/>
      <c r="I7" s="319"/>
      <c r="J7" s="319"/>
      <c r="K7" s="127"/>
      <c r="L7" s="127"/>
      <c r="M7" s="127"/>
      <c r="N7" s="127"/>
      <c r="O7" s="127"/>
      <c r="P7" s="127"/>
      <c r="Q7" s="127"/>
      <c r="R7" s="128"/>
      <c r="S7" s="316" t="s">
        <v>78</v>
      </c>
      <c r="T7" s="317"/>
      <c r="U7" s="316" t="s">
        <v>79</v>
      </c>
      <c r="V7" s="317"/>
      <c r="W7" s="129"/>
      <c r="X7" s="316" t="s">
        <v>80</v>
      </c>
      <c r="Y7" s="317"/>
      <c r="Z7" s="130" t="s">
        <v>81</v>
      </c>
      <c r="AA7" s="331" t="s">
        <v>82</v>
      </c>
      <c r="AB7" s="332"/>
      <c r="AC7" s="316" t="s">
        <v>83</v>
      </c>
      <c r="AD7" s="317"/>
      <c r="AE7" s="316" t="s">
        <v>84</v>
      </c>
      <c r="AF7" s="317"/>
      <c r="AG7" s="130" t="s">
        <v>85</v>
      </c>
    </row>
    <row r="8" spans="2:33" ht="56.25" customHeight="1" x14ac:dyDescent="0.25">
      <c r="B8" s="321" t="s">
        <v>86</v>
      </c>
      <c r="C8" s="309" t="s">
        <v>87</v>
      </c>
      <c r="D8" s="311" t="s">
        <v>88</v>
      </c>
      <c r="E8" s="311" t="s">
        <v>89</v>
      </c>
      <c r="F8" s="327" t="s">
        <v>90</v>
      </c>
      <c r="G8" s="327" t="s">
        <v>91</v>
      </c>
      <c r="H8" s="323" t="s">
        <v>92</v>
      </c>
      <c r="I8" s="310" t="s">
        <v>93</v>
      </c>
      <c r="J8" s="310" t="s">
        <v>94</v>
      </c>
      <c r="K8" s="310" t="s">
        <v>95</v>
      </c>
      <c r="L8" s="229"/>
      <c r="M8" s="229"/>
      <c r="N8" s="306" t="s">
        <v>96</v>
      </c>
      <c r="O8" s="303" t="s">
        <v>97</v>
      </c>
      <c r="P8" s="303" t="s">
        <v>98</v>
      </c>
      <c r="Q8" s="302" t="s">
        <v>99</v>
      </c>
      <c r="R8" s="302" t="s">
        <v>100</v>
      </c>
      <c r="S8" s="325" t="s">
        <v>101</v>
      </c>
      <c r="T8" s="326"/>
      <c r="U8" s="325" t="s">
        <v>102</v>
      </c>
      <c r="V8" s="326"/>
      <c r="W8" s="328" t="s">
        <v>103</v>
      </c>
      <c r="X8" s="325" t="s">
        <v>104</v>
      </c>
      <c r="Y8" s="326"/>
      <c r="Z8" s="323" t="s">
        <v>105</v>
      </c>
      <c r="AA8" s="230" t="s">
        <v>106</v>
      </c>
      <c r="AB8" s="231">
        <v>535600</v>
      </c>
      <c r="AC8" s="325" t="s">
        <v>107</v>
      </c>
      <c r="AD8" s="326"/>
      <c r="AE8" s="325" t="s">
        <v>108</v>
      </c>
      <c r="AF8" s="326"/>
      <c r="AG8" s="323" t="s">
        <v>105</v>
      </c>
    </row>
    <row r="9" spans="2:33" ht="54" customHeight="1" thickBot="1" x14ac:dyDescent="0.3">
      <c r="B9" s="322"/>
      <c r="C9" s="309"/>
      <c r="D9" s="312"/>
      <c r="E9" s="312"/>
      <c r="F9" s="330"/>
      <c r="G9" s="323"/>
      <c r="H9" s="330"/>
      <c r="I9" s="310"/>
      <c r="J9" s="310"/>
      <c r="K9" s="310"/>
      <c r="L9" s="229" t="s">
        <v>109</v>
      </c>
      <c r="M9" s="229" t="s">
        <v>110</v>
      </c>
      <c r="N9" s="307"/>
      <c r="O9" s="304"/>
      <c r="P9" s="304"/>
      <c r="Q9" s="302"/>
      <c r="R9" s="302"/>
      <c r="S9" s="232" t="s">
        <v>111</v>
      </c>
      <c r="T9" s="233">
        <v>1.2</v>
      </c>
      <c r="U9" s="232" t="s">
        <v>112</v>
      </c>
      <c r="V9" s="233">
        <v>0.7</v>
      </c>
      <c r="W9" s="302"/>
      <c r="X9" s="232" t="s">
        <v>113</v>
      </c>
      <c r="Y9" s="233">
        <v>1</v>
      </c>
      <c r="Z9" s="323"/>
      <c r="AA9" s="234" t="s">
        <v>114</v>
      </c>
      <c r="AB9" s="235">
        <v>566700</v>
      </c>
      <c r="AC9" s="236" t="s">
        <v>115</v>
      </c>
      <c r="AD9" s="237">
        <v>0</v>
      </c>
      <c r="AE9" s="236" t="s">
        <v>116</v>
      </c>
      <c r="AF9" s="237">
        <v>0</v>
      </c>
      <c r="AG9" s="323"/>
    </row>
    <row r="10" spans="2:33" ht="44.25" customHeight="1" thickBot="1" x14ac:dyDescent="0.3">
      <c r="B10" s="322"/>
      <c r="C10" s="309"/>
      <c r="D10" s="312"/>
      <c r="E10" s="312"/>
      <c r="F10" s="330"/>
      <c r="G10" s="323"/>
      <c r="H10" s="330"/>
      <c r="I10" s="310"/>
      <c r="J10" s="310"/>
      <c r="K10" s="310"/>
      <c r="L10" s="229"/>
      <c r="M10" s="229"/>
      <c r="N10" s="308"/>
      <c r="O10" s="305"/>
      <c r="P10" s="305"/>
      <c r="Q10" s="302"/>
      <c r="R10" s="302"/>
      <c r="S10" s="238" t="s">
        <v>117</v>
      </c>
      <c r="T10" s="239" t="s">
        <v>118</v>
      </c>
      <c r="U10" s="238" t="s">
        <v>117</v>
      </c>
      <c r="V10" s="239" t="s">
        <v>118</v>
      </c>
      <c r="W10" s="329"/>
      <c r="X10" s="238" t="s">
        <v>117</v>
      </c>
      <c r="Y10" s="239" t="s">
        <v>118</v>
      </c>
      <c r="Z10" s="324"/>
      <c r="AA10" s="240" t="s">
        <v>119</v>
      </c>
      <c r="AB10" s="241">
        <v>30000</v>
      </c>
      <c r="AC10" s="242" t="s">
        <v>117</v>
      </c>
      <c r="AD10" s="243" t="s">
        <v>118</v>
      </c>
      <c r="AE10" s="242" t="s">
        <v>117</v>
      </c>
      <c r="AF10" s="243" t="s">
        <v>118</v>
      </c>
      <c r="AG10" s="324"/>
    </row>
    <row r="11" spans="2:33" ht="18" customHeight="1" thickBot="1" x14ac:dyDescent="0.3">
      <c r="B11" s="131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  <c r="N11" s="132"/>
      <c r="O11" s="133"/>
      <c r="P11" s="132"/>
      <c r="Q11" s="132"/>
      <c r="R11" s="132"/>
      <c r="S11" s="132"/>
      <c r="T11" s="132"/>
      <c r="U11" s="132"/>
      <c r="V11" s="132"/>
      <c r="W11" s="132"/>
      <c r="X11" s="132"/>
      <c r="Y11" s="132"/>
      <c r="Z11" s="134"/>
      <c r="AA11" s="170"/>
      <c r="AB11" s="181"/>
      <c r="AC11" s="182"/>
      <c r="AD11" s="103"/>
      <c r="AE11" s="182"/>
      <c r="AF11" s="103"/>
      <c r="AG11" s="183"/>
    </row>
    <row r="12" spans="2:33" ht="36" customHeight="1" x14ac:dyDescent="0.25">
      <c r="B12" s="200">
        <v>1</v>
      </c>
      <c r="C12" s="201" t="s">
        <v>258</v>
      </c>
      <c r="D12" s="202">
        <f>IF(SUM(D13:D14)=0,"",SUM(D13:D14))</f>
        <v>1</v>
      </c>
      <c r="E12" s="203">
        <f>IF(ISERROR(SUM(E13:E14)),"",SUM(E13:E14))</f>
        <v>29700000</v>
      </c>
      <c r="F12" s="203">
        <f t="shared" ref="F12:M12" si="0">IF(ISERROR(SUM(F13:F14)),"",SUM(F13:F14))</f>
        <v>320000000</v>
      </c>
      <c r="G12" s="203">
        <f t="shared" si="0"/>
        <v>0</v>
      </c>
      <c r="H12" s="203">
        <f t="shared" si="0"/>
        <v>0</v>
      </c>
      <c r="I12" s="203">
        <f t="shared" si="0"/>
        <v>29700000</v>
      </c>
      <c r="J12" s="203">
        <f>IF(ISERROR(SUM(J13:J14)),"",SUM(J13:J14))</f>
        <v>320000000</v>
      </c>
      <c r="K12" s="203">
        <f>IF(ISERROR(SUM(K13:K14)),"",SUM(K13:K14))</f>
        <v>320000000</v>
      </c>
      <c r="L12" s="203">
        <f t="shared" si="0"/>
        <v>20000000</v>
      </c>
      <c r="M12" s="203">
        <f t="shared" si="0"/>
        <v>1</v>
      </c>
      <c r="N12" s="204">
        <v>1</v>
      </c>
      <c r="O12" s="205">
        <f>IF(ISERROR(VLOOKUP(N12,POA!$A$2:$C$16,3,0)),"",VLOOKUP(N12,POA!$A$2:$C$16,3,0))</f>
        <v>4</v>
      </c>
      <c r="P12" s="204"/>
      <c r="Q12" s="204">
        <f>+SUM(Q13:Q14)</f>
        <v>0</v>
      </c>
      <c r="R12" s="206">
        <f>IF(ISERROR(VLOOKUP(N12,POA!$A$2:$C$16,2,0)),"",VLOOKUP(N12,POA!$A$2:$C$16,2,0))</f>
        <v>120000000</v>
      </c>
      <c r="S12" s="203">
        <f>IF(ISERROR(SUM(E12/G12)),0,SUM(E12/G12))</f>
        <v>0</v>
      </c>
      <c r="T12" s="207" t="str">
        <f>IF(OR(S12=0,N12="",R12=""),"",IF(S12&gt;=$T$9,"HABIL","NO HABIL"))</f>
        <v/>
      </c>
      <c r="U12" s="208">
        <f>IF(ISERROR(SUM(H12/F12)),0,SUM(H12/F12))</f>
        <v>0</v>
      </c>
      <c r="V12" s="207" t="str">
        <f>IF(OR(U12=0,N12="",R12=""),"",IF(U12&lt;=$V$9,"HABIL","NO HABIL"))</f>
        <v/>
      </c>
      <c r="W12" s="204">
        <f>+SUM(W13:W14)</f>
        <v>0</v>
      </c>
      <c r="X12" s="208">
        <f>IF(ISERROR(SUM(L12/M12)),0,SUM(L12/M12))</f>
        <v>20000000</v>
      </c>
      <c r="Y12" s="207" t="str">
        <f>IF(OR(X12=0,N12="",R12=""),"",IF(X12&gt;=$Y$9,"HABIL","NO HABIL"))</f>
        <v>HABIL</v>
      </c>
      <c r="Z12" s="207" t="str">
        <f>IF(OR(T12="",V12="",Y12=""),"",IF(T12="NO HABIL","NO HABIL",IF(V12="NO HABIL","NO HABIL",IF(Y12="NO HABIL","NO HABIL",IF(Y12="NO HABIL","NO HABIL","HABIL")))))</f>
        <v/>
      </c>
      <c r="AA12" s="209"/>
      <c r="AB12" s="210"/>
      <c r="AC12" s="208">
        <f>IF(ISERROR(SUM(L12/K12)),0,SUM(L12/K12))</f>
        <v>6.25E-2</v>
      </c>
      <c r="AD12" s="207" t="str">
        <f>IF(OR(AC12=0,N12="",R12=""),"",IF(AC12&gt;=$AD$9,"HABIL","NO HABIL"))</f>
        <v>HABIL</v>
      </c>
      <c r="AE12" s="208">
        <f>IF(ISERROR(SUM(L12/F12)),0,SUM(L12/F12))</f>
        <v>6.25E-2</v>
      </c>
      <c r="AF12" s="207" t="str">
        <f>IF(OR(AE12=0,N12="",R12=""),"",IF(AE12&gt;=$AF$9,"HABIL","NO HABIL"))</f>
        <v>HABIL</v>
      </c>
      <c r="AG12" s="211" t="str">
        <f t="shared" ref="AG12:AG13" si="1">IF(OR(AD12="",AF12=""),"",IF(AD12="NO HABIL","NO HABIL",IF(AF12="NO HABIL","NO HABIL",IF(AF12="NO HABIL","NO HABIL","HABIL"))))</f>
        <v>HABIL</v>
      </c>
    </row>
    <row r="13" spans="2:33" ht="13.8" x14ac:dyDescent="0.25">
      <c r="B13" s="212">
        <v>1.1000000000000001</v>
      </c>
      <c r="C13" s="213" t="s">
        <v>258</v>
      </c>
      <c r="D13" s="214">
        <v>1</v>
      </c>
      <c r="E13" s="215">
        <v>29700000</v>
      </c>
      <c r="F13" s="215">
        <v>320000000</v>
      </c>
      <c r="G13" s="215"/>
      <c r="H13" s="215"/>
      <c r="I13" s="215">
        <f>IF(ISERROR(E13-G13),"",E13-G13)</f>
        <v>29700000</v>
      </c>
      <c r="J13" s="215">
        <f t="shared" ref="J13" si="2">IF(ISERROR(F13-H13),"",F13-H13)</f>
        <v>320000000</v>
      </c>
      <c r="K13" s="215">
        <f>IF(ISERROR(F13-H13),"",F13-H13)</f>
        <v>320000000</v>
      </c>
      <c r="L13" s="215">
        <v>20000000</v>
      </c>
      <c r="M13" s="215">
        <v>1</v>
      </c>
      <c r="N13" s="216"/>
      <c r="O13" s="217" t="str">
        <f>IF(ISERROR(VLOOKUP(N13,POA!$A$2:$C$16,3,0)),"",VLOOKUP(N13,POA!$A$2:$C$16,3,0))</f>
        <v/>
      </c>
      <c r="P13" s="218"/>
      <c r="Q13" s="218" t="str">
        <f>IF(ISERROR(VLOOKUP(P13,POA!$A$2:$F$16,4,0)),"",VLOOKUP(P13,POA!$A$2:$F$16,4,0))</f>
        <v/>
      </c>
      <c r="R13" s="219" t="str">
        <f>+Propuestas!F4</f>
        <v>69.967.240 COP</v>
      </c>
      <c r="S13" s="220"/>
      <c r="T13" s="221" t="str">
        <f>IF(OR(S12=0,N13="",R13=""),"",IF(S12&gt;=$T$9,"HABIL","NO HABIL"))</f>
        <v/>
      </c>
      <c r="U13" s="222"/>
      <c r="V13" s="221" t="str">
        <f>IF(OR(U12=0,N13="",R13=""),"",IF(U12&lt;=$V$9,"HABIL","NO HABIL"))</f>
        <v/>
      </c>
      <c r="W13" s="218" t="s">
        <v>120</v>
      </c>
      <c r="X13" s="218"/>
      <c r="Y13" s="221" t="str">
        <f>IF(OR(X12=0,N13="",R13=""),"",IF(X12&gt;=$Y$9,"HABIL","NO HABIL"))</f>
        <v/>
      </c>
      <c r="Z13" s="221"/>
      <c r="AA13" s="223">
        <f>IF(ISERROR(F13/$AB$9),"",F13/$AB$9)</f>
        <v>564.67266631374628</v>
      </c>
      <c r="AB13" s="224" t="str">
        <f>+IF(AA13&lt;$AB$10,"MIPYME","NO CUMPLE")</f>
        <v>MIPYME</v>
      </c>
      <c r="AC13" s="225"/>
      <c r="AD13" s="221" t="str">
        <f>IF(OR(AC12=0,N13="",R13=""),"",IF(AC12&gt;=$AD$9,"HABIL","NO HABIL"))</f>
        <v/>
      </c>
      <c r="AE13" s="225"/>
      <c r="AF13" s="221" t="str">
        <f>IF(OR(AE12=0,N13="",R13=""),"",IF(AE12&gt;=$AF$9,"HABIL","NO HABIL"))</f>
        <v/>
      </c>
      <c r="AG13" s="226" t="str">
        <f t="shared" si="1"/>
        <v/>
      </c>
    </row>
    <row r="14" spans="2:33" ht="13.8" x14ac:dyDescent="0.25">
      <c r="B14" s="212"/>
      <c r="C14" s="214"/>
      <c r="D14" s="214"/>
      <c r="E14" s="215"/>
      <c r="F14" s="215"/>
      <c r="G14" s="215"/>
      <c r="H14" s="215"/>
      <c r="I14" s="215"/>
      <c r="J14" s="215"/>
      <c r="K14" s="215"/>
      <c r="L14" s="215"/>
      <c r="M14" s="215"/>
      <c r="N14" s="227"/>
      <c r="O14" s="227"/>
      <c r="P14" s="218"/>
      <c r="Q14" s="218"/>
      <c r="R14" s="219"/>
      <c r="S14" s="220"/>
      <c r="T14" s="221"/>
      <c r="U14" s="222"/>
      <c r="V14" s="221"/>
      <c r="W14" s="218"/>
      <c r="X14" s="218"/>
      <c r="Y14" s="221"/>
      <c r="Z14" s="221"/>
      <c r="AA14" s="223"/>
      <c r="AB14" s="224"/>
      <c r="AC14" s="225"/>
      <c r="AD14" s="221"/>
      <c r="AE14" s="225"/>
      <c r="AF14" s="221"/>
      <c r="AG14" s="228"/>
    </row>
    <row r="19" spans="6:31" ht="18" customHeight="1" x14ac:dyDescent="0.25">
      <c r="F19" s="184"/>
      <c r="G19" s="185"/>
      <c r="H19" s="185"/>
      <c r="I19" s="185"/>
      <c r="J19" s="186"/>
      <c r="K19" s="186"/>
      <c r="L19" s="186"/>
      <c r="M19" s="186"/>
      <c r="N19" s="187"/>
      <c r="O19" s="187"/>
      <c r="P19" s="187"/>
      <c r="Q19" s="187"/>
      <c r="R19" s="187"/>
      <c r="S19" s="187"/>
      <c r="T19" s="187"/>
      <c r="U19" s="187"/>
      <c r="V19" s="187"/>
      <c r="W19" s="187"/>
      <c r="X19" s="187"/>
      <c r="Y19" s="187"/>
      <c r="Z19" s="185"/>
      <c r="AA19" s="103"/>
      <c r="AB19" s="103"/>
      <c r="AC19" s="180"/>
      <c r="AD19" s="103"/>
      <c r="AE19" s="180"/>
    </row>
    <row r="25" spans="6:31" ht="18" customHeight="1" x14ac:dyDescent="0.25">
      <c r="F25" s="184"/>
      <c r="G25" s="185"/>
      <c r="H25" s="185"/>
      <c r="I25" s="185"/>
      <c r="J25" s="186"/>
      <c r="K25" s="186"/>
      <c r="L25" s="186"/>
      <c r="M25" s="186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5"/>
      <c r="AA25" s="103"/>
      <c r="AB25" s="103"/>
      <c r="AC25" s="180"/>
      <c r="AD25" s="103"/>
      <c r="AE25" s="180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 scale="85" printArea="1">
      <selection activeCell="D44" sqref="D44"/>
      <pageMargins left="0" right="0" top="0" bottom="0" header="0" footer="0"/>
      <printOptions horizontalCentered="1" verticalCentered="1"/>
      <pageSetup paperSize="14" scale="50" orientation="landscape" horizontalDpi="300" verticalDpi="300" r:id="rId1"/>
      <headerFooter alignWithMargins="0">
        <oddFooter>&amp;RElaboro: JJR
&amp;D</oddFooter>
      </headerFooter>
    </customSheetView>
  </customSheetViews>
  <mergeCells count="36">
    <mergeCell ref="AE7:AF7"/>
    <mergeCell ref="AE8:AF8"/>
    <mergeCell ref="AG8:AG10"/>
    <mergeCell ref="X7:Y7"/>
    <mergeCell ref="X8:Y8"/>
    <mergeCell ref="AC7:AD7"/>
    <mergeCell ref="AC8:AD8"/>
    <mergeCell ref="AA7:AB7"/>
    <mergeCell ref="B8:B10"/>
    <mergeCell ref="P8:P10"/>
    <mergeCell ref="Z8:Z10"/>
    <mergeCell ref="S8:T8"/>
    <mergeCell ref="U8:V8"/>
    <mergeCell ref="G8:G10"/>
    <mergeCell ref="W8:W10"/>
    <mergeCell ref="D8:D10"/>
    <mergeCell ref="F8:F10"/>
    <mergeCell ref="H8:H10"/>
    <mergeCell ref="I8:I10"/>
    <mergeCell ref="K8:K10"/>
    <mergeCell ref="B1:Z1"/>
    <mergeCell ref="B4:AG4"/>
    <mergeCell ref="B3:AG3"/>
    <mergeCell ref="B2:AG2"/>
    <mergeCell ref="R8:R10"/>
    <mergeCell ref="O8:O10"/>
    <mergeCell ref="Q8:Q10"/>
    <mergeCell ref="N8:N10"/>
    <mergeCell ref="C8:C10"/>
    <mergeCell ref="J8:J10"/>
    <mergeCell ref="E8:E10"/>
    <mergeCell ref="B7:D7"/>
    <mergeCell ref="S7:T7"/>
    <mergeCell ref="U7:V7"/>
    <mergeCell ref="E7:J7"/>
    <mergeCell ref="B5:AG5"/>
  </mergeCells>
  <phoneticPr fontId="0" type="noConversion"/>
  <conditionalFormatting sqref="C12:C13">
    <cfRule type="containsText" dxfId="62" priority="1" operator="containsText" text="O">
      <formula>NOT(ISERROR(SEARCH("O",C12)))</formula>
    </cfRule>
  </conditionalFormatting>
  <conditionalFormatting sqref="C12:D14">
    <cfRule type="cellIs" dxfId="61" priority="5167" stopIfTrue="1" operator="equal">
      <formula>"NO ADMISIBLE"</formula>
    </cfRule>
  </conditionalFormatting>
  <conditionalFormatting sqref="J13:K14">
    <cfRule type="cellIs" dxfId="60" priority="264" stopIfTrue="1" operator="equal">
      <formula>"NO ADMISIBLE"</formula>
    </cfRule>
  </conditionalFormatting>
  <conditionalFormatting sqref="N12:AB14 AA1:AG1 AH1:IW11 AA7:AA9 Z7:Z10 AB8:AB9 AA10:AB10 AA11 AC11:AF11">
    <cfRule type="cellIs" dxfId="59" priority="8158" stopIfTrue="1" operator="equal">
      <formula>"NO ADMISIBLE"</formula>
    </cfRule>
  </conditionalFormatting>
  <conditionalFormatting sqref="X12 T12:V14 Z12:Z14">
    <cfRule type="cellIs" dxfId="58" priority="8160" stopIfTrue="1" operator="equal">
      <formula>"ADMISIBLE"</formula>
    </cfRule>
  </conditionalFormatting>
  <conditionalFormatting sqref="X12">
    <cfRule type="cellIs" dxfId="57" priority="8159" stopIfTrue="1" operator="equal">
      <formula>"NO ADMISIBLE"</formula>
    </cfRule>
  </conditionalFormatting>
  <conditionalFormatting sqref="Y12:Y14">
    <cfRule type="cellIs" dxfId="56" priority="7027" stopIfTrue="1" operator="equal">
      <formula>"NO ADMISIBLE"</formula>
    </cfRule>
    <cfRule type="cellIs" dxfId="55" priority="7028" stopIfTrue="1" operator="equal">
      <formula>"ADMISIBLE"</formula>
    </cfRule>
  </conditionalFormatting>
  <conditionalFormatting sqref="AC12">
    <cfRule type="cellIs" dxfId="54" priority="7024" stopIfTrue="1" operator="equal">
      <formula>"NO ADMISIBLE"</formula>
    </cfRule>
    <cfRule type="cellIs" dxfId="53" priority="7025" stopIfTrue="1" operator="equal">
      <formula>"ADMISIBLE"</formula>
    </cfRule>
  </conditionalFormatting>
  <conditionalFormatting sqref="AC12:AD14">
    <cfRule type="cellIs" dxfId="52" priority="7026" stopIfTrue="1" operator="equal">
      <formula>"NO ADMISIBLE"</formula>
    </cfRule>
  </conditionalFormatting>
  <conditionalFormatting sqref="AD12:AD14">
    <cfRule type="cellIs" dxfId="51" priority="7023" stopIfTrue="1" operator="equal">
      <formula>"ADMISIBLE"</formula>
    </cfRule>
  </conditionalFormatting>
  <conditionalFormatting sqref="AD12:AF14">
    <cfRule type="cellIs" dxfId="50" priority="7021" stopIfTrue="1" operator="equal">
      <formula>"NO ADMISIBLE"</formula>
    </cfRule>
  </conditionalFormatting>
  <conditionalFormatting sqref="AE12">
    <cfRule type="cellIs" dxfId="49" priority="7019" stopIfTrue="1" operator="equal">
      <formula>"NO ADMISIBLE"</formula>
    </cfRule>
    <cfRule type="cellIs" dxfId="48" priority="7020" stopIfTrue="1" operator="equal">
      <formula>"ADMISIBLE"</formula>
    </cfRule>
  </conditionalFormatting>
  <conditionalFormatting sqref="AF12:AF14">
    <cfRule type="cellIs" dxfId="47" priority="7017" stopIfTrue="1" operator="equal">
      <formula>"NO ADMISIBLE"</formula>
    </cfRule>
    <cfRule type="cellIs" dxfId="46" priority="7018" stopIfTrue="1" operator="equal">
      <formula>"ADMISIBLE"</formula>
    </cfRule>
  </conditionalFormatting>
  <conditionalFormatting sqref="AG7:AG14">
    <cfRule type="cellIs" dxfId="45" priority="7015" stopIfTrue="1" operator="equal">
      <formula>"NO ADMISIBLE"</formula>
    </cfRule>
  </conditionalFormatting>
  <conditionalFormatting sqref="AG12:AG14">
    <cfRule type="cellIs" dxfId="44" priority="7016" stopIfTrue="1" operator="equal">
      <formula>"ADMISIBLE"</formula>
    </cfRule>
  </conditionalFormatting>
  <dataValidations count="1">
    <dataValidation type="list" allowBlank="1" showInputMessage="1" showErrorMessage="1" sqref="D12:D14" xr:uid="{00000000-0002-0000-0400-000000000000}">
      <formula1>prueba</formula1>
    </dataValidation>
  </dataValidations>
  <printOptions horizontalCentered="1" verticalCentered="1"/>
  <pageMargins left="0.19685039370078741" right="0.75" top="0.55118110236220474" bottom="0.43307086614173229" header="0" footer="0"/>
  <pageSetup paperSize="14" scale="27" orientation="landscape" horizontalDpi="300" verticalDpi="300" r:id="rId2"/>
  <headerFooter alignWithMargins="0">
    <oddFooter>&amp;RElaboro: JJR
&amp;D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5FB8320-DCB7-4CA4-A6EB-5BA19722D168}">
          <x14:formula1>
            <xm:f>Propuestas!$C$4:$C$4</xm:f>
          </x14:formula1>
          <xm:sqref>C12:C14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1">
    <pageSetUpPr fitToPage="1"/>
  </sheetPr>
  <dimension ref="B2:I11"/>
  <sheetViews>
    <sheetView view="pageBreakPreview" topLeftCell="A5" zoomScaleNormal="100" zoomScaleSheetLayoutView="100" workbookViewId="0">
      <selection activeCell="E14" sqref="E14"/>
    </sheetView>
  </sheetViews>
  <sheetFormatPr baseColWidth="10" defaultColWidth="11.44140625" defaultRowHeight="13.2" x14ac:dyDescent="0.25"/>
  <cols>
    <col min="2" max="2" width="3.88671875" customWidth="1"/>
    <col min="3" max="3" width="37.33203125" bestFit="1" customWidth="1"/>
    <col min="4" max="4" width="15" customWidth="1"/>
    <col min="5" max="5" width="31.5546875" bestFit="1" customWidth="1"/>
    <col min="6" max="6" width="22.88671875" bestFit="1" customWidth="1"/>
    <col min="7" max="7" width="17" customWidth="1"/>
    <col min="8" max="8" width="15" style="137" bestFit="1" customWidth="1"/>
    <col min="9" max="9" width="36.109375" style="137" customWidth="1"/>
  </cols>
  <sheetData>
    <row r="2" spans="2:9" s="138" customFormat="1" ht="20.25" customHeight="1" x14ac:dyDescent="0.3">
      <c r="B2" s="335" t="s">
        <v>121</v>
      </c>
      <c r="C2" s="335"/>
      <c r="D2" s="335"/>
      <c r="E2" s="335"/>
      <c r="F2" s="335"/>
      <c r="G2" s="335"/>
      <c r="H2" s="335"/>
      <c r="I2" s="335"/>
    </row>
    <row r="3" spans="2:9" s="138" customFormat="1" ht="18" customHeight="1" x14ac:dyDescent="0.3">
      <c r="B3" s="336" t="s">
        <v>73</v>
      </c>
      <c r="C3" s="336"/>
      <c r="D3" s="336"/>
      <c r="E3" s="336"/>
      <c r="F3" s="336"/>
      <c r="G3" s="336"/>
      <c r="H3" s="336"/>
      <c r="I3" s="336"/>
    </row>
    <row r="4" spans="2:9" s="138" customFormat="1" ht="13.5" customHeight="1" x14ac:dyDescent="0.3">
      <c r="B4" s="337" t="str">
        <f>'Capacidad Financiera'!B4</f>
        <v>DIRECCIÓN TERRITORIAL BOLIVAR</v>
      </c>
      <c r="C4" s="337"/>
      <c r="D4" s="337"/>
      <c r="E4" s="337"/>
      <c r="F4" s="337"/>
      <c r="G4" s="337"/>
      <c r="H4" s="337"/>
      <c r="I4" s="337"/>
    </row>
    <row r="5" spans="2:9" s="138" customFormat="1" ht="13.5" customHeight="1" x14ac:dyDescent="0.3">
      <c r="B5" s="337" t="s">
        <v>122</v>
      </c>
      <c r="C5" s="337"/>
      <c r="D5" s="337"/>
      <c r="E5" s="337"/>
      <c r="F5" s="337"/>
      <c r="G5" s="337"/>
      <c r="H5" s="337"/>
      <c r="I5" s="337"/>
    </row>
    <row r="6" spans="2:9" s="138" customFormat="1" ht="14.4" thickBot="1" x14ac:dyDescent="0.35">
      <c r="B6" s="139"/>
      <c r="C6" s="139"/>
      <c r="D6" s="140"/>
      <c r="E6" s="140"/>
      <c r="F6" s="140"/>
      <c r="G6" s="141"/>
      <c r="H6" s="142"/>
      <c r="I6" s="142"/>
    </row>
    <row r="7" spans="2:9" ht="69" customHeight="1" x14ac:dyDescent="0.25">
      <c r="B7" s="338" t="s">
        <v>86</v>
      </c>
      <c r="C7" s="340" t="s">
        <v>87</v>
      </c>
      <c r="D7" s="342" t="s">
        <v>123</v>
      </c>
      <c r="E7" s="342" t="s">
        <v>124</v>
      </c>
      <c r="F7" s="342" t="s">
        <v>125</v>
      </c>
      <c r="G7" s="342" t="s">
        <v>126</v>
      </c>
      <c r="H7" s="333" t="s">
        <v>122</v>
      </c>
      <c r="I7" s="334"/>
    </row>
    <row r="8" spans="2:9" ht="103.5" customHeight="1" x14ac:dyDescent="0.25">
      <c r="B8" s="339"/>
      <c r="C8" s="341"/>
      <c r="D8" s="343"/>
      <c r="E8" s="343"/>
      <c r="F8" s="343"/>
      <c r="G8" s="343"/>
      <c r="H8" s="251" t="s">
        <v>127</v>
      </c>
      <c r="I8" s="252" t="s">
        <v>128</v>
      </c>
    </row>
    <row r="9" spans="2:9" ht="13.8" x14ac:dyDescent="0.25">
      <c r="B9" s="143">
        <f>+'Capacidad Financiera'!B12</f>
        <v>1</v>
      </c>
      <c r="C9" s="244" t="str">
        <f>IF(ISERROR(VLOOKUP(B9,'Capacidad Financiera'!$B$12:$Z$59132,2,0)),"",VLOOKUP(B9,'Capacidad Financiera'!$B$12:$Z$59132,2,0))</f>
        <v>CONSTRUCCIONES HERCAR SAS</v>
      </c>
      <c r="D9" s="245">
        <f>IF(ISERROR(VLOOKUP(B9,'Capacidad Financiera'!$B$12:$Z$59132,3,0)),"",VLOOKUP(B9,'Capacidad Financiera'!$B$12:$Z$59132,3,0))</f>
        <v>1</v>
      </c>
      <c r="E9" s="246">
        <f>E10</f>
        <v>179491000</v>
      </c>
      <c r="F9" s="246">
        <f>F10</f>
        <v>138.07</v>
      </c>
      <c r="G9" s="246">
        <f>POA!B2/SALACTUAL</f>
        <v>92.307692307692307</v>
      </c>
      <c r="H9" s="247">
        <f>F9/(G9*D9)</f>
        <v>1.4957583333333333</v>
      </c>
      <c r="I9" s="248">
        <f>IF(OR(C9="",D9="",E9=""),"",IF(AND(H9&gt;0,H9&lt;=Experiencia1),Puntajes!$D$4,IF(AND(H9&gt;Experiencia1,H9&lt;=Experiencia2),Puntajes!$D$5,IF(AND(H9&gt;Experiencia2,H9&lt;=Experiencia3),Puntajes!$D$6,IF(H9&gt;Experiencia3,Puntajes!$D$7,0)))))</f>
        <v>60</v>
      </c>
    </row>
    <row r="10" spans="2:9" ht="13.8" x14ac:dyDescent="0.25">
      <c r="B10" s="115">
        <f>+'Capacidad Financiera'!B13</f>
        <v>1.1000000000000001</v>
      </c>
      <c r="C10" s="249" t="str">
        <f>IF(ISERROR(VLOOKUP(B10,'Capacidad Financiera'!$B$12:$Z$59132,2,0)),"",VLOOKUP(B10,'Capacidad Financiera'!$B$12:$Z$59132,2,0))</f>
        <v>CONSTRUCCIONES HERCAR SAS</v>
      </c>
      <c r="D10" s="245">
        <f>IF(ISERROR(VLOOKUP(B10,'Capacidad Financiera'!$B$12:$Z$59132,3,0)),"",VLOOKUP(B10,'Capacidad Financiera'!$B$12:$Z$59132,3,0))</f>
        <v>1</v>
      </c>
      <c r="E10" s="246">
        <v>179491000</v>
      </c>
      <c r="F10" s="246">
        <f t="shared" ref="F10" si="0">IF(OR(C10="",D10="",E10=""),"",E10/SALACTUAL)</f>
        <v>138.07</v>
      </c>
      <c r="G10" s="246">
        <v>0</v>
      </c>
      <c r="H10" s="247"/>
      <c r="I10" s="248"/>
    </row>
    <row r="11" spans="2:9" ht="13.8" x14ac:dyDescent="0.25">
      <c r="B11" s="115">
        <f>+'Capacidad Financiera'!B14</f>
        <v>0</v>
      </c>
      <c r="C11" s="52" t="str">
        <f>IF(ISERROR(VLOOKUP(B11,'Capacidad Financiera'!$B$12:$Z$59132,2,0)),"",VLOOKUP(B11,'Capacidad Financiera'!$B$12:$Z$59132,2,0))</f>
        <v/>
      </c>
      <c r="D11" s="144" t="str">
        <f>IF(ISERROR(VLOOKUP(B11,'Capacidad Financiera'!$B$12:$Z$59132,3,0)),"",VLOOKUP(B11,'Capacidad Financiera'!$B$12:$Z$59132,3,0))</f>
        <v/>
      </c>
      <c r="E11" s="92"/>
      <c r="F11" s="92" t="str">
        <f t="shared" ref="F11" si="1">IF(OR(C11="",D11="",E11=""),"",E11/SALACTUAL)</f>
        <v/>
      </c>
      <c r="G11" s="92"/>
      <c r="H11" s="145"/>
      <c r="I11" s="111"/>
    </row>
  </sheetData>
  <sheetProtection formatCells="0" formatColumns="0" formatRows="0" insertColumns="0" insertRows="0" insertHyperlinks="0" deleteColumns="0" deleteRows="0" sort="0" autoFilter="0" pivotTables="0"/>
  <mergeCells count="11">
    <mergeCell ref="H7:I7"/>
    <mergeCell ref="B2:I2"/>
    <mergeCell ref="B3:I3"/>
    <mergeCell ref="B4:I4"/>
    <mergeCell ref="B5:I5"/>
    <mergeCell ref="B7:B8"/>
    <mergeCell ref="C7:C8"/>
    <mergeCell ref="D7:D8"/>
    <mergeCell ref="E7:E8"/>
    <mergeCell ref="G7:G8"/>
    <mergeCell ref="F7:F8"/>
  </mergeCells>
  <conditionalFormatting sqref="C6 H6:I6 C9:C11">
    <cfRule type="cellIs" dxfId="43" priority="1223" stopIfTrue="1" operator="equal">
      <formula>"NO ADMISIBLE"</formula>
    </cfRule>
  </conditionalFormatting>
  <conditionalFormatting sqref="D9 G9">
    <cfRule type="expression" dxfId="42" priority="1224" stopIfTrue="1">
      <formula>IF(#REF!-INT(#REF!)&gt;0,TRUE,FALSE)</formula>
    </cfRule>
  </conditionalFormatting>
  <conditionalFormatting sqref="D10 H10:I10 H11">
    <cfRule type="expression" dxfId="41" priority="1217" stopIfTrue="1">
      <formula>IF(#REF!-INT(#REF!)&gt;0,TRUE,FALSE)</formula>
    </cfRule>
  </conditionalFormatting>
  <conditionalFormatting sqref="D11 I11">
    <cfRule type="expression" dxfId="40" priority="3724" stopIfTrue="1">
      <formula>IF(#REF!-INT(#REF!)&gt;0,TRUE,FALSE)</formula>
    </cfRule>
  </conditionalFormatting>
  <conditionalFormatting sqref="D6:G6">
    <cfRule type="expression" dxfId="39" priority="1222" stopIfTrue="1">
      <formula>IF(#REF!-INT(#REF!)&gt;0,TRUE,FALSE)</formula>
    </cfRule>
  </conditionalFormatting>
  <conditionalFormatting sqref="E9:F9">
    <cfRule type="expression" dxfId="38" priority="1213" stopIfTrue="1">
      <formula>IF(#REF!-INT(#REF!)&gt;0,TRUE,FALSE)</formula>
    </cfRule>
  </conditionalFormatting>
  <conditionalFormatting sqref="E10:G11">
    <cfRule type="expression" dxfId="37" priority="4" stopIfTrue="1">
      <formula>IF(#REF!-INT(#REF!)&gt;0,TRUE,FALSE)</formula>
    </cfRule>
  </conditionalFormatting>
  <conditionalFormatting sqref="H9:I9">
    <cfRule type="expression" dxfId="36" priority="63" stopIfTrue="1">
      <formula>IF(#REF!-INT(#REF!)&gt;0,TRUE,FALSE)</formula>
    </cfRule>
  </conditionalFormatting>
  <dataValidations count="1">
    <dataValidation type="list" allowBlank="1" showInputMessage="1" showErrorMessage="1" sqref="C6 C9:C11" xr:uid="{00000000-0002-0000-0500-000000000000}">
      <formula1>prueba</formula1>
    </dataValidation>
  </dataValidations>
  <pageMargins left="0.75" right="0.75" top="1" bottom="1" header="0" footer="0"/>
  <pageSetup paperSize="14" scale="8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3">
    <pageSetUpPr fitToPage="1"/>
  </sheetPr>
  <dimension ref="A2:D11"/>
  <sheetViews>
    <sheetView showGridLines="0" view="pageBreakPreview" zoomScale="80" zoomScaleNormal="100" zoomScaleSheetLayoutView="80" workbookViewId="0">
      <selection activeCell="D16" sqref="D16"/>
    </sheetView>
  </sheetViews>
  <sheetFormatPr baseColWidth="10" defaultColWidth="11.44140625" defaultRowHeight="13.2" x14ac:dyDescent="0.25"/>
  <cols>
    <col min="1" max="1" width="3.88671875" customWidth="1"/>
    <col min="2" max="2" width="29.44140625" customWidth="1"/>
    <col min="3" max="3" width="35" style="147" customWidth="1"/>
    <col min="4" max="4" width="35" style="148" customWidth="1"/>
  </cols>
  <sheetData>
    <row r="2" spans="1:4" s="138" customFormat="1" ht="20.25" customHeight="1" x14ac:dyDescent="0.3">
      <c r="A2" s="335" t="s">
        <v>121</v>
      </c>
      <c r="B2" s="335"/>
      <c r="C2" s="335"/>
      <c r="D2" s="335"/>
    </row>
    <row r="3" spans="1:4" s="138" customFormat="1" ht="18" customHeight="1" x14ac:dyDescent="0.3">
      <c r="A3" s="336" t="s">
        <v>73</v>
      </c>
      <c r="B3" s="336"/>
      <c r="C3" s="336"/>
      <c r="D3" s="336"/>
    </row>
    <row r="4" spans="1:4" s="138" customFormat="1" ht="13.5" customHeight="1" x14ac:dyDescent="0.3">
      <c r="A4" s="344" t="str">
        <f>'Capacidad Financiera'!B4</f>
        <v>DIRECCIÓN TERRITORIAL BOLIVAR</v>
      </c>
      <c r="B4" s="344"/>
      <c r="C4" s="344"/>
      <c r="D4" s="344"/>
    </row>
    <row r="5" spans="1:4" s="138" customFormat="1" ht="13.5" customHeight="1" x14ac:dyDescent="0.3">
      <c r="A5" s="344" t="s">
        <v>129</v>
      </c>
      <c r="B5" s="344"/>
      <c r="C5" s="344"/>
      <c r="D5" s="344"/>
    </row>
    <row r="6" spans="1:4" s="138" customFormat="1" ht="14.4" thickBot="1" x14ac:dyDescent="0.35">
      <c r="A6" s="253"/>
      <c r="B6" s="253"/>
      <c r="C6" s="254"/>
      <c r="D6" s="255"/>
    </row>
    <row r="7" spans="1:4" ht="19.5" customHeight="1" x14ac:dyDescent="0.25">
      <c r="A7" s="345" t="s">
        <v>86</v>
      </c>
      <c r="B7" s="347" t="s">
        <v>87</v>
      </c>
      <c r="C7" s="49" t="s">
        <v>130</v>
      </c>
      <c r="D7" s="250" t="s">
        <v>129</v>
      </c>
    </row>
    <row r="8" spans="1:4" ht="72.75" customHeight="1" thickBot="1" x14ac:dyDescent="0.3">
      <c r="A8" s="346"/>
      <c r="B8" s="348"/>
      <c r="C8" s="196" t="s">
        <v>131</v>
      </c>
      <c r="D8" s="256" t="s">
        <v>132</v>
      </c>
    </row>
    <row r="9" spans="1:4" ht="13.8" x14ac:dyDescent="0.25">
      <c r="A9" s="146">
        <f>+'Capacidad Financiera'!B12</f>
        <v>1</v>
      </c>
      <c r="B9" s="258" t="str">
        <f>IF(ISERROR(VLOOKUP(A9,'Capacidad Financiera'!$B$12:$Z$59132,2,0)),"",VLOOKUP(A9,'Capacidad Financiera'!$B$12:$Z$59132,2,0))</f>
        <v>CONSTRUCCIONES HERCAR SAS</v>
      </c>
      <c r="C9" s="259">
        <f>C10+C11</f>
        <v>1</v>
      </c>
      <c r="D9" s="260">
        <f>IF(OR(B9="",C9=""),"",IF(AND(C9&gt;0,C9&lt;=CapTecnica1),Puntajes!$H$4,IF(AND(C9&gt;CapTecnica1,C9&lt;=CapTecnica2),Puntajes!$H$5,IF(C9&gt;CapTecnica2,Puntajes!$H$6,0))))</f>
        <v>20</v>
      </c>
    </row>
    <row r="10" spans="1:4" ht="13.8" x14ac:dyDescent="0.25">
      <c r="A10" s="115">
        <f>+'Capacidad Financiera'!B13</f>
        <v>1.1000000000000001</v>
      </c>
      <c r="B10" s="52" t="str">
        <f>IF(ISERROR(VLOOKUP(A10,'Capacidad Financiera'!$B$12:$Z$59132,2,0)),"",VLOOKUP(A10,'Capacidad Financiera'!$B$12:$Z$59132,2,0))</f>
        <v>CONSTRUCCIONES HERCAR SAS</v>
      </c>
      <c r="C10" s="94">
        <v>1</v>
      </c>
      <c r="D10" s="111"/>
    </row>
    <row r="11" spans="1:4" ht="13.8" x14ac:dyDescent="0.25">
      <c r="A11" s="115">
        <f>+'Capacidad Financiera'!B14</f>
        <v>0</v>
      </c>
      <c r="B11" s="52" t="str">
        <f>IF(ISERROR(VLOOKUP(A11,'Capacidad Financiera'!$B$12:$Z$59132,2,0)),"",VLOOKUP(A11,'Capacidad Financiera'!$B$12:$Z$59132,2,0))</f>
        <v/>
      </c>
      <c r="C11" s="94"/>
      <c r="D11" s="111"/>
    </row>
  </sheetData>
  <sheetProtection formatCells="0" formatColumns="0" formatRows="0" insertColumns="0" insertRows="0" insertHyperlinks="0" deleteColumns="0" deleteRows="0" sort="0" autoFilter="0" pivotTables="0"/>
  <mergeCells count="6">
    <mergeCell ref="A2:D2"/>
    <mergeCell ref="A3:D3"/>
    <mergeCell ref="A4:D4"/>
    <mergeCell ref="A5:D5"/>
    <mergeCell ref="A7:A8"/>
    <mergeCell ref="B7:B8"/>
  </mergeCells>
  <conditionalFormatting sqref="B6 D6 B9:B11">
    <cfRule type="cellIs" dxfId="35" priority="289" stopIfTrue="1" operator="equal">
      <formula>"NO ADMISIBLE"</formula>
    </cfRule>
  </conditionalFormatting>
  <conditionalFormatting sqref="C6">
    <cfRule type="expression" dxfId="34" priority="288" stopIfTrue="1">
      <formula>IF(#REF!-INT(#REF!)&gt;0,TRUE,FALSE)</formula>
    </cfRule>
  </conditionalFormatting>
  <conditionalFormatting sqref="C9">
    <cfRule type="expression" dxfId="33" priority="19" stopIfTrue="1">
      <formula>IF(#REF!-INT(#REF!)&gt;0,TRUE,FALSE)</formula>
    </cfRule>
  </conditionalFormatting>
  <conditionalFormatting sqref="C10:C11">
    <cfRule type="expression" dxfId="32" priority="290" stopIfTrue="1">
      <formula>IF(#REF!-INT(#REF!)&gt;0,TRUE,FALSE)</formula>
    </cfRule>
  </conditionalFormatting>
  <conditionalFormatting sqref="D9">
    <cfRule type="expression" dxfId="31" priority="18" stopIfTrue="1">
      <formula>IF(#REF!-INT(#REF!)&gt;0,TRUE,FALSE)</formula>
    </cfRule>
  </conditionalFormatting>
  <conditionalFormatting sqref="D10:D11">
    <cfRule type="expression" dxfId="30" priority="283" stopIfTrue="1">
      <formula>IF(#REF!-INT(#REF!)&gt;0,TRUE,FALSE)</formula>
    </cfRule>
  </conditionalFormatting>
  <dataValidations count="1">
    <dataValidation type="list" allowBlank="1" showInputMessage="1" showErrorMessage="1" sqref="B6 B9:B11" xr:uid="{00000000-0002-0000-0600-000000000000}">
      <formula1>prueba</formula1>
    </dataValidation>
  </dataValidations>
  <pageMargins left="0.75" right="0.75" top="1" bottom="1" header="0" footer="0"/>
  <pageSetup paperSize="1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0">
    <pageSetUpPr fitToPage="1"/>
  </sheetPr>
  <dimension ref="A2:F10"/>
  <sheetViews>
    <sheetView view="pageBreakPreview" topLeftCell="A6" zoomScaleNormal="100" zoomScaleSheetLayoutView="100" workbookViewId="0">
      <selection activeCell="B9" sqref="B9:F10"/>
    </sheetView>
  </sheetViews>
  <sheetFormatPr baseColWidth="10" defaultColWidth="11.44140625" defaultRowHeight="13.2" x14ac:dyDescent="0.25"/>
  <cols>
    <col min="1" max="1" width="3.88671875" customWidth="1"/>
    <col min="2" max="2" width="29.44140625" customWidth="1"/>
    <col min="3" max="4" width="18.6640625" style="137" customWidth="1"/>
    <col min="5" max="5" width="18.88671875" style="137" bestFit="1" customWidth="1"/>
    <col min="6" max="6" width="42.44140625" style="137" customWidth="1"/>
  </cols>
  <sheetData>
    <row r="2" spans="1:6" s="138" customFormat="1" ht="20.25" customHeight="1" x14ac:dyDescent="0.3">
      <c r="A2" s="335" t="s">
        <v>121</v>
      </c>
      <c r="B2" s="335"/>
      <c r="C2" s="335"/>
      <c r="D2" s="335"/>
      <c r="E2" s="335"/>
      <c r="F2" s="335"/>
    </row>
    <row r="3" spans="1:6" s="138" customFormat="1" ht="18" customHeight="1" x14ac:dyDescent="0.3">
      <c r="A3" s="336" t="s">
        <v>73</v>
      </c>
      <c r="B3" s="336"/>
      <c r="C3" s="336"/>
      <c r="D3" s="336"/>
      <c r="E3" s="336"/>
      <c r="F3" s="336"/>
    </row>
    <row r="4" spans="1:6" s="138" customFormat="1" ht="13.5" customHeight="1" x14ac:dyDescent="0.3">
      <c r="A4" s="337" t="str">
        <f>'Capacidad Financiera'!B4</f>
        <v>DIRECCIÓN TERRITORIAL BOLIVAR</v>
      </c>
      <c r="B4" s="337"/>
      <c r="C4" s="337"/>
      <c r="D4" s="337"/>
      <c r="E4" s="337"/>
      <c r="F4" s="337"/>
    </row>
    <row r="5" spans="1:6" s="138" customFormat="1" ht="13.5" customHeight="1" x14ac:dyDescent="0.3">
      <c r="A5" s="337" t="s">
        <v>133</v>
      </c>
      <c r="B5" s="337"/>
      <c r="C5" s="337"/>
      <c r="D5" s="337"/>
      <c r="E5" s="337"/>
      <c r="F5" s="337"/>
    </row>
    <row r="6" spans="1:6" s="138" customFormat="1" ht="14.4" thickBot="1" x14ac:dyDescent="0.35">
      <c r="A6" s="139"/>
      <c r="B6" s="139"/>
      <c r="C6" s="142"/>
      <c r="D6" s="142"/>
      <c r="E6" s="142"/>
      <c r="F6" s="142"/>
    </row>
    <row r="7" spans="1:6" ht="43.5" customHeight="1" x14ac:dyDescent="0.25">
      <c r="A7" s="345" t="s">
        <v>86</v>
      </c>
      <c r="B7" s="347" t="s">
        <v>87</v>
      </c>
      <c r="C7" s="349" t="s">
        <v>134</v>
      </c>
      <c r="D7" s="351" t="s">
        <v>135</v>
      </c>
      <c r="E7" s="351" t="s">
        <v>136</v>
      </c>
      <c r="F7" s="250" t="s">
        <v>133</v>
      </c>
    </row>
    <row r="8" spans="1:6" ht="84.75" customHeight="1" thickBot="1" x14ac:dyDescent="0.3">
      <c r="A8" s="346"/>
      <c r="B8" s="348"/>
      <c r="C8" s="350"/>
      <c r="D8" s="352"/>
      <c r="E8" s="352"/>
      <c r="F8" s="256" t="s">
        <v>137</v>
      </c>
    </row>
    <row r="9" spans="1:6" ht="13.8" x14ac:dyDescent="0.25">
      <c r="A9" s="146">
        <f>+'Capacidad Financiera'!B12</f>
        <v>1</v>
      </c>
      <c r="B9" s="258" t="str">
        <f>IF(ISERROR(VLOOKUP(A9,'Capacidad Financiera'!$B$12:$Z$59132,2,0)),"",VLOOKUP(A9,'Capacidad Financiera'!$B$12:$Z$59132,2,0))</f>
        <v>CONSTRUCCIONES HERCAR SAS</v>
      </c>
      <c r="C9" s="261">
        <f>C10</f>
        <v>29700000</v>
      </c>
      <c r="D9" s="261">
        <f>D10</f>
        <v>0</v>
      </c>
      <c r="E9" s="145">
        <f>IF(OR(B9="",C9="",D9=""),"",IF(OR(C9=0,D9=0),0,C9/D9))</f>
        <v>0</v>
      </c>
      <c r="F9" s="145">
        <f>IF(OR(B9="",C9="",D9=""),"",IF(AND(E9&gt;0,E9&lt;=CapFinanciera1),Puntajes!$D$12,IF(AND(E9&gt;CapFinanciera1,E9&lt;=CapFinanciera2),Puntajes!$D$13,IF(AND(E9&gt;CapFinanciera2,E9&lt;=CapFinanciera3),Puntajes!$D$14,IF(AND(E9&gt;CapFinanciera3,E9&lt;=CapFinanciera4),Puntajes!$D$15,IF(E9&gt;CapFinanciera4,Puntajes!$D$16,0))))))</f>
        <v>0</v>
      </c>
    </row>
    <row r="10" spans="1:6" ht="13.8" x14ac:dyDescent="0.25">
      <c r="A10" s="149">
        <f>+'Capacidad Financiera'!B13</f>
        <v>1.1000000000000001</v>
      </c>
      <c r="B10" s="52" t="str">
        <f>IF(ISERROR(VLOOKUP(A10,'Capacidad Financiera'!$B$12:$Z$59132,2,0)),"",VLOOKUP(A10,'Capacidad Financiera'!$B$12:$Z$59132,2,0))</f>
        <v>CONSTRUCCIONES HERCAR SAS</v>
      </c>
      <c r="C10" s="145">
        <f>IF(OR(A10="",B10=""),"",IF(ISERROR(VLOOKUP(B10,'Capacidad Financiera'!$C$13:$Z$59132,3,0)),"",VLOOKUP(B10,'Capacidad Financiera'!$C$13:$Z$59132,3,0)))</f>
        <v>29700000</v>
      </c>
      <c r="D10" s="145">
        <f>IF(OR(A10="",B10=""),"",IF(ISERROR(VLOOKUP(B10,'Capacidad Financiera'!$C$13:$Z$59132,5,0)),"",VLOOKUP(B10,'Capacidad Financiera'!$C$13:$Z$59132,5,0)))</f>
        <v>0</v>
      </c>
      <c r="E10" s="145"/>
      <c r="F10" s="145"/>
    </row>
  </sheetData>
  <sheetProtection formatCells="0" formatColumns="0" formatRows="0" insertColumns="0" insertRows="0" insertHyperlinks="0" deleteColumns="0" deleteRows="0" sort="0" autoFilter="0" pivotTables="0"/>
  <mergeCells count="9">
    <mergeCell ref="C7:C8"/>
    <mergeCell ref="D7:D8"/>
    <mergeCell ref="E7:E8"/>
    <mergeCell ref="A2:F2"/>
    <mergeCell ref="A3:F3"/>
    <mergeCell ref="A4:F4"/>
    <mergeCell ref="A5:F5"/>
    <mergeCell ref="A7:A8"/>
    <mergeCell ref="B7:B8"/>
  </mergeCells>
  <conditionalFormatting sqref="B6:F6 B9:B10">
    <cfRule type="cellIs" dxfId="29" priority="555" stopIfTrue="1" operator="equal">
      <formula>"NO ADMISIBLE"</formula>
    </cfRule>
  </conditionalFormatting>
  <conditionalFormatting sqref="C9:D9">
    <cfRule type="expression" dxfId="28" priority="556" stopIfTrue="1">
      <formula>IF(#REF!-INT(#REF!)&gt;0,TRUE,FALSE)</formula>
    </cfRule>
  </conditionalFormatting>
  <conditionalFormatting sqref="C10:E10">
    <cfRule type="expression" dxfId="27" priority="549" stopIfTrue="1">
      <formula>IF(#REF!-INT(#REF!)&gt;0,TRUE,FALSE)</formula>
    </cfRule>
  </conditionalFormatting>
  <conditionalFormatting sqref="E9:F9">
    <cfRule type="expression" dxfId="26" priority="22" stopIfTrue="1">
      <formula>IF(#REF!-INT(#REF!)&gt;0,TRUE,FALSE)</formula>
    </cfRule>
  </conditionalFormatting>
  <conditionalFormatting sqref="F10">
    <cfRule type="expression" dxfId="25" priority="3061" stopIfTrue="1">
      <formula>IF(#REF!-INT(#REF!)&gt;0,TRUE,FALSE)</formula>
    </cfRule>
  </conditionalFormatting>
  <dataValidations count="1">
    <dataValidation type="list" allowBlank="1" showInputMessage="1" showErrorMessage="1" sqref="B6 B9:B10" xr:uid="{00000000-0002-0000-0700-000000000000}">
      <formula1>prueba</formula1>
    </dataValidation>
  </dataValidations>
  <pageMargins left="0.75" right="0.75" top="1" bottom="1" header="0" footer="0"/>
  <pageSetup paperSize="1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12">
    <pageSetUpPr fitToPage="1"/>
  </sheetPr>
  <dimension ref="A1:H11"/>
  <sheetViews>
    <sheetView showGridLines="0" view="pageBreakPreview" zoomScaleNormal="100" zoomScaleSheetLayoutView="100" workbookViewId="0">
      <selection activeCell="C12" sqref="C12"/>
    </sheetView>
  </sheetViews>
  <sheetFormatPr baseColWidth="10" defaultColWidth="11.44140625" defaultRowHeight="13.2" x14ac:dyDescent="0.25"/>
  <cols>
    <col min="1" max="1" width="3.88671875" customWidth="1"/>
    <col min="2" max="2" width="34.109375" customWidth="1"/>
    <col min="3" max="3" width="42" style="137" customWidth="1"/>
    <col min="5" max="5" width="13.88671875" style="120" customWidth="1"/>
    <col min="6" max="6" width="9.6640625" style="122" customWidth="1"/>
    <col min="7" max="7" width="12.5546875" customWidth="1"/>
    <col min="8" max="8" width="12.6640625" customWidth="1"/>
  </cols>
  <sheetData>
    <row r="1" spans="1:8" x14ac:dyDescent="0.25">
      <c r="A1" s="257"/>
      <c r="B1" s="257"/>
      <c r="C1" s="268"/>
    </row>
    <row r="2" spans="1:8" s="138" customFormat="1" ht="20.25" customHeight="1" x14ac:dyDescent="0.3">
      <c r="A2" s="355" t="s">
        <v>121</v>
      </c>
      <c r="B2" s="355"/>
      <c r="C2" s="355"/>
      <c r="E2" s="150"/>
      <c r="F2" s="151"/>
    </row>
    <row r="3" spans="1:8" s="138" customFormat="1" ht="18" customHeight="1" x14ac:dyDescent="0.3">
      <c r="A3" s="356" t="s">
        <v>73</v>
      </c>
      <c r="B3" s="356"/>
      <c r="C3" s="356"/>
      <c r="E3" s="150"/>
      <c r="F3" s="151"/>
    </row>
    <row r="4" spans="1:8" s="138" customFormat="1" ht="13.5" customHeight="1" x14ac:dyDescent="0.3">
      <c r="A4" s="344" t="str">
        <f>'Capacidad Financiera'!B4</f>
        <v>DIRECCIÓN TERRITORIAL BOLIVAR</v>
      </c>
      <c r="B4" s="344"/>
      <c r="C4" s="344"/>
      <c r="E4" s="150"/>
      <c r="F4" s="151"/>
    </row>
    <row r="5" spans="1:8" s="138" customFormat="1" ht="13.5" customHeight="1" x14ac:dyDescent="0.3">
      <c r="A5" s="344" t="s">
        <v>138</v>
      </c>
      <c r="B5" s="344"/>
      <c r="C5" s="344"/>
      <c r="E5" s="150"/>
      <c r="F5" s="151"/>
    </row>
    <row r="6" spans="1:8" s="138" customFormat="1" ht="14.4" thickBot="1" x14ac:dyDescent="0.35">
      <c r="A6" s="253"/>
      <c r="B6" s="253"/>
      <c r="C6" s="255"/>
      <c r="E6" s="150"/>
      <c r="F6" s="151"/>
    </row>
    <row r="7" spans="1:8" ht="36" customHeight="1" x14ac:dyDescent="0.25">
      <c r="A7" s="345" t="s">
        <v>86</v>
      </c>
      <c r="B7" s="347" t="s">
        <v>87</v>
      </c>
      <c r="C7" s="353" t="s">
        <v>139</v>
      </c>
    </row>
    <row r="8" spans="1:8" ht="36" customHeight="1" thickBot="1" x14ac:dyDescent="0.3">
      <c r="A8" s="346"/>
      <c r="B8" s="348"/>
      <c r="C8" s="354"/>
    </row>
    <row r="9" spans="1:8" ht="13.8" x14ac:dyDescent="0.25">
      <c r="A9" s="146">
        <f>+'Capacidad Financiera'!B12</f>
        <v>1</v>
      </c>
      <c r="B9" s="258" t="str">
        <f>IF(ISERROR(VLOOKUP(A9,'Capacidad Financiera'!$B$12:$Z$59132,2,0)),"",VLOOKUP(A9,'Capacidad Financiera'!$B$12:$Z$59132,2,0))</f>
        <v>CONSTRUCCIONES HERCAR SAS</v>
      </c>
      <c r="C9" s="262">
        <f>C10</f>
        <v>66216888.890000001</v>
      </c>
      <c r="E9" s="112"/>
      <c r="F9" s="113"/>
      <c r="G9" s="114"/>
      <c r="H9" s="114"/>
    </row>
    <row r="10" spans="1:8" ht="25.5" customHeight="1" x14ac:dyDescent="0.25">
      <c r="A10" s="115">
        <f>+'Capacidad Financiera'!B13</f>
        <v>1.1000000000000001</v>
      </c>
      <c r="B10" s="52" t="str">
        <f>IF(ISERROR(VLOOKUP(A10,'Capacidad Financiera'!$B$12:$Z$59132,2,0)),"",VLOOKUP(A10,'Capacidad Financiera'!$B$12:$Z$59132,2,0))</f>
        <v>CONSTRUCCIONES HERCAR SAS</v>
      </c>
      <c r="C10" s="152">
        <v>66216888.890000001</v>
      </c>
    </row>
    <row r="11" spans="1:8" ht="13.8" x14ac:dyDescent="0.25">
      <c r="A11" s="115">
        <f>+'Capacidad Financiera'!B14</f>
        <v>0</v>
      </c>
      <c r="B11" s="52" t="str">
        <f>IF(ISERROR(VLOOKUP(A11,'Capacidad Financiera'!$B$12:$Z$59132,2,0)),"",VLOOKUP(A11,'Capacidad Financiera'!$B$12:$Z$59132,2,0))</f>
        <v/>
      </c>
      <c r="C11" s="152"/>
    </row>
  </sheetData>
  <sheetProtection formatCells="0" formatColumns="0" formatRows="0" insertColumns="0" insertRows="0" insertHyperlinks="0" deleteColumns="0" deleteRows="0" sort="0" autoFilter="0" pivotTables="0"/>
  <mergeCells count="7">
    <mergeCell ref="C7:C8"/>
    <mergeCell ref="A2:C2"/>
    <mergeCell ref="A3:C3"/>
    <mergeCell ref="A4:C4"/>
    <mergeCell ref="A5:C5"/>
    <mergeCell ref="A7:A8"/>
    <mergeCell ref="B7:B8"/>
  </mergeCells>
  <conditionalFormatting sqref="B6:C6 B9:B11">
    <cfRule type="cellIs" dxfId="24" priority="547" stopIfTrue="1" operator="equal">
      <formula>"NO ADMISIBLE"</formula>
    </cfRule>
  </conditionalFormatting>
  <conditionalFormatting sqref="C9">
    <cfRule type="expression" dxfId="23" priority="548" stopIfTrue="1">
      <formula>IF(#REF!-INT(#REF!)&gt;0,TRUE,FALSE)</formula>
    </cfRule>
  </conditionalFormatting>
  <conditionalFormatting sqref="C10">
    <cfRule type="expression" dxfId="22" priority="541" stopIfTrue="1">
      <formula>IF(#REF!-INT(#REF!)&gt;0,TRUE,FALSE)</formula>
    </cfRule>
  </conditionalFormatting>
  <conditionalFormatting sqref="C11">
    <cfRule type="expression" dxfId="21" priority="3056" stopIfTrue="1">
      <formula>IF(#REF!-INT(#REF!)&gt;0,TRUE,FALSE)</formula>
    </cfRule>
  </conditionalFormatting>
  <dataValidations count="1">
    <dataValidation type="list" allowBlank="1" showInputMessage="1" showErrorMessage="1" sqref="B6 B9:B11" xr:uid="{00000000-0002-0000-0800-000000000000}">
      <formula1>prueba</formula1>
    </dataValidation>
  </dataValidations>
  <pageMargins left="0.75" right="0.75" top="1" bottom="1" header="0" footer="0"/>
  <pageSetup paperSize="1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8">
    <pageSetUpPr fitToPage="1"/>
  </sheetPr>
  <dimension ref="A2:G11"/>
  <sheetViews>
    <sheetView showGridLines="0" view="pageBreakPreview" topLeftCell="A4" zoomScale="80" zoomScaleNormal="100" zoomScaleSheetLayoutView="80" workbookViewId="0">
      <selection activeCell="A10" sqref="A10"/>
    </sheetView>
  </sheetViews>
  <sheetFormatPr baseColWidth="10" defaultColWidth="11.44140625" defaultRowHeight="13.2" x14ac:dyDescent="0.25"/>
  <cols>
    <col min="1" max="1" width="3.88671875" customWidth="1"/>
    <col min="2" max="2" width="35.109375" customWidth="1"/>
    <col min="3" max="3" width="68.109375" style="137" customWidth="1"/>
    <col min="4" max="4" width="13.88671875" style="120" customWidth="1"/>
    <col min="5" max="5" width="9.6640625" style="122" customWidth="1"/>
    <col min="6" max="6" width="12.5546875" customWidth="1"/>
    <col min="7" max="7" width="12.6640625" customWidth="1"/>
  </cols>
  <sheetData>
    <row r="2" spans="1:7" s="138" customFormat="1" ht="20.25" customHeight="1" x14ac:dyDescent="0.3">
      <c r="A2" s="335" t="s">
        <v>121</v>
      </c>
      <c r="B2" s="335"/>
      <c r="C2" s="335"/>
      <c r="D2" s="150"/>
      <c r="E2" s="151"/>
    </row>
    <row r="3" spans="1:7" s="138" customFormat="1" ht="18" customHeight="1" x14ac:dyDescent="0.3">
      <c r="A3" s="336" t="s">
        <v>73</v>
      </c>
      <c r="B3" s="336"/>
      <c r="C3" s="336"/>
      <c r="D3" s="150"/>
      <c r="E3" s="151"/>
    </row>
    <row r="4" spans="1:7" s="138" customFormat="1" ht="13.5" customHeight="1" x14ac:dyDescent="0.3">
      <c r="A4" s="344" t="str">
        <f>'Capacidad Financiera'!B4</f>
        <v>DIRECCIÓN TERRITORIAL BOLIVAR</v>
      </c>
      <c r="B4" s="344"/>
      <c r="C4" s="344"/>
      <c r="D4" s="150"/>
      <c r="E4" s="151"/>
    </row>
    <row r="5" spans="1:7" s="138" customFormat="1" ht="13.5" customHeight="1" x14ac:dyDescent="0.3">
      <c r="A5" s="344" t="s">
        <v>140</v>
      </c>
      <c r="B5" s="344"/>
      <c r="C5" s="344"/>
      <c r="D5" s="150"/>
      <c r="E5" s="151"/>
    </row>
    <row r="6" spans="1:7" s="138" customFormat="1" ht="14.4" thickBot="1" x14ac:dyDescent="0.35">
      <c r="A6" s="253"/>
      <c r="B6" s="253"/>
      <c r="C6" s="255"/>
      <c r="D6" s="150"/>
      <c r="E6" s="151"/>
    </row>
    <row r="7" spans="1:7" ht="23.25" customHeight="1" x14ac:dyDescent="0.25">
      <c r="A7" s="345" t="s">
        <v>86</v>
      </c>
      <c r="B7" s="347" t="s">
        <v>87</v>
      </c>
      <c r="C7" s="250" t="s">
        <v>141</v>
      </c>
    </row>
    <row r="8" spans="1:7" ht="66" customHeight="1" thickBot="1" x14ac:dyDescent="0.3">
      <c r="A8" s="346"/>
      <c r="B8" s="348"/>
      <c r="C8" s="256" t="s">
        <v>142</v>
      </c>
    </row>
    <row r="9" spans="1:7" ht="13.8" x14ac:dyDescent="0.25">
      <c r="A9" s="146">
        <f>+'Capacidad Financiera'!B12</f>
        <v>1</v>
      </c>
      <c r="B9" s="258" t="str">
        <f>IF(ISERROR(VLOOKUP(A9,'Capacidad Financiera'!$B$12:$Z$59132,2,0)),"",VLOOKUP(A9,'Capacidad Financiera'!$B$12:$Z$59132,2,0))</f>
        <v>CONSTRUCCIONES HERCAR SAS</v>
      </c>
      <c r="C9" s="263">
        <f>C10</f>
        <v>150000000</v>
      </c>
      <c r="D9" s="112"/>
      <c r="E9" s="113"/>
      <c r="F9" s="114"/>
      <c r="G9" s="114"/>
    </row>
    <row r="10" spans="1:7" ht="25.5" customHeight="1" x14ac:dyDescent="0.25">
      <c r="A10" s="115">
        <f>+'Capacidad Financiera'!B13</f>
        <v>1.1000000000000001</v>
      </c>
      <c r="B10" s="52" t="str">
        <f>IF(ISERROR(VLOOKUP(A10,'Capacidad Financiera'!$B$12:$Z$59132,2,0)),"",VLOOKUP(A10,'Capacidad Financiera'!$B$12:$Z$59132,2,0))</f>
        <v>CONSTRUCCIONES HERCAR SAS</v>
      </c>
      <c r="C10" s="153">
        <v>150000000</v>
      </c>
    </row>
    <row r="11" spans="1:7" ht="13.8" x14ac:dyDescent="0.25">
      <c r="A11" s="115">
        <f>+'Capacidad Financiera'!B14</f>
        <v>0</v>
      </c>
      <c r="B11" s="52" t="str">
        <f>IF(ISERROR(VLOOKUP(A11,'Capacidad Financiera'!$B$12:$Z$59132,2,0)),"",VLOOKUP(A11,'Capacidad Financiera'!$B$12:$Z$59132,2,0))</f>
        <v/>
      </c>
      <c r="C11" s="153"/>
    </row>
  </sheetData>
  <sheetProtection formatCells="0" formatColumns="0" formatRows="0" insertColumns="0" insertRows="0" insertHyperlinks="0" deleteColumns="0" deleteRows="0" sort="0" autoFilter="0" pivotTables="0"/>
  <mergeCells count="6">
    <mergeCell ref="A2:C2"/>
    <mergeCell ref="A3:C3"/>
    <mergeCell ref="A4:C4"/>
    <mergeCell ref="A5:C5"/>
    <mergeCell ref="A7:A8"/>
    <mergeCell ref="B7:B8"/>
  </mergeCells>
  <conditionalFormatting sqref="B6:C6 B9:B11">
    <cfRule type="cellIs" dxfId="20" priority="385" stopIfTrue="1" operator="equal">
      <formula>"NO ADMISIBLE"</formula>
    </cfRule>
  </conditionalFormatting>
  <conditionalFormatting sqref="C9">
    <cfRule type="expression" dxfId="19" priority="386" stopIfTrue="1">
      <formula>IF(#REF!-INT(#REF!)&gt;0,TRUE,FALSE)</formula>
    </cfRule>
  </conditionalFormatting>
  <conditionalFormatting sqref="C10">
    <cfRule type="expression" dxfId="18" priority="379" stopIfTrue="1">
      <formula>IF(#REF!-INT(#REF!)&gt;0,TRUE,FALSE)</formula>
    </cfRule>
  </conditionalFormatting>
  <conditionalFormatting sqref="C11">
    <cfRule type="expression" dxfId="17" priority="369" stopIfTrue="1">
      <formula>IF(#REF!-INT(#REF!)&gt;0,TRUE,FALSE)</formula>
    </cfRule>
  </conditionalFormatting>
  <dataValidations count="1">
    <dataValidation type="list" allowBlank="1" showInputMessage="1" showErrorMessage="1" sqref="B6 B9:B11" xr:uid="{00000000-0002-0000-0900-000000000000}">
      <formula1>prueba</formula1>
    </dataValidation>
  </dataValidations>
  <pageMargins left="0.75" right="0.75" top="1" bottom="1" header="0" footer="0"/>
  <pageSetup paperSize="1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7">
    <pageSetUpPr fitToPage="1"/>
  </sheetPr>
  <dimension ref="A2:U12"/>
  <sheetViews>
    <sheetView view="pageBreakPreview" zoomScale="95" zoomScaleNormal="95" zoomScaleSheetLayoutView="95" workbookViewId="0">
      <selection activeCell="A11" sqref="A11"/>
    </sheetView>
  </sheetViews>
  <sheetFormatPr baseColWidth="10" defaultColWidth="11.44140625" defaultRowHeight="13.2" x14ac:dyDescent="0.25"/>
  <cols>
    <col min="1" max="1" width="3.88671875" style="55" customWidth="1"/>
    <col min="2" max="2" width="32.109375" style="55" customWidth="1"/>
    <col min="3" max="3" width="11.5546875" style="55" customWidth="1"/>
    <col min="4" max="4" width="5.88671875" style="55" bestFit="1" customWidth="1"/>
    <col min="5" max="5" width="21.88671875" style="55" bestFit="1" customWidth="1"/>
    <col min="6" max="6" width="20.5546875" style="55" bestFit="1" customWidth="1"/>
    <col min="7" max="7" width="4.88671875" style="55" bestFit="1" customWidth="1"/>
    <col min="8" max="8" width="29" style="55" customWidth="1"/>
    <col min="9" max="9" width="26.5546875" style="53" bestFit="1" customWidth="1"/>
    <col min="10" max="10" width="14.5546875" style="53" customWidth="1"/>
    <col min="11" max="11" width="8.88671875" style="53" hidden="1" customWidth="1"/>
    <col min="12" max="12" width="14.5546875" style="53" hidden="1" customWidth="1"/>
    <col min="13" max="13" width="13.109375" style="53" customWidth="1"/>
    <col min="14" max="14" width="13.88671875" style="53" bestFit="1" customWidth="1"/>
    <col min="15" max="15" width="32.6640625" style="53" bestFit="1" customWidth="1"/>
    <col min="16" max="16" width="26.44140625" style="53" customWidth="1"/>
    <col min="17" max="17" width="29.44140625" style="55" customWidth="1"/>
    <col min="18" max="18" width="18.109375" style="65" customWidth="1"/>
    <col min="19" max="19" width="9.6640625" style="66" customWidth="1"/>
    <col min="20" max="20" width="12.5546875" style="55" customWidth="1"/>
    <col min="21" max="21" width="12.6640625" style="55" customWidth="1"/>
    <col min="22" max="16384" width="11.44140625" style="55"/>
  </cols>
  <sheetData>
    <row r="2" spans="1:21" s="56" customFormat="1" ht="20.25" customHeight="1" x14ac:dyDescent="0.3">
      <c r="A2" s="371" t="s">
        <v>121</v>
      </c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57"/>
      <c r="S2" s="58"/>
    </row>
    <row r="3" spans="1:21" s="56" customFormat="1" ht="18" customHeight="1" x14ac:dyDescent="0.3">
      <c r="A3" s="372" t="s">
        <v>73</v>
      </c>
      <c r="B3" s="372"/>
      <c r="C3" s="372"/>
      <c r="D3" s="372"/>
      <c r="E3" s="37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57"/>
      <c r="S3" s="58"/>
    </row>
    <row r="4" spans="1:21" s="56" customFormat="1" ht="13.5" customHeight="1" x14ac:dyDescent="0.3">
      <c r="A4" s="373" t="str">
        <f>'Capacidad Financiera'!B4</f>
        <v>DIRECCIÓN TERRITORIAL BOLIVAR</v>
      </c>
      <c r="B4" s="373"/>
      <c r="C4" s="373"/>
      <c r="D4" s="373"/>
      <c r="E4" s="373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57"/>
      <c r="S4" s="58"/>
    </row>
    <row r="5" spans="1:21" s="56" customFormat="1" ht="13.5" customHeight="1" x14ac:dyDescent="0.3">
      <c r="A5" s="373" t="s">
        <v>143</v>
      </c>
      <c r="B5" s="373"/>
      <c r="C5" s="373"/>
      <c r="D5" s="373"/>
      <c r="E5" s="373"/>
      <c r="F5" s="373"/>
      <c r="G5" s="373"/>
      <c r="H5" s="373"/>
      <c r="I5" s="373"/>
      <c r="J5" s="373"/>
      <c r="K5" s="373"/>
      <c r="L5" s="373"/>
      <c r="M5" s="373"/>
      <c r="N5" s="373"/>
      <c r="O5" s="373"/>
      <c r="P5" s="373"/>
      <c r="Q5" s="373"/>
      <c r="R5" s="57"/>
      <c r="S5" s="58"/>
    </row>
    <row r="6" spans="1:21" s="56" customFormat="1" ht="14.4" thickBot="1" x14ac:dyDescent="0.35">
      <c r="A6" s="59"/>
      <c r="B6" s="59"/>
      <c r="C6" s="60"/>
      <c r="D6" s="60"/>
      <c r="E6" s="61"/>
      <c r="F6" s="61"/>
      <c r="G6" s="61"/>
      <c r="H6" s="62"/>
      <c r="J6" s="63"/>
      <c r="K6" s="63"/>
      <c r="L6" s="63"/>
      <c r="M6" s="63"/>
      <c r="N6" s="63"/>
      <c r="O6" s="63"/>
      <c r="P6" s="63"/>
      <c r="Q6" s="64"/>
      <c r="R6" s="57"/>
      <c r="S6" s="58"/>
    </row>
    <row r="7" spans="1:21" ht="54" customHeight="1" x14ac:dyDescent="0.25">
      <c r="A7" s="357" t="s">
        <v>86</v>
      </c>
      <c r="B7" s="360" t="s">
        <v>87</v>
      </c>
      <c r="C7" s="47" t="s">
        <v>144</v>
      </c>
      <c r="D7" s="365" t="s">
        <v>96</v>
      </c>
      <c r="E7" s="47" t="s">
        <v>145</v>
      </c>
      <c r="F7" s="47" t="s">
        <v>49</v>
      </c>
      <c r="G7" s="368" t="s">
        <v>146</v>
      </c>
      <c r="H7" s="49" t="s">
        <v>147</v>
      </c>
      <c r="I7" s="47" t="s">
        <v>148</v>
      </c>
      <c r="J7" s="47" t="s">
        <v>149</v>
      </c>
      <c r="K7" s="376" t="s">
        <v>98</v>
      </c>
      <c r="L7" s="379" t="s">
        <v>99</v>
      </c>
      <c r="M7" s="47" t="s">
        <v>54</v>
      </c>
      <c r="N7" s="48" t="s">
        <v>61</v>
      </c>
      <c r="O7" s="50" t="s">
        <v>150</v>
      </c>
      <c r="P7" s="51" t="s">
        <v>151</v>
      </c>
      <c r="Q7" s="80" t="s">
        <v>152</v>
      </c>
    </row>
    <row r="8" spans="1:21" x14ac:dyDescent="0.25">
      <c r="A8" s="358"/>
      <c r="B8" s="361"/>
      <c r="C8" s="363" t="s">
        <v>153</v>
      </c>
      <c r="D8" s="366"/>
      <c r="E8" s="363" t="s">
        <v>154</v>
      </c>
      <c r="F8" s="363" t="s">
        <v>154</v>
      </c>
      <c r="G8" s="369"/>
      <c r="H8" s="382" t="s">
        <v>155</v>
      </c>
      <c r="I8" s="383" t="s">
        <v>156</v>
      </c>
      <c r="J8" s="383" t="s">
        <v>57</v>
      </c>
      <c r="K8" s="377"/>
      <c r="L8" s="380"/>
      <c r="M8" s="383" t="s">
        <v>57</v>
      </c>
      <c r="N8" s="383" t="s">
        <v>57</v>
      </c>
      <c r="O8" s="383" t="s">
        <v>156</v>
      </c>
      <c r="P8" s="382" t="s">
        <v>157</v>
      </c>
      <c r="Q8" s="374" t="s">
        <v>158</v>
      </c>
    </row>
    <row r="9" spans="1:21" ht="51" customHeight="1" thickBot="1" x14ac:dyDescent="0.3">
      <c r="A9" s="359"/>
      <c r="B9" s="362"/>
      <c r="C9" s="364"/>
      <c r="D9" s="367"/>
      <c r="E9" s="364"/>
      <c r="F9" s="364"/>
      <c r="G9" s="370"/>
      <c r="H9" s="352"/>
      <c r="I9" s="384"/>
      <c r="J9" s="384"/>
      <c r="K9" s="378"/>
      <c r="L9" s="381"/>
      <c r="M9" s="384"/>
      <c r="N9" s="384"/>
      <c r="O9" s="384"/>
      <c r="P9" s="352"/>
      <c r="Q9" s="375"/>
      <c r="S9" s="93"/>
    </row>
    <row r="10" spans="1:21" customFormat="1" ht="13.8" x14ac:dyDescent="0.25">
      <c r="A10" s="154">
        <f>+'Capacidad Financiera'!B12</f>
        <v>1</v>
      </c>
      <c r="B10" s="155" t="str">
        <f>IF(ISERROR(VLOOKUP(A10,'Capacidad Financiera'!$B$12:$Z$59132,2,0)),"",VLOOKUP(A10,'Capacidad Financiera'!$B$12:$Z$59132,2,0))</f>
        <v>CONSTRUCCIONES HERCAR SAS</v>
      </c>
      <c r="C10" s="156">
        <f>IF(ISERROR(VLOOKUP(A10,'Capacidad Financiera'!$B$12:$Z$59132,3,0)),"",VLOOKUP(A10,'Capacidad Financiera'!$B$12:$Z$59132,3,0))</f>
        <v>1</v>
      </c>
      <c r="D10" s="157">
        <f>'Capacidad Financiera'!N12</f>
        <v>1</v>
      </c>
      <c r="E10" s="158">
        <f>IF(ISERROR(VLOOKUP(D10,POA!$A$2:$D$16,2,0)),"",VLOOKUP(D10,POA!$A$2:$D$16,2,0))</f>
        <v>120000000</v>
      </c>
      <c r="F10" s="158">
        <f>IF(ISERROR(VLOOKUP(D10,POA!$A$2:$D$16,3,0)),"",VLOOKUP(D10,POA!$A$2:$D$16,4,0))</f>
        <v>0</v>
      </c>
      <c r="G10" s="264">
        <f>IF(ISERROR(VLOOKUP(D10,POA!$A$2:$D$2,3,0)),"",VLOOKUP(D10,POA!$A$2:$D$2,3,0))</f>
        <v>4</v>
      </c>
      <c r="H10" s="258">
        <f t="shared" ref="H10:H12" si="0">IF(G10="","",IF(G10&lt;12,(E10-F10),IF(G10&gt;=12,(((E10-F10)/G10)*12),"")))</f>
        <v>120000000</v>
      </c>
      <c r="I10" s="258">
        <f>IF(IF(ISERROR(VLOOKUP(A10,'Cap Organización'!$A$9:$C$21,3,0)),0,VLOOKUP(A10,'Cap Organización'!$A$9:$C$21,3,0))=0,0,IF(ISERROR(VLOOKUP(A10,'Cap Organización'!$A$9:$C$21,3,0)),0,VLOOKUP(A10,'Cap Organización'!$A$9:$C$21,3,0)))</f>
        <v>150000000</v>
      </c>
      <c r="J10" s="265">
        <f>IF(ISERROR(VLOOKUP(A10,'Puntaje Exp'!$B$9:$I$1048576,8,0)),"",VLOOKUP(A10,'Puntaje Exp'!$B$9:$I$1048576,8,0))</f>
        <v>60</v>
      </c>
      <c r="K10" s="265"/>
      <c r="L10" s="265">
        <f>+SUM(L11:L12)</f>
        <v>0</v>
      </c>
      <c r="M10" s="265">
        <f>IF(ISERROR(VLOOKUP(A10,'Puntaje CT'!$A$9:$D$11,4,0)),"",VLOOKUP(A10,'Puntaje CT'!$A$9:$D$11,4,0))</f>
        <v>20</v>
      </c>
      <c r="N10" s="265">
        <f>IF(ISERROR(VLOOKUP(A10,'Puntaje CF'!A9:F10,6,0)),"",VLOOKUP(A10,'Puntaje CF'!A9:F10,6,0))</f>
        <v>0</v>
      </c>
      <c r="O10" s="258">
        <f>IF(IF(ISERROR(VLOOKUP(A10,'Saldo CtosEjecución'!$A$9:$G$1048576,3,0)),"",VLOOKUP(A10,'Saldo CtosEjecución'!$A$9:$G$1048576,3,0))=0,"",IF(ISERROR(VLOOKUP(A10,'Saldo CtosEjecución'!$A$9:$G$1048576,3,0)),"",VLOOKUP(A10,'Saldo CtosEjecución'!$A$9:$G$1048576,3,0)))</f>
        <v>66216888.890000001</v>
      </c>
      <c r="P10" s="266">
        <f>(I10*((J10+M10+N10)/100))-O10</f>
        <v>53783111.109999999</v>
      </c>
      <c r="Q10" s="267" t="str">
        <f>+IF(OR(P10=0,D10=""),"",IF(P10&gt;=H10,"HABIL","NO HABIL"))</f>
        <v>NO HABIL</v>
      </c>
      <c r="R10" s="112"/>
      <c r="S10" s="113"/>
      <c r="T10" s="114"/>
      <c r="U10" s="114"/>
    </row>
    <row r="11" spans="1:21" customFormat="1" ht="30.75" customHeight="1" x14ac:dyDescent="0.25">
      <c r="A11" s="159">
        <f>+'Capacidad Financiera'!B13</f>
        <v>1.1000000000000001</v>
      </c>
      <c r="B11" s="162" t="str">
        <f>IF(ISERROR(VLOOKUP(A11,'Capacidad Financiera'!$B$12:$Z$59132,2,0)),"",VLOOKUP(A11,'Capacidad Financiera'!$B$12:$Z$59132,2,0))</f>
        <v>CONSTRUCCIONES HERCAR SAS</v>
      </c>
      <c r="C11" s="163">
        <f>IF(ISERROR(VLOOKUP(A11,'Capacidad Financiera'!$B$12:$Z$59132,3,0)),"",VLOOKUP(A11,'Capacidad Financiera'!$B$12:$Z$59132,3,0))</f>
        <v>1</v>
      </c>
      <c r="D11" s="160">
        <f>'Capacidad Financiera'!N13</f>
        <v>0</v>
      </c>
      <c r="E11" s="161" t="str">
        <f>IF(ISERROR(VLOOKUP(D11,POA!$A$2:$D$16,2,0)),"",VLOOKUP(D11,POA!$A$2:$D$16,2,0))</f>
        <v/>
      </c>
      <c r="F11" s="161" t="str">
        <f>IF(ISERROR(VLOOKUP(D11,POA!$A$2:$D$16,3,0)),"",VLOOKUP(D11,POA!$A$2:$D$16,4,0))</f>
        <v/>
      </c>
      <c r="G11" s="116" t="str">
        <f>IF(ISERROR(VLOOKUP(D11,POA!$A$2:$D$2,3,0)),"",VLOOKUP(D11,POA!$A$2:$D$2,3,0))</f>
        <v/>
      </c>
      <c r="H11" s="117" t="str">
        <f t="shared" si="0"/>
        <v/>
      </c>
      <c r="I11" s="118">
        <f>IF(IF(ISERROR(VLOOKUP(A11,'Cap Organización'!$A$10:$F$1048576,3,0)),"",VLOOKUP(A11,'Cap Organización'!$A$10:$F$1048576,3,0))=0,"",IF(ISERROR(VLOOKUP(A11,'Cap Organización'!$A$10:$F$1048576,3,0)),"",VLOOKUP(A11,'Cap Organización'!$A$10:$F$1048576,3,0)))</f>
        <v>150000000</v>
      </c>
      <c r="J11" s="188">
        <f>IF(ISERROR(VLOOKUP(A11,'Puntaje Exp'!$B$10:$I$1048576,8,0)),"",VLOOKUP(A11,'Puntaje Exp'!$B$10:$I$1048576,8,0))</f>
        <v>0</v>
      </c>
      <c r="K11" s="188">
        <f>+'Capacidad Financiera'!P13</f>
        <v>0</v>
      </c>
      <c r="L11" s="188" t="str">
        <f>IF(ISERROR(VLOOKUP(K11,POA!$A$2:$F$16,6,0)),"",VLOOKUP(K11,POA!$A$2:$F$16,6,0))</f>
        <v/>
      </c>
      <c r="M11" s="188">
        <f>IF(ISERROR(VLOOKUP(A11,'Puntaje CT'!$A$10:$D$1048576,4,0)),"",VLOOKUP(A11,'Puntaje CT'!$A$10:$D$1048576,4,0))</f>
        <v>0</v>
      </c>
      <c r="N11" s="188">
        <f>IF(ISERROR(VLOOKUP(A11,'Puntaje CF'!$A$10:$F$1048576,6,0)),"",VLOOKUP(A11,'Puntaje CF'!$A$10:$F$1048576,6,0))</f>
        <v>0</v>
      </c>
      <c r="O11" s="118">
        <f>IF(IF(ISERROR(VLOOKUP(A11,'Saldo CtosEjecución'!$A$10:$G$1048576,3,0)),"",VLOOKUP(A11,'Saldo CtosEjecución'!$A$10:$G$1048576,3,0))=0,"",IF(ISERROR(VLOOKUP(A11,'Saldo CtosEjecución'!$A$10:$G$1048576,3,0)),"",VLOOKUP(A11,'Saldo CtosEjecución'!$A$10:$G$1048576,3,0)))</f>
        <v>66216888.890000001</v>
      </c>
      <c r="P11" s="119">
        <f>IF(OR(I11="",J11="",M11="",N11="",O11=""),"",(I11*((J11+M11+N11)/100))-O11)</f>
        <v>-66216888.890000001</v>
      </c>
      <c r="Q11" s="110"/>
      <c r="R11" s="120"/>
      <c r="S11" s="121"/>
    </row>
    <row r="12" spans="1:21" customFormat="1" ht="13.8" x14ac:dyDescent="0.25">
      <c r="A12" s="115">
        <f>+'Capacidad Financiera'!B14</f>
        <v>0</v>
      </c>
      <c r="B12" s="52" t="str">
        <f>IF(ISERROR(VLOOKUP(A12,'Capacidad Financiera'!$B$12:$Z$59132,2,0)),"",VLOOKUP(A12,'Capacidad Financiera'!$B$12:$Z$59132,2,0))</f>
        <v/>
      </c>
      <c r="C12" s="144" t="str">
        <f>IF(ISERROR(VLOOKUP(A12,'Capacidad Financiera'!$B$12:$Z$59132,3,0)),"",VLOOKUP(A12,'Capacidad Financiera'!$B$12:$Z$59132,3,0))</f>
        <v/>
      </c>
      <c r="D12" s="116">
        <f>'Capacidad Financiera'!N14</f>
        <v>0</v>
      </c>
      <c r="E12" s="92" t="str">
        <f>IF(ISERROR(VLOOKUP(D12,POA!$A$2:$D$16,2,0)),"",VLOOKUP(D12,POA!$A$2:$D$16,2,0))</f>
        <v/>
      </c>
      <c r="F12" s="92" t="str">
        <f>IF(ISERROR(VLOOKUP(D12,POA!$A$2:$D$16,3,0)),"",VLOOKUP(D12,POA!$A$2:$D$16,4,0))</f>
        <v/>
      </c>
      <c r="G12" s="116" t="str">
        <f>IF(ISERROR(VLOOKUP(D12,POA!$A$2:$D$2,3,0)),"",VLOOKUP(D12,POA!$A$2:$D$2,3,0))</f>
        <v/>
      </c>
      <c r="H12" s="117" t="str">
        <f t="shared" si="0"/>
        <v/>
      </c>
      <c r="I12" s="118" t="str">
        <f>IF(IF(ISERROR(VLOOKUP(A12,'Cap Organización'!$A$10:$F$1048576,3,0)),"",VLOOKUP(A12,'Cap Organización'!$A$10:$F$1048576,3,0))=0,"",IF(ISERROR(VLOOKUP(A12,'Cap Organización'!$A$10:$F$1048576,3,0)),"",VLOOKUP(A12,'Cap Organización'!$A$10:$F$1048576,3,0)))</f>
        <v/>
      </c>
      <c r="J12" s="188">
        <f>IF(ISERROR(VLOOKUP(A12,'Puntaje Exp'!$B$10:$I$1048576,8,0)),"",VLOOKUP(A12,'Puntaje Exp'!$B$10:$I$1048576,8,0))</f>
        <v>0</v>
      </c>
      <c r="K12" s="189">
        <f>+'Capacidad Financiera'!P14</f>
        <v>0</v>
      </c>
      <c r="L12" s="189" t="str">
        <f>IF(ISERROR(VLOOKUP(K12,POA!$A$2:$F$16,6,0)),"",VLOOKUP(K12,POA!$A$2:$F$16,6,0))</f>
        <v/>
      </c>
      <c r="M12" s="188">
        <f>IF(ISERROR(VLOOKUP(A12,'Puntaje CT'!$A$10:$D$1048576,4,0)),"",VLOOKUP(A12,'Puntaje CT'!$A$10:$D$1048576,4,0))</f>
        <v>0</v>
      </c>
      <c r="N12" s="188" t="str">
        <f>IF(ISERROR(VLOOKUP(A12,'Puntaje CF'!$A$10:$F$1048576,6,0)),"",VLOOKUP(A12,'Puntaje CF'!$A$10:$F$1048576,6,0))</f>
        <v/>
      </c>
      <c r="O12" s="118" t="str">
        <f>IF(IF(ISERROR(VLOOKUP(A12,'Saldo CtosEjecución'!$A$10:$G$1048576,3,0)),"",VLOOKUP(A12,'Saldo CtosEjecución'!$A$10:$G$1048576,3,0))=0,"",IF(ISERROR(VLOOKUP(A12,'Saldo CtosEjecución'!$A$10:$G$1048576,3,0)),"",VLOOKUP(A12,'Saldo CtosEjecución'!$A$10:$G$1048576,3,0)))</f>
        <v/>
      </c>
      <c r="P12" s="119" t="str">
        <f>IF(OR(I12="",J12="",M12="",N12="",O12=""),"",(I12*((J12+M12+N12)/100))-O12)</f>
        <v/>
      </c>
      <c r="Q12" s="110"/>
      <c r="R12" s="120"/>
      <c r="S12" s="121"/>
    </row>
  </sheetData>
  <sheetProtection formatCells="0" formatColumns="0" formatRows="0" insertColumns="0" insertRows="0" insertHyperlinks="0" deleteColumns="0" deleteRows="0" sort="0" autoFilter="0" pivotTables="0"/>
  <customSheetViews>
    <customSheetView guid="{7043DB3C-32B3-43B5-9ACE-4B1C78863594}">
      <selection activeCell="D26" sqref="D26"/>
      <pageMargins left="0" right="0" top="0" bottom="0" header="0" footer="0"/>
      <headerFooter alignWithMargins="0"/>
    </customSheetView>
  </customSheetViews>
  <mergeCells count="21">
    <mergeCell ref="A2:Q2"/>
    <mergeCell ref="A3:Q3"/>
    <mergeCell ref="A4:Q4"/>
    <mergeCell ref="A5:Q5"/>
    <mergeCell ref="Q8:Q9"/>
    <mergeCell ref="E8:E9"/>
    <mergeCell ref="K7:K9"/>
    <mergeCell ref="L7:L9"/>
    <mergeCell ref="H8:H9"/>
    <mergeCell ref="I8:I9"/>
    <mergeCell ref="F8:F9"/>
    <mergeCell ref="P8:P9"/>
    <mergeCell ref="J8:J9"/>
    <mergeCell ref="N8:N9"/>
    <mergeCell ref="O8:O9"/>
    <mergeCell ref="M8:M9"/>
    <mergeCell ref="A7:A9"/>
    <mergeCell ref="B7:B9"/>
    <mergeCell ref="C8:C9"/>
    <mergeCell ref="D7:D9"/>
    <mergeCell ref="G7:G9"/>
  </mergeCells>
  <phoneticPr fontId="26" type="noConversion"/>
  <conditionalFormatting sqref="B6 J6:P6 B10:B12">
    <cfRule type="cellIs" dxfId="16" priority="3984" stopIfTrue="1" operator="equal">
      <formula>"NO ADMISIBLE"</formula>
    </cfRule>
  </conditionalFormatting>
  <conditionalFormatting sqref="C11 J11:N11 P11">
    <cfRule type="expression" dxfId="15" priority="3973" stopIfTrue="1">
      <formula>IF(#REF!-INT(#REF!)&gt;0,TRUE,FALSE)</formula>
    </cfRule>
  </conditionalFormatting>
  <conditionalFormatting sqref="C12 K12:L12">
    <cfRule type="expression" dxfId="14" priority="3982" stopIfTrue="1">
      <formula>IF(#REF!-INT(#REF!)&gt;0,TRUE,FALSE)</formula>
    </cfRule>
  </conditionalFormatting>
  <conditionalFormatting sqref="C6:H6 Q6">
    <cfRule type="expression" dxfId="13" priority="3983" stopIfTrue="1">
      <formula>IF(#REF!-INT(#REF!)&gt;0,TRUE,FALSE)</formula>
    </cfRule>
  </conditionalFormatting>
  <conditionalFormatting sqref="C10:H10 K10:N10 D11:D12 H11:H12">
    <cfRule type="expression" dxfId="12" priority="3988" stopIfTrue="1">
      <formula>IF(#REF!-INT(#REF!)&gt;0,TRUE,FALSE)</formula>
    </cfRule>
  </conditionalFormatting>
  <conditionalFormatting sqref="E11:E12">
    <cfRule type="expression" dxfId="11" priority="1481" stopIfTrue="1">
      <formula>IF(#REF!-INT(#REF!)&gt;0,TRUE,FALSE)</formula>
    </cfRule>
  </conditionalFormatting>
  <conditionalFormatting sqref="F11:G12">
    <cfRule type="expression" dxfId="10" priority="1479" stopIfTrue="1">
      <formula>IF(#REF!-INT(#REF!)&gt;0,TRUE,FALSE)</formula>
    </cfRule>
  </conditionalFormatting>
  <conditionalFormatting sqref="I10:I12">
    <cfRule type="expression" dxfId="9" priority="89" stopIfTrue="1">
      <formula>IF(#REF!-INT(#REF!)&gt;0,TRUE,FALSE)</formula>
    </cfRule>
  </conditionalFormatting>
  <conditionalFormatting sqref="J10">
    <cfRule type="expression" dxfId="8" priority="85" stopIfTrue="1">
      <formula>IF(#REF!-INT(#REF!)&gt;0,TRUE,FALSE)</formula>
    </cfRule>
  </conditionalFormatting>
  <conditionalFormatting sqref="J12">
    <cfRule type="expression" dxfId="7" priority="1477" stopIfTrue="1">
      <formula>IF(#REF!-INT(#REF!)&gt;0,TRUE,FALSE)</formula>
    </cfRule>
  </conditionalFormatting>
  <conditionalFormatting sqref="M12:N12">
    <cfRule type="expression" dxfId="6" priority="1475" stopIfTrue="1">
      <formula>IF(#REF!-INT(#REF!)&gt;0,TRUE,FALSE)</formula>
    </cfRule>
  </conditionalFormatting>
  <conditionalFormatting sqref="O10:O12">
    <cfRule type="expression" dxfId="5" priority="75" stopIfTrue="1">
      <formula>IF(#REF!-INT(#REF!)&gt;0,TRUE,FALSE)</formula>
    </cfRule>
  </conditionalFormatting>
  <conditionalFormatting sqref="P10">
    <cfRule type="expression" dxfId="4" priority="92" stopIfTrue="1">
      <formula>IF(#REF!-INT(#REF!)&gt;0,TRUE,FALSE)</formula>
    </cfRule>
  </conditionalFormatting>
  <conditionalFormatting sqref="P12">
    <cfRule type="expression" dxfId="3" priority="1474" stopIfTrue="1">
      <formula>IF(#REF!-INT(#REF!)&gt;0,TRUE,FALSE)</formula>
    </cfRule>
  </conditionalFormatting>
  <conditionalFormatting sqref="Q10:Q12">
    <cfRule type="cellIs" dxfId="2" priority="3978" stopIfTrue="1" operator="equal">
      <formula>"PENDIENTE"</formula>
    </cfRule>
    <cfRule type="cellIs" dxfId="1" priority="3979" stopIfTrue="1" operator="equal">
      <formula>"NO ADMISIBLE"</formula>
    </cfRule>
    <cfRule type="cellIs" dxfId="0" priority="3980" stopIfTrue="1" operator="equal">
      <formula>"ADMISIBLE"</formula>
    </cfRule>
  </conditionalFormatting>
  <dataValidations count="1">
    <dataValidation type="list" allowBlank="1" showInputMessage="1" showErrorMessage="1" sqref="B6 B10:B12" xr:uid="{00000000-0002-0000-0A00-000000000000}">
      <formula1>prueba</formula1>
    </dataValidation>
  </dataValidations>
  <pageMargins left="0.75" right="0.75" top="1" bottom="1" header="0" footer="0"/>
  <pageSetup paperSize="14" scale="5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4"/>
  <dimension ref="A1:B103"/>
  <sheetViews>
    <sheetView zoomScale="75" workbookViewId="0">
      <selection activeCell="A19" sqref="A19"/>
    </sheetView>
  </sheetViews>
  <sheetFormatPr baseColWidth="10" defaultColWidth="11.44140625" defaultRowHeight="13.2" outlineLevelRow="2" x14ac:dyDescent="0.25"/>
  <cols>
    <col min="1" max="1" width="19" customWidth="1"/>
    <col min="2" max="2" width="21.88671875" customWidth="1"/>
  </cols>
  <sheetData>
    <row r="1" spans="1:2" s="5" customFormat="1" ht="15.6" x14ac:dyDescent="0.3">
      <c r="A1" s="5" t="s">
        <v>159</v>
      </c>
    </row>
    <row r="3" spans="1:2" ht="35.4" x14ac:dyDescent="0.25">
      <c r="A3" s="190" t="s">
        <v>160</v>
      </c>
      <c r="B3" s="191" t="s">
        <v>161</v>
      </c>
    </row>
    <row r="4" spans="1:2" s="6" customFormat="1" outlineLevel="2" x14ac:dyDescent="0.25">
      <c r="A4" s="192"/>
    </row>
    <row r="5" spans="1:2" s="7" customFormat="1" outlineLevel="1" x14ac:dyDescent="0.25">
      <c r="A5" s="193" t="s">
        <v>162</v>
      </c>
      <c r="B5" s="194">
        <v>16097532669.306931</v>
      </c>
    </row>
    <row r="6" spans="1:2" s="7" customFormat="1" outlineLevel="1" x14ac:dyDescent="0.25">
      <c r="A6" s="193" t="s">
        <v>163</v>
      </c>
      <c r="B6" s="194">
        <v>18724260670</v>
      </c>
    </row>
    <row r="7" spans="1:2" s="7" customFormat="1" outlineLevel="1" x14ac:dyDescent="0.25">
      <c r="A7" s="193" t="s">
        <v>164</v>
      </c>
      <c r="B7" s="194">
        <v>15886461489</v>
      </c>
    </row>
    <row r="8" spans="1:2" s="7" customFormat="1" outlineLevel="1" x14ac:dyDescent="0.25">
      <c r="A8" s="193" t="s">
        <v>165</v>
      </c>
      <c r="B8" s="194">
        <v>18533406621</v>
      </c>
    </row>
    <row r="9" spans="1:2" s="7" customFormat="1" outlineLevel="1" x14ac:dyDescent="0.25">
      <c r="A9" s="193" t="s">
        <v>166</v>
      </c>
      <c r="B9" s="194">
        <v>14971945628</v>
      </c>
    </row>
    <row r="10" spans="1:2" s="7" customFormat="1" outlineLevel="1" x14ac:dyDescent="0.25">
      <c r="A10" s="193" t="s">
        <v>167</v>
      </c>
      <c r="B10" s="194">
        <v>16484340849</v>
      </c>
    </row>
    <row r="11" spans="1:2" s="7" customFormat="1" outlineLevel="1" x14ac:dyDescent="0.25">
      <c r="A11" s="193" t="s">
        <v>168</v>
      </c>
      <c r="B11" s="194">
        <v>16686919713.999998</v>
      </c>
    </row>
    <row r="12" spans="1:2" s="7" customFormat="1" outlineLevel="1" x14ac:dyDescent="0.25">
      <c r="A12" s="193" t="s">
        <v>169</v>
      </c>
      <c r="B12" s="194">
        <v>11566305868</v>
      </c>
    </row>
    <row r="13" spans="1:2" s="7" customFormat="1" outlineLevel="1" x14ac:dyDescent="0.25">
      <c r="A13" s="193" t="s">
        <v>170</v>
      </c>
      <c r="B13" s="194">
        <v>6300474910</v>
      </c>
    </row>
    <row r="14" spans="1:2" s="7" customFormat="1" outlineLevel="1" x14ac:dyDescent="0.25">
      <c r="A14" s="193" t="s">
        <v>171</v>
      </c>
      <c r="B14" s="194">
        <v>1428162158.4158416</v>
      </c>
    </row>
    <row r="15" spans="1:2" s="7" customFormat="1" outlineLevel="1" x14ac:dyDescent="0.25">
      <c r="A15" s="193" t="s">
        <v>172</v>
      </c>
      <c r="B15" s="194">
        <v>1292851961.3861387</v>
      </c>
    </row>
    <row r="16" spans="1:2" s="7" customFormat="1" outlineLevel="1" x14ac:dyDescent="0.25">
      <c r="A16" s="193" t="s">
        <v>173</v>
      </c>
      <c r="B16" s="195">
        <v>14200237260</v>
      </c>
    </row>
    <row r="17" spans="1:2" s="7" customFormat="1" outlineLevel="1" x14ac:dyDescent="0.25">
      <c r="A17" s="193" t="s">
        <v>174</v>
      </c>
      <c r="B17" s="194">
        <v>14388115033</v>
      </c>
    </row>
    <row r="18" spans="1:2" s="7" customFormat="1" outlineLevel="1" x14ac:dyDescent="0.25">
      <c r="A18" s="193" t="s">
        <v>175</v>
      </c>
      <c r="B18" s="194">
        <v>7076050599</v>
      </c>
    </row>
    <row r="19" spans="1:2" s="7" customFormat="1" outlineLevel="1" x14ac:dyDescent="0.25">
      <c r="A19" s="193" t="s">
        <v>176</v>
      </c>
      <c r="B19" s="194">
        <v>20893814942</v>
      </c>
    </row>
    <row r="20" spans="1:2" s="7" customFormat="1" outlineLevel="1" x14ac:dyDescent="0.25">
      <c r="A20" s="193" t="s">
        <v>177</v>
      </c>
      <c r="B20" s="195">
        <v>8810989120</v>
      </c>
    </row>
    <row r="21" spans="1:2" s="7" customFormat="1" outlineLevel="1" x14ac:dyDescent="0.25">
      <c r="A21" s="193" t="s">
        <v>178</v>
      </c>
      <c r="B21" s="194">
        <v>5818381842</v>
      </c>
    </row>
    <row r="22" spans="1:2" s="7" customFormat="1" outlineLevel="1" x14ac:dyDescent="0.25">
      <c r="A22" s="193" t="s">
        <v>179</v>
      </c>
      <c r="B22" s="194">
        <v>9650261634</v>
      </c>
    </row>
    <row r="23" spans="1:2" s="7" customFormat="1" outlineLevel="1" x14ac:dyDescent="0.25">
      <c r="A23" s="193" t="s">
        <v>180</v>
      </c>
      <c r="B23" s="194">
        <v>5385776414</v>
      </c>
    </row>
    <row r="24" spans="1:2" s="7" customFormat="1" outlineLevel="1" x14ac:dyDescent="0.25">
      <c r="A24" s="193" t="s">
        <v>181</v>
      </c>
      <c r="B24" s="194">
        <v>5759505844</v>
      </c>
    </row>
    <row r="25" spans="1:2" s="7" customFormat="1" outlineLevel="1" x14ac:dyDescent="0.25">
      <c r="A25" s="193" t="s">
        <v>182</v>
      </c>
      <c r="B25" s="194">
        <v>11365045650</v>
      </c>
    </row>
    <row r="26" spans="1:2" s="7" customFormat="1" outlineLevel="1" x14ac:dyDescent="0.25">
      <c r="A26" s="193" t="s">
        <v>183</v>
      </c>
      <c r="B26" s="194">
        <v>15652530637</v>
      </c>
    </row>
    <row r="27" spans="1:2" s="7" customFormat="1" outlineLevel="1" x14ac:dyDescent="0.25">
      <c r="A27" s="193" t="s">
        <v>184</v>
      </c>
      <c r="B27" s="194">
        <v>5772808797</v>
      </c>
    </row>
    <row r="28" spans="1:2" s="7" customFormat="1" outlineLevel="1" x14ac:dyDescent="0.25">
      <c r="A28" s="193" t="s">
        <v>185</v>
      </c>
      <c r="B28" s="194">
        <v>7512106130</v>
      </c>
    </row>
    <row r="29" spans="1:2" s="7" customFormat="1" outlineLevel="1" x14ac:dyDescent="0.25">
      <c r="A29" s="193" t="s">
        <v>186</v>
      </c>
      <c r="B29" s="194">
        <v>9347559589</v>
      </c>
    </row>
    <row r="30" spans="1:2" s="7" customFormat="1" outlineLevel="1" x14ac:dyDescent="0.25">
      <c r="A30" s="193" t="s">
        <v>187</v>
      </c>
      <c r="B30" s="194">
        <v>19825977010</v>
      </c>
    </row>
    <row r="31" spans="1:2" s="7" customFormat="1" outlineLevel="1" x14ac:dyDescent="0.25">
      <c r="A31" s="193" t="s">
        <v>188</v>
      </c>
      <c r="B31" s="194">
        <v>9200191515</v>
      </c>
    </row>
    <row r="32" spans="1:2" s="7" customFormat="1" outlineLevel="1" x14ac:dyDescent="0.25">
      <c r="A32" s="193" t="s">
        <v>189</v>
      </c>
      <c r="B32" s="194">
        <v>18743806542</v>
      </c>
    </row>
    <row r="33" spans="1:2" s="7" customFormat="1" outlineLevel="1" x14ac:dyDescent="0.25">
      <c r="A33" s="193" t="s">
        <v>190</v>
      </c>
      <c r="B33" s="194">
        <v>12488203547</v>
      </c>
    </row>
    <row r="34" spans="1:2" s="7" customFormat="1" outlineLevel="1" x14ac:dyDescent="0.25">
      <c r="A34" s="193" t="s">
        <v>191</v>
      </c>
      <c r="B34" s="194">
        <v>12337277639</v>
      </c>
    </row>
    <row r="35" spans="1:2" s="7" customFormat="1" outlineLevel="1" x14ac:dyDescent="0.25">
      <c r="A35" s="193" t="s">
        <v>192</v>
      </c>
      <c r="B35" s="194">
        <v>16198497482.999998</v>
      </c>
    </row>
    <row r="36" spans="1:2" s="7" customFormat="1" outlineLevel="1" x14ac:dyDescent="0.25">
      <c r="A36" s="193" t="s">
        <v>193</v>
      </c>
      <c r="B36" s="194">
        <v>17764576319</v>
      </c>
    </row>
    <row r="37" spans="1:2" s="7" customFormat="1" outlineLevel="1" x14ac:dyDescent="0.25">
      <c r="A37" s="193" t="s">
        <v>194</v>
      </c>
      <c r="B37" s="194">
        <v>22882731815</v>
      </c>
    </row>
    <row r="38" spans="1:2" s="7" customFormat="1" outlineLevel="1" x14ac:dyDescent="0.25">
      <c r="A38" s="193" t="s">
        <v>195</v>
      </c>
      <c r="B38" s="194">
        <v>7383905477</v>
      </c>
    </row>
    <row r="39" spans="1:2" s="7" customFormat="1" outlineLevel="1" x14ac:dyDescent="0.25">
      <c r="A39" s="193" t="s">
        <v>196</v>
      </c>
      <c r="B39" s="194">
        <v>12423743774</v>
      </c>
    </row>
    <row r="40" spans="1:2" s="7" customFormat="1" outlineLevel="1" x14ac:dyDescent="0.25">
      <c r="A40" s="193" t="s">
        <v>197</v>
      </c>
      <c r="B40" s="194">
        <v>14187262851</v>
      </c>
    </row>
    <row r="41" spans="1:2" s="7" customFormat="1" outlineLevel="1" x14ac:dyDescent="0.25">
      <c r="A41" s="193" t="s">
        <v>198</v>
      </c>
      <c r="B41" s="194">
        <v>9099377756</v>
      </c>
    </row>
    <row r="42" spans="1:2" s="7" customFormat="1" outlineLevel="1" x14ac:dyDescent="0.25">
      <c r="A42" s="193" t="s">
        <v>199</v>
      </c>
      <c r="B42" s="194">
        <v>7416098511</v>
      </c>
    </row>
    <row r="43" spans="1:2" s="7" customFormat="1" outlineLevel="1" x14ac:dyDescent="0.25">
      <c r="A43" s="193" t="s">
        <v>200</v>
      </c>
      <c r="B43" s="194">
        <v>16654736652</v>
      </c>
    </row>
    <row r="44" spans="1:2" s="7" customFormat="1" outlineLevel="1" x14ac:dyDescent="0.25">
      <c r="A44" s="193" t="s">
        <v>201</v>
      </c>
      <c r="B44" s="194">
        <v>12006016561</v>
      </c>
    </row>
    <row r="45" spans="1:2" s="7" customFormat="1" outlineLevel="1" x14ac:dyDescent="0.25">
      <c r="A45" s="193" t="s">
        <v>202</v>
      </c>
      <c r="B45" s="194">
        <v>14602426835</v>
      </c>
    </row>
    <row r="46" spans="1:2" s="7" customFormat="1" outlineLevel="1" x14ac:dyDescent="0.25">
      <c r="A46" s="193" t="s">
        <v>203</v>
      </c>
      <c r="B46" s="194">
        <v>16600395825</v>
      </c>
    </row>
    <row r="47" spans="1:2" s="7" customFormat="1" outlineLevel="1" x14ac:dyDescent="0.25">
      <c r="A47" s="193" t="s">
        <v>204</v>
      </c>
      <c r="B47" s="194">
        <v>9490692823</v>
      </c>
    </row>
    <row r="48" spans="1:2" s="7" customFormat="1" outlineLevel="1" x14ac:dyDescent="0.25">
      <c r="A48" s="193" t="s">
        <v>205</v>
      </c>
      <c r="B48" s="194">
        <v>14966356774</v>
      </c>
    </row>
    <row r="49" spans="1:2" s="7" customFormat="1" outlineLevel="1" x14ac:dyDescent="0.25">
      <c r="A49" s="193" t="s">
        <v>206</v>
      </c>
      <c r="B49" s="194">
        <v>16628059484</v>
      </c>
    </row>
    <row r="50" spans="1:2" s="7" customFormat="1" outlineLevel="1" x14ac:dyDescent="0.25">
      <c r="A50" s="193" t="s">
        <v>207</v>
      </c>
      <c r="B50" s="194">
        <v>11545020876</v>
      </c>
    </row>
    <row r="51" spans="1:2" s="7" customFormat="1" outlineLevel="1" x14ac:dyDescent="0.25">
      <c r="A51" s="193" t="s">
        <v>208</v>
      </c>
      <c r="B51" s="194">
        <v>11069859631</v>
      </c>
    </row>
    <row r="52" spans="1:2" s="7" customFormat="1" outlineLevel="1" x14ac:dyDescent="0.25">
      <c r="A52" s="193" t="s">
        <v>209</v>
      </c>
      <c r="B52" s="194">
        <v>16462254401</v>
      </c>
    </row>
    <row r="53" spans="1:2" s="7" customFormat="1" outlineLevel="1" x14ac:dyDescent="0.25">
      <c r="A53" s="193" t="s">
        <v>210</v>
      </c>
      <c r="B53" s="194">
        <v>29122451003</v>
      </c>
    </row>
    <row r="54" spans="1:2" s="7" customFormat="1" outlineLevel="1" x14ac:dyDescent="0.25">
      <c r="A54" s="193" t="s">
        <v>211</v>
      </c>
      <c r="B54" s="194">
        <v>19110837484</v>
      </c>
    </row>
    <row r="55" spans="1:2" s="7" customFormat="1" outlineLevel="1" x14ac:dyDescent="0.25">
      <c r="A55" s="193" t="s">
        <v>212</v>
      </c>
      <c r="B55" s="194">
        <v>14355039068</v>
      </c>
    </row>
    <row r="56" spans="1:2" s="7" customFormat="1" outlineLevel="1" x14ac:dyDescent="0.25">
      <c r="A56" s="193" t="s">
        <v>213</v>
      </c>
      <c r="B56" s="194">
        <v>10742553232</v>
      </c>
    </row>
    <row r="57" spans="1:2" s="7" customFormat="1" outlineLevel="1" x14ac:dyDescent="0.25">
      <c r="A57" s="193" t="s">
        <v>214</v>
      </c>
      <c r="B57" s="194">
        <v>12944688820</v>
      </c>
    </row>
    <row r="58" spans="1:2" s="7" customFormat="1" outlineLevel="1" x14ac:dyDescent="0.25">
      <c r="A58" s="193" t="s">
        <v>215</v>
      </c>
      <c r="B58" s="194">
        <v>11689433662</v>
      </c>
    </row>
    <row r="59" spans="1:2" s="7" customFormat="1" outlineLevel="1" x14ac:dyDescent="0.25">
      <c r="A59" s="193" t="s">
        <v>216</v>
      </c>
      <c r="B59" s="194">
        <v>11397659254</v>
      </c>
    </row>
    <row r="60" spans="1:2" s="7" customFormat="1" outlineLevel="1" x14ac:dyDescent="0.25">
      <c r="A60" s="193" t="s">
        <v>217</v>
      </c>
      <c r="B60" s="194">
        <v>16236395384</v>
      </c>
    </row>
    <row r="61" spans="1:2" s="7" customFormat="1" outlineLevel="1" x14ac:dyDescent="0.25">
      <c r="A61" s="193" t="s">
        <v>218</v>
      </c>
      <c r="B61" s="194">
        <v>6151462908.9075203</v>
      </c>
    </row>
    <row r="62" spans="1:2" s="7" customFormat="1" outlineLevel="1" x14ac:dyDescent="0.25">
      <c r="A62" s="193" t="s">
        <v>219</v>
      </c>
      <c r="B62" s="194">
        <v>24188206629</v>
      </c>
    </row>
    <row r="63" spans="1:2" s="7" customFormat="1" outlineLevel="1" x14ac:dyDescent="0.25">
      <c r="A63" s="193" t="s">
        <v>220</v>
      </c>
      <c r="B63" s="194">
        <v>22229863427</v>
      </c>
    </row>
    <row r="64" spans="1:2" s="7" customFormat="1" outlineLevel="1" x14ac:dyDescent="0.25">
      <c r="A64" s="193" t="s">
        <v>221</v>
      </c>
      <c r="B64" s="194">
        <v>23200278421</v>
      </c>
    </row>
    <row r="65" spans="1:2" s="7" customFormat="1" outlineLevel="1" x14ac:dyDescent="0.25">
      <c r="A65" s="193" t="s">
        <v>222</v>
      </c>
      <c r="B65" s="194">
        <v>33729146012</v>
      </c>
    </row>
    <row r="66" spans="1:2" s="7" customFormat="1" outlineLevel="1" x14ac:dyDescent="0.25">
      <c r="A66" s="193" t="s">
        <v>223</v>
      </c>
      <c r="B66" s="194">
        <v>25741331764</v>
      </c>
    </row>
    <row r="67" spans="1:2" s="7" customFormat="1" outlineLevel="1" x14ac:dyDescent="0.25">
      <c r="A67" s="193" t="s">
        <v>224</v>
      </c>
      <c r="B67" s="194">
        <v>10895316694.06304</v>
      </c>
    </row>
    <row r="68" spans="1:2" s="7" customFormat="1" outlineLevel="1" x14ac:dyDescent="0.25">
      <c r="A68" s="193" t="s">
        <v>225</v>
      </c>
      <c r="B68" s="194">
        <v>15574902572</v>
      </c>
    </row>
    <row r="69" spans="1:2" s="6" customFormat="1" outlineLevel="1" x14ac:dyDescent="0.25">
      <c r="A69" s="193" t="s">
        <v>226</v>
      </c>
      <c r="B69" s="194">
        <v>11085498362</v>
      </c>
    </row>
    <row r="70" spans="1:2" s="7" customFormat="1" outlineLevel="1" x14ac:dyDescent="0.25">
      <c r="A70" s="193" t="s">
        <v>227</v>
      </c>
      <c r="B70" s="194">
        <v>15569378930</v>
      </c>
    </row>
    <row r="71" spans="1:2" s="7" customFormat="1" outlineLevel="1" x14ac:dyDescent="0.25">
      <c r="A71" s="193" t="s">
        <v>228</v>
      </c>
      <c r="B71" s="194">
        <v>19872456988.21376</v>
      </c>
    </row>
    <row r="72" spans="1:2" s="7" customFormat="1" outlineLevel="1" x14ac:dyDescent="0.25">
      <c r="A72" s="193" t="s">
        <v>229</v>
      </c>
      <c r="B72" s="194">
        <v>9279916346</v>
      </c>
    </row>
    <row r="73" spans="1:2" s="7" customFormat="1" outlineLevel="1" x14ac:dyDescent="0.25">
      <c r="A73" s="193" t="s">
        <v>230</v>
      </c>
      <c r="B73" s="194">
        <v>11879598172</v>
      </c>
    </row>
    <row r="74" spans="1:2" s="7" customFormat="1" outlineLevel="1" x14ac:dyDescent="0.25">
      <c r="A74" s="193" t="s">
        <v>231</v>
      </c>
      <c r="B74" s="194">
        <v>14944234555</v>
      </c>
    </row>
    <row r="75" spans="1:2" s="7" customFormat="1" outlineLevel="1" x14ac:dyDescent="0.25">
      <c r="A75" s="193" t="s">
        <v>232</v>
      </c>
      <c r="B75" s="194">
        <v>8486287813</v>
      </c>
    </row>
    <row r="76" spans="1:2" s="7" customFormat="1" outlineLevel="1" x14ac:dyDescent="0.25">
      <c r="A76" s="193" t="s">
        <v>233</v>
      </c>
      <c r="B76" s="194">
        <v>7048832262</v>
      </c>
    </row>
    <row r="77" spans="1:2" s="7" customFormat="1" outlineLevel="1" x14ac:dyDescent="0.25">
      <c r="A77" s="193" t="s">
        <v>234</v>
      </c>
      <c r="B77" s="194">
        <v>5348779190</v>
      </c>
    </row>
    <row r="78" spans="1:2" s="7" customFormat="1" outlineLevel="1" x14ac:dyDescent="0.25">
      <c r="A78" s="193" t="s">
        <v>235</v>
      </c>
      <c r="B78" s="194">
        <v>5466387046</v>
      </c>
    </row>
    <row r="79" spans="1:2" s="7" customFormat="1" outlineLevel="1" x14ac:dyDescent="0.25">
      <c r="A79" s="193" t="s">
        <v>236</v>
      </c>
      <c r="B79" s="194">
        <v>16518448889</v>
      </c>
    </row>
    <row r="80" spans="1:2" s="7" customFormat="1" outlineLevel="1" x14ac:dyDescent="0.25">
      <c r="A80" s="193" t="s">
        <v>237</v>
      </c>
      <c r="B80" s="194">
        <v>8675202615</v>
      </c>
    </row>
    <row r="81" spans="1:2" s="7" customFormat="1" outlineLevel="1" x14ac:dyDescent="0.25">
      <c r="A81" s="193" t="s">
        <v>238</v>
      </c>
      <c r="B81" s="194">
        <v>16760013498</v>
      </c>
    </row>
    <row r="82" spans="1:2" s="7" customFormat="1" outlineLevel="1" x14ac:dyDescent="0.25">
      <c r="A82" s="193" t="s">
        <v>239</v>
      </c>
      <c r="B82" s="194">
        <v>12438755743</v>
      </c>
    </row>
    <row r="83" spans="1:2" s="7" customFormat="1" outlineLevel="1" x14ac:dyDescent="0.25">
      <c r="A83" s="193" t="s">
        <v>240</v>
      </c>
      <c r="B83" s="194">
        <v>14593425402</v>
      </c>
    </row>
    <row r="84" spans="1:2" s="7" customFormat="1" outlineLevel="1" x14ac:dyDescent="0.25">
      <c r="A84" s="193" t="s">
        <v>241</v>
      </c>
      <c r="B84" s="194">
        <v>6689468251</v>
      </c>
    </row>
    <row r="85" spans="1:2" s="7" customFormat="1" outlineLevel="1" x14ac:dyDescent="0.25">
      <c r="A85" s="193" t="s">
        <v>242</v>
      </c>
      <c r="B85" s="194">
        <v>8186369892</v>
      </c>
    </row>
    <row r="86" spans="1:2" s="7" customFormat="1" outlineLevel="1" x14ac:dyDescent="0.25">
      <c r="A86" s="193" t="s">
        <v>243</v>
      </c>
      <c r="B86" s="194">
        <v>28561249598</v>
      </c>
    </row>
    <row r="87" spans="1:2" s="7" customFormat="1" outlineLevel="1" x14ac:dyDescent="0.25">
      <c r="A87" s="193" t="s">
        <v>244</v>
      </c>
      <c r="B87" s="194">
        <v>34980509996</v>
      </c>
    </row>
    <row r="88" spans="1:2" s="7" customFormat="1" outlineLevel="1" x14ac:dyDescent="0.25">
      <c r="A88" s="193" t="s">
        <v>245</v>
      </c>
      <c r="B88" s="194">
        <v>6950846586</v>
      </c>
    </row>
    <row r="89" spans="1:2" s="7" customFormat="1" outlineLevel="1" x14ac:dyDescent="0.25">
      <c r="A89" s="193" t="s">
        <v>246</v>
      </c>
      <c r="B89" s="194">
        <v>11116163961</v>
      </c>
    </row>
    <row r="90" spans="1:2" s="7" customFormat="1" outlineLevel="1" x14ac:dyDescent="0.25">
      <c r="A90" s="193" t="s">
        <v>247</v>
      </c>
      <c r="B90" s="194">
        <v>21274070645</v>
      </c>
    </row>
    <row r="91" spans="1:2" s="7" customFormat="1" outlineLevel="1" x14ac:dyDescent="0.25">
      <c r="A91" s="193" t="s">
        <v>248</v>
      </c>
      <c r="B91" s="194">
        <v>2826770201</v>
      </c>
    </row>
    <row r="92" spans="1:2" s="7" customFormat="1" outlineLevel="1" x14ac:dyDescent="0.25">
      <c r="A92" s="193" t="s">
        <v>249</v>
      </c>
      <c r="B92" s="194">
        <v>4775546619</v>
      </c>
    </row>
    <row r="93" spans="1:2" s="7" customFormat="1" outlineLevel="1" x14ac:dyDescent="0.25">
      <c r="A93" s="193" t="s">
        <v>250</v>
      </c>
      <c r="B93" s="194">
        <v>23755514236</v>
      </c>
    </row>
    <row r="94" spans="1:2" s="7" customFormat="1" outlineLevel="1" x14ac:dyDescent="0.25">
      <c r="A94" s="193" t="s">
        <v>251</v>
      </c>
      <c r="B94" s="194">
        <v>22463613073</v>
      </c>
    </row>
    <row r="95" spans="1:2" s="7" customFormat="1" outlineLevel="1" x14ac:dyDescent="0.25">
      <c r="A95" s="193" t="s">
        <v>252</v>
      </c>
      <c r="B95" s="194">
        <v>20949816946</v>
      </c>
    </row>
    <row r="96" spans="1:2" s="7" customFormat="1" outlineLevel="1" x14ac:dyDescent="0.25">
      <c r="A96" s="193" t="s">
        <v>253</v>
      </c>
      <c r="B96" s="194">
        <v>14104036918</v>
      </c>
    </row>
    <row r="97" spans="1:2" s="7" customFormat="1" outlineLevel="1" x14ac:dyDescent="0.25">
      <c r="A97" s="193" t="s">
        <v>254</v>
      </c>
      <c r="B97" s="194">
        <v>1396272140.5940592</v>
      </c>
    </row>
    <row r="98" spans="1:2" s="7" customFormat="1" outlineLevel="1" x14ac:dyDescent="0.25">
      <c r="A98" s="193" t="s">
        <v>255</v>
      </c>
      <c r="B98" s="194">
        <v>1211346171.2871287</v>
      </c>
    </row>
    <row r="99" spans="1:2" s="7" customFormat="1" outlineLevel="1" x14ac:dyDescent="0.25">
      <c r="A99" s="193" t="s">
        <v>256</v>
      </c>
      <c r="B99" s="194">
        <v>1239693623.7623763</v>
      </c>
    </row>
    <row r="100" spans="1:2" s="7" customFormat="1" outlineLevel="1" x14ac:dyDescent="0.25">
      <c r="A100" s="193" t="s">
        <v>257</v>
      </c>
      <c r="B100" s="194">
        <v>1625508018.1759996</v>
      </c>
    </row>
    <row r="101" spans="1:2" s="6" customFormat="1" outlineLevel="1" x14ac:dyDescent="0.25">
      <c r="A101" s="193"/>
      <c r="B101" s="8">
        <f>SUM(B4:B100)</f>
        <v>1276966895152.1125</v>
      </c>
    </row>
    <row r="103" spans="1:2" x14ac:dyDescent="0.25">
      <c r="B103" s="11"/>
    </row>
  </sheetData>
  <sheetProtection password="C9F1" sheet="1" objects="1" scenarios="1"/>
  <customSheetViews>
    <customSheetView guid="{7043DB3C-32B3-43B5-9ACE-4B1C78863594}" scale="75" state="hidden">
      <selection activeCell="A19" sqref="A19"/>
      <pageMargins left="0" right="0" top="0" bottom="0" header="0" footer="0"/>
      <headerFooter alignWithMargins="0"/>
    </customSheetView>
  </customSheetViews>
  <phoneticPr fontId="0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26</vt:i4>
      </vt:variant>
    </vt:vector>
  </HeadingPairs>
  <TitlesOfParts>
    <vt:vector size="38" baseType="lpstr">
      <vt:lpstr>Verificaciones</vt:lpstr>
      <vt:lpstr>POA</vt:lpstr>
      <vt:lpstr>Puntajes</vt:lpstr>
      <vt:lpstr>Propuestas</vt:lpstr>
      <vt:lpstr>Capacidad Financiera</vt:lpstr>
      <vt:lpstr>Puntaje Exp</vt:lpstr>
      <vt:lpstr>Puntaje CT</vt:lpstr>
      <vt:lpstr>Puntaje CF</vt:lpstr>
      <vt:lpstr>Saldo CtosEjecución</vt:lpstr>
      <vt:lpstr>Cap Organización</vt:lpstr>
      <vt:lpstr>Capacidad Residual</vt:lpstr>
      <vt:lpstr>PO</vt:lpstr>
      <vt:lpstr>AnticipoM1</vt:lpstr>
      <vt:lpstr>AnticipoM2</vt:lpstr>
      <vt:lpstr>AnticipoM3</vt:lpstr>
      <vt:lpstr>AnticipoM4</vt:lpstr>
      <vt:lpstr>'Cap Organización'!Área_de_impresión</vt:lpstr>
      <vt:lpstr>'Capacidad Financiera'!Área_de_impresión</vt:lpstr>
      <vt:lpstr>'Capacidad Residual'!Área_de_impresión</vt:lpstr>
      <vt:lpstr>POA!Área_de_impresión</vt:lpstr>
      <vt:lpstr>'Puntaje CF'!Área_de_impresión</vt:lpstr>
      <vt:lpstr>'Puntaje CT'!Área_de_impresión</vt:lpstr>
      <vt:lpstr>'Puntaje Exp'!Área_de_impresión</vt:lpstr>
      <vt:lpstr>'Saldo CtosEjecución'!Área_de_impresión</vt:lpstr>
      <vt:lpstr>CapFinanciera1</vt:lpstr>
      <vt:lpstr>CapFinanciera2</vt:lpstr>
      <vt:lpstr>CapFinanciera3</vt:lpstr>
      <vt:lpstr>CapFinanciera4</vt:lpstr>
      <vt:lpstr>CapTecnica1</vt:lpstr>
      <vt:lpstr>CapTecnica2</vt:lpstr>
      <vt:lpstr>Experiencia1</vt:lpstr>
      <vt:lpstr>Experiencia2</vt:lpstr>
      <vt:lpstr>Experiencia3</vt:lpstr>
      <vt:lpstr>PlazoM1</vt:lpstr>
      <vt:lpstr>PlazoM2</vt:lpstr>
      <vt:lpstr>PlazoM3</vt:lpstr>
      <vt:lpstr>PlazoM4</vt:lpstr>
      <vt:lpstr>SALACTUAL</vt:lpstr>
    </vt:vector>
  </TitlesOfParts>
  <Manager/>
  <Company>Universidad del Rosario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 2014</dc:creator>
  <cp:keywords/>
  <dc:description/>
  <cp:lastModifiedBy>Jair Enrique Caraballo Mosquera</cp:lastModifiedBy>
  <cp:revision/>
  <dcterms:created xsi:type="dcterms:W3CDTF">2005-03-19T14:11:58Z</dcterms:created>
  <dcterms:modified xsi:type="dcterms:W3CDTF">2024-09-03T17:11:45Z</dcterms:modified>
  <cp:category/>
  <cp:contentStatus/>
</cp:coreProperties>
</file>