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9"/>
  <workbookPr autoCompressPictures="0"/>
  <mc:AlternateContent xmlns:mc="http://schemas.openxmlformats.org/markup-compatibility/2006">
    <mc:Choice Requires="x15">
      <x15ac:absPath xmlns:x15ac="http://schemas.microsoft.com/office/spreadsheetml/2010/11/ac" url="C:\Users\Familia\Downloads\"/>
    </mc:Choice>
  </mc:AlternateContent>
  <xr:revisionPtr revIDLastSave="0" documentId="8_{445B2416-D454-493F-A6F6-89F20BF648EB}" xr6:coauthVersionLast="47" xr6:coauthVersionMax="47" xr10:uidLastSave="{00000000-0000-0000-0000-000000000000}"/>
  <bookViews>
    <workbookView xWindow="-120" yWindow="-120" windowWidth="29040" windowHeight="15840" tabRatio="905" firstSheet="6" activeTab="6" xr2:uid="{00000000-000D-0000-FFFF-FFFF00000000}"/>
  </bookViews>
  <sheets>
    <sheet name="MEMORANDOS E IPC 2023 Y 2024" sheetId="29" state="hidden" r:id="rId1"/>
    <sheet name="INDEXACIÓN PRODUCTOS MES A MES" sheetId="33" r:id="rId2"/>
    <sheet name="Est. de costos Lote 1 cupos 130" sheetId="32" state="hidden" r:id="rId3"/>
    <sheet name="Est. de costos Lote 2 cupos 130" sheetId="42" state="hidden" r:id="rId4"/>
    <sheet name="Est. de costos Lote 3 cupos 100" sheetId="37" state="hidden" r:id="rId5"/>
    <sheet name="resumen presupuesto" sheetId="40" state="hidden" r:id="rId6"/>
    <sheet name="REQUISTO MIN TH" sheetId="1" r:id="rId7"/>
    <sheet name="1. TABLA COSTOS REC HUMANO" sheetId="6" r:id="rId8"/>
    <sheet name="2. DOTACION PARA TALENTO HUMANO" sheetId="28" r:id="rId9"/>
    <sheet name="3. VIGILANCIA" sheetId="17" r:id="rId10"/>
    <sheet name="4. TRANSPORTE" sheetId="18" r:id="rId11"/>
    <sheet name="ELEMENTOS ESPACIO FISICO FUNC." sheetId="16" state="hidden" r:id="rId12"/>
    <sheet name="TALLERES" sheetId="7" state="hidden" r:id="rId13"/>
    <sheet name="5. BIENES NO CONSUMIBLES" sheetId="10" r:id="rId14"/>
    <sheet name="7. TALLERES Y PAPELERIA" sheetId="19" r:id="rId15"/>
    <sheet name="8. RECREO DEPORTIVAS" sheetId="21" r:id="rId16"/>
    <sheet name="9. TALLER AGRICOLA" sheetId="22" r:id="rId17"/>
    <sheet name="10. VESTUARIO PARTICIPANTES" sheetId="14" r:id="rId18"/>
    <sheet name="11. ASEO PARTICIPANTES" sheetId="23" r:id="rId19"/>
    <sheet name="12. Comp Gestion Documental" sheetId="15" r:id="rId20"/>
    <sheet name="13. ASEO INSTITUCIONAL" sheetId="24" r:id="rId21"/>
    <sheet name="14. LAVANDERIA" sheetId="20" r:id="rId22"/>
    <sheet name="15. Rec, mant y serv Publicos" sheetId="25" r:id="rId23"/>
    <sheet name="Dotacion RH" sheetId="9" state="hidden" r:id="rId24"/>
    <sheet name="16, Piezas comunic. y de difus" sheetId="4" r:id="rId25"/>
    <sheet name="17. ALIMENTACION PARTICIPANTES" sheetId="26" r:id="rId26"/>
    <sheet name="dotacion areas" sheetId="11" state="hidden" r:id="rId27"/>
  </sheets>
  <externalReferences>
    <externalReference r:id="rId28"/>
  </externalReferences>
  <definedNames>
    <definedName name="_xlnm._FilterDatabase" localSheetId="17" hidden="1">'10. VESTUARIO PARTICIPANTES'!$A$4:$M$23</definedName>
    <definedName name="_xlnm._FilterDatabase" localSheetId="18" hidden="1">'11. ASEO PARTICIPANTES'!$A$4:$O$25</definedName>
    <definedName name="_xlnm._FilterDatabase" localSheetId="19" hidden="1">'12. Comp Gestion Documental'!$A$5:$N$22</definedName>
    <definedName name="_xlnm._FilterDatabase" localSheetId="20" hidden="1">'13. ASEO INSTITUCIONAL'!$A$4:$M$33</definedName>
    <definedName name="_xlnm._FilterDatabase" localSheetId="25" hidden="1">'17. ALIMENTACION PARTICIPANTES'!$A$3:$L$154</definedName>
    <definedName name="_xlnm._FilterDatabase" localSheetId="13" hidden="1">'5. BIENES NO CONSUMIBLES'!$A$6:$Q$111</definedName>
    <definedName name="_xlnm._FilterDatabase" localSheetId="14" hidden="1">'7. TALLERES Y PAPELERIA'!$A$4:$N$41</definedName>
    <definedName name="_xlnm._FilterDatabase" localSheetId="15" hidden="1">'8. RECREO DEPORTIVAS'!$A$5:$M$29</definedName>
    <definedName name="_xlnm._FilterDatabase" localSheetId="16" hidden="1">'9. TALLER AGRICOLA'!$A$5:$J$47</definedName>
    <definedName name="_xlnm._FilterDatabase" localSheetId="1" hidden="1">'INDEXACIÓN PRODUCTOS MES A MES'!$A$4:$Z$396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H4" i="26" l="1"/>
  <c r="I4" i="26"/>
  <c r="H5" i="26"/>
  <c r="I5" i="26"/>
  <c r="H6" i="26"/>
  <c r="I6" i="26"/>
  <c r="H7" i="26"/>
  <c r="I7" i="26"/>
  <c r="H8" i="26"/>
  <c r="I8" i="26"/>
  <c r="H9" i="26"/>
  <c r="I9" i="26"/>
  <c r="H10" i="26"/>
  <c r="I10" i="26"/>
  <c r="H11" i="26"/>
  <c r="I11" i="26"/>
  <c r="H12" i="26"/>
  <c r="I12" i="26"/>
  <c r="H13" i="26"/>
  <c r="I13" i="26"/>
  <c r="H14" i="26"/>
  <c r="I14" i="26"/>
  <c r="H15" i="26"/>
  <c r="I15" i="26"/>
  <c r="H16" i="26"/>
  <c r="I16" i="26"/>
  <c r="H17" i="26"/>
  <c r="I17" i="26"/>
  <c r="H18" i="26"/>
  <c r="I18" i="26"/>
  <c r="H19" i="26"/>
  <c r="I19" i="26"/>
  <c r="H20" i="26"/>
  <c r="I20" i="26"/>
  <c r="H21" i="26"/>
  <c r="I21" i="26"/>
  <c r="H22" i="26"/>
  <c r="I22" i="26"/>
  <c r="H23" i="26"/>
  <c r="I23" i="26"/>
  <c r="H24" i="26"/>
  <c r="I24" i="26"/>
  <c r="H25" i="26"/>
  <c r="I25" i="26"/>
  <c r="H26" i="26"/>
  <c r="I26" i="26"/>
  <c r="H27" i="26"/>
  <c r="I27" i="26"/>
  <c r="H28" i="26"/>
  <c r="I28" i="26"/>
  <c r="H29" i="26"/>
  <c r="I29" i="26"/>
  <c r="H30" i="26"/>
  <c r="I30" i="26"/>
  <c r="H31" i="26"/>
  <c r="I31" i="26"/>
  <c r="H32" i="26"/>
  <c r="I32" i="26"/>
  <c r="H33" i="26"/>
  <c r="I33" i="26"/>
  <c r="H34" i="26"/>
  <c r="I34" i="26"/>
  <c r="H35" i="26"/>
  <c r="I35" i="26"/>
  <c r="H36" i="26"/>
  <c r="I36" i="26"/>
  <c r="H37" i="26"/>
  <c r="I37" i="26"/>
  <c r="H38" i="26"/>
  <c r="I38" i="26"/>
  <c r="H39" i="26"/>
  <c r="I39" i="26"/>
  <c r="H40" i="26"/>
  <c r="I40" i="26"/>
  <c r="H41" i="26"/>
  <c r="I41" i="26"/>
  <c r="H42" i="26"/>
  <c r="I42" i="26"/>
  <c r="H43" i="26"/>
  <c r="I43" i="26"/>
  <c r="H44" i="26"/>
  <c r="I44" i="26"/>
  <c r="H45" i="26"/>
  <c r="I45" i="26"/>
  <c r="H46" i="26"/>
  <c r="I46" i="26"/>
  <c r="H47" i="26"/>
  <c r="I47" i="26"/>
  <c r="H48" i="26"/>
  <c r="I48" i="26"/>
  <c r="H49" i="26"/>
  <c r="I49" i="26"/>
  <c r="H50" i="26"/>
  <c r="I50" i="26"/>
  <c r="H51" i="26"/>
  <c r="I51" i="26"/>
  <c r="H52" i="26"/>
  <c r="I52" i="26"/>
  <c r="H53" i="26"/>
  <c r="I53" i="26"/>
  <c r="H54" i="26"/>
  <c r="I54" i="26"/>
  <c r="H55" i="26"/>
  <c r="I55" i="26"/>
  <c r="H56" i="26"/>
  <c r="I56" i="26"/>
  <c r="H57" i="26"/>
  <c r="I57" i="26"/>
  <c r="H58" i="26"/>
  <c r="I58" i="26"/>
  <c r="H59" i="26"/>
  <c r="I59" i="26"/>
  <c r="H60" i="26"/>
  <c r="I60" i="26"/>
  <c r="H61" i="26"/>
  <c r="I61" i="26"/>
  <c r="H62" i="26"/>
  <c r="I62" i="26"/>
  <c r="H63" i="26"/>
  <c r="I63" i="26"/>
  <c r="H64" i="26"/>
  <c r="I64" i="26"/>
  <c r="H65" i="26"/>
  <c r="I65" i="26"/>
  <c r="H66" i="26"/>
  <c r="I66" i="26"/>
  <c r="H67" i="26"/>
  <c r="I67" i="26"/>
  <c r="H68" i="26"/>
  <c r="I68" i="26"/>
  <c r="H69" i="26"/>
  <c r="I69" i="26"/>
  <c r="H70" i="26"/>
  <c r="I70" i="26"/>
  <c r="H71" i="26"/>
  <c r="I71" i="26"/>
  <c r="H72" i="26"/>
  <c r="I72" i="26"/>
  <c r="H73" i="26"/>
  <c r="I73" i="26"/>
  <c r="H74" i="26"/>
  <c r="I74" i="26"/>
  <c r="H75" i="26"/>
  <c r="I75" i="26"/>
  <c r="H76" i="26"/>
  <c r="I76" i="26"/>
  <c r="H77" i="26"/>
  <c r="I77" i="26"/>
  <c r="H78" i="26"/>
  <c r="I78" i="26"/>
  <c r="H79" i="26"/>
  <c r="I79" i="26"/>
  <c r="H80" i="26"/>
  <c r="I80" i="26"/>
  <c r="H81" i="26"/>
  <c r="I81" i="26"/>
  <c r="H82" i="26"/>
  <c r="I82" i="26"/>
  <c r="H83" i="26"/>
  <c r="I83" i="26"/>
  <c r="H84" i="26"/>
  <c r="I84" i="26"/>
  <c r="H85" i="26"/>
  <c r="I85" i="26"/>
  <c r="H86" i="26"/>
  <c r="I86" i="26"/>
  <c r="H87" i="26"/>
  <c r="I87" i="26"/>
  <c r="H88" i="26"/>
  <c r="I88" i="26"/>
  <c r="H89" i="26"/>
  <c r="I89" i="26"/>
  <c r="H90" i="26"/>
  <c r="I90" i="26"/>
  <c r="H91" i="26"/>
  <c r="I91" i="26"/>
  <c r="H92" i="26"/>
  <c r="I92" i="26"/>
  <c r="H93" i="26"/>
  <c r="I93" i="26"/>
  <c r="H94" i="26"/>
  <c r="I94" i="26"/>
  <c r="H95" i="26"/>
  <c r="I95" i="26"/>
  <c r="H96" i="26"/>
  <c r="I96" i="26"/>
  <c r="H97" i="26"/>
  <c r="I97" i="26"/>
  <c r="H98" i="26"/>
  <c r="I98" i="26"/>
  <c r="H99" i="26"/>
  <c r="I99" i="26"/>
  <c r="H100" i="26"/>
  <c r="I100" i="26"/>
  <c r="H101" i="26"/>
  <c r="I101" i="26"/>
  <c r="H102" i="26"/>
  <c r="I102" i="26"/>
  <c r="H103" i="26"/>
  <c r="I103" i="26"/>
  <c r="H104" i="26"/>
  <c r="I104" i="26"/>
  <c r="H105" i="26"/>
  <c r="I105" i="26"/>
  <c r="H106" i="26"/>
  <c r="I106" i="26"/>
  <c r="H107" i="26"/>
  <c r="I107" i="26"/>
  <c r="H108" i="26"/>
  <c r="I108" i="26"/>
  <c r="H109" i="26"/>
  <c r="I109" i="26"/>
  <c r="H110" i="26"/>
  <c r="I110" i="26"/>
  <c r="H111" i="26"/>
  <c r="I111" i="26"/>
  <c r="H112" i="26"/>
  <c r="I112" i="26"/>
  <c r="H113" i="26"/>
  <c r="I113" i="26"/>
  <c r="H114" i="26"/>
  <c r="I114" i="26"/>
  <c r="H115" i="26"/>
  <c r="I115" i="26"/>
  <c r="H116" i="26"/>
  <c r="I116" i="26"/>
  <c r="H117" i="26"/>
  <c r="I117" i="26"/>
  <c r="H118" i="26"/>
  <c r="I118" i="26"/>
  <c r="H119" i="26"/>
  <c r="I119" i="26"/>
  <c r="H120" i="26"/>
  <c r="I120" i="26"/>
  <c r="H121" i="26"/>
  <c r="I121" i="26"/>
  <c r="H122" i="26"/>
  <c r="I122" i="26"/>
  <c r="H123" i="26"/>
  <c r="I123" i="26"/>
  <c r="H124" i="26"/>
  <c r="I124" i="26"/>
  <c r="I126" i="26"/>
  <c r="I127" i="26"/>
  <c r="I128" i="26"/>
  <c r="E55" i="42"/>
  <c r="F374" i="33"/>
  <c r="H374" i="33"/>
  <c r="I374" i="33"/>
  <c r="J374" i="33"/>
  <c r="K374" i="33"/>
  <c r="L374" i="33"/>
  <c r="M374" i="33"/>
  <c r="N374" i="33"/>
  <c r="O374" i="33"/>
  <c r="P374" i="33"/>
  <c r="Q374" i="33"/>
  <c r="R374" i="33"/>
  <c r="S374" i="33"/>
  <c r="T374" i="33"/>
  <c r="U374" i="33"/>
  <c r="K7" i="14"/>
  <c r="O7" i="14"/>
  <c r="F375" i="33"/>
  <c r="H375" i="33"/>
  <c r="I375" i="33"/>
  <c r="J375" i="33"/>
  <c r="K375" i="33"/>
  <c r="L375" i="33"/>
  <c r="M375" i="33"/>
  <c r="N375" i="33"/>
  <c r="O375" i="33"/>
  <c r="P375" i="33"/>
  <c r="Q375" i="33"/>
  <c r="R375" i="33"/>
  <c r="S375" i="33"/>
  <c r="T375" i="33"/>
  <c r="U375" i="33"/>
  <c r="K8" i="14"/>
  <c r="O8" i="14"/>
  <c r="F376" i="33"/>
  <c r="H376" i="33"/>
  <c r="I376" i="33"/>
  <c r="J376" i="33"/>
  <c r="K376" i="33"/>
  <c r="L376" i="33"/>
  <c r="M376" i="33"/>
  <c r="N376" i="33"/>
  <c r="O376" i="33"/>
  <c r="P376" i="33"/>
  <c r="Q376" i="33"/>
  <c r="R376" i="33"/>
  <c r="S376" i="33"/>
  <c r="T376" i="33"/>
  <c r="U376" i="33"/>
  <c r="K9" i="14"/>
  <c r="O9" i="14"/>
  <c r="F377" i="33"/>
  <c r="H377" i="33"/>
  <c r="I377" i="33"/>
  <c r="J377" i="33"/>
  <c r="K377" i="33"/>
  <c r="L377" i="33"/>
  <c r="M377" i="33"/>
  <c r="N377" i="33"/>
  <c r="O377" i="33"/>
  <c r="P377" i="33"/>
  <c r="Q377" i="33"/>
  <c r="R377" i="33"/>
  <c r="S377" i="33"/>
  <c r="T377" i="33"/>
  <c r="U377" i="33"/>
  <c r="K10" i="14"/>
  <c r="O10" i="14"/>
  <c r="F378" i="33"/>
  <c r="H378" i="33"/>
  <c r="I378" i="33"/>
  <c r="J378" i="33"/>
  <c r="K378" i="33"/>
  <c r="L378" i="33"/>
  <c r="M378" i="33"/>
  <c r="N378" i="33"/>
  <c r="O378" i="33"/>
  <c r="P378" i="33"/>
  <c r="Q378" i="33"/>
  <c r="R378" i="33"/>
  <c r="S378" i="33"/>
  <c r="T378" i="33"/>
  <c r="U378" i="33"/>
  <c r="K11" i="14"/>
  <c r="O11" i="14"/>
  <c r="F379" i="33"/>
  <c r="H379" i="33"/>
  <c r="I379" i="33"/>
  <c r="J379" i="33"/>
  <c r="K379" i="33"/>
  <c r="L379" i="33"/>
  <c r="M379" i="33"/>
  <c r="N379" i="33"/>
  <c r="O379" i="33"/>
  <c r="P379" i="33"/>
  <c r="Q379" i="33"/>
  <c r="R379" i="33"/>
  <c r="S379" i="33"/>
  <c r="T379" i="33"/>
  <c r="U379" i="33"/>
  <c r="K12" i="14"/>
  <c r="O12" i="14"/>
  <c r="F380" i="33"/>
  <c r="H380" i="33"/>
  <c r="I380" i="33"/>
  <c r="J380" i="33"/>
  <c r="K380" i="33"/>
  <c r="L380" i="33"/>
  <c r="M380" i="33"/>
  <c r="N380" i="33"/>
  <c r="O380" i="33"/>
  <c r="P380" i="33"/>
  <c r="Q380" i="33"/>
  <c r="R380" i="33"/>
  <c r="S380" i="33"/>
  <c r="T380" i="33"/>
  <c r="U380" i="33"/>
  <c r="K13" i="14"/>
  <c r="O13" i="14"/>
  <c r="F382" i="33"/>
  <c r="U382" i="33"/>
  <c r="K14" i="14"/>
  <c r="O14" i="14"/>
  <c r="F383" i="33"/>
  <c r="H383" i="33"/>
  <c r="I383" i="33"/>
  <c r="J383" i="33"/>
  <c r="K383" i="33"/>
  <c r="L383" i="33"/>
  <c r="M383" i="33"/>
  <c r="N383" i="33"/>
  <c r="O383" i="33"/>
  <c r="P383" i="33"/>
  <c r="Q383" i="33"/>
  <c r="R383" i="33"/>
  <c r="S383" i="33"/>
  <c r="T383" i="33"/>
  <c r="U383" i="33"/>
  <c r="K15" i="14"/>
  <c r="O15" i="14"/>
  <c r="F384" i="33"/>
  <c r="U384" i="33"/>
  <c r="K16" i="14"/>
  <c r="O16" i="14"/>
  <c r="F387" i="33"/>
  <c r="U387" i="33"/>
  <c r="K17" i="14"/>
  <c r="O17" i="14"/>
  <c r="F388" i="33"/>
  <c r="H388" i="33"/>
  <c r="I388" i="33"/>
  <c r="J388" i="33"/>
  <c r="K388" i="33"/>
  <c r="L388" i="33"/>
  <c r="M388" i="33"/>
  <c r="N388" i="33"/>
  <c r="O388" i="33"/>
  <c r="P388" i="33"/>
  <c r="Q388" i="33"/>
  <c r="R388" i="33"/>
  <c r="S388" i="33"/>
  <c r="T388" i="33"/>
  <c r="U388" i="33"/>
  <c r="K18" i="14"/>
  <c r="O18" i="14"/>
  <c r="F389" i="33"/>
  <c r="U389" i="33"/>
  <c r="K19" i="14"/>
  <c r="O19" i="14"/>
  <c r="F392" i="33"/>
  <c r="H392" i="33"/>
  <c r="I392" i="33"/>
  <c r="J392" i="33"/>
  <c r="K392" i="33"/>
  <c r="L392" i="33"/>
  <c r="M392" i="33"/>
  <c r="N392" i="33"/>
  <c r="O392" i="33"/>
  <c r="P392" i="33"/>
  <c r="Q392" i="33"/>
  <c r="R392" i="33"/>
  <c r="S392" i="33"/>
  <c r="T392" i="33"/>
  <c r="U392" i="33"/>
  <c r="K20" i="14"/>
  <c r="O20" i="14"/>
  <c r="F393" i="33"/>
  <c r="H393" i="33"/>
  <c r="I393" i="33"/>
  <c r="J393" i="33"/>
  <c r="K393" i="33"/>
  <c r="L393" i="33"/>
  <c r="M393" i="33"/>
  <c r="N393" i="33"/>
  <c r="O393" i="33"/>
  <c r="P393" i="33"/>
  <c r="Q393" i="33"/>
  <c r="R393" i="33"/>
  <c r="S393" i="33"/>
  <c r="T393" i="33"/>
  <c r="U393" i="33"/>
  <c r="K21" i="14"/>
  <c r="O21" i="14"/>
  <c r="F396" i="33"/>
  <c r="H396" i="33"/>
  <c r="I396" i="33"/>
  <c r="J396" i="33"/>
  <c r="K396" i="33"/>
  <c r="L396" i="33"/>
  <c r="M396" i="33"/>
  <c r="N396" i="33"/>
  <c r="O396" i="33"/>
  <c r="P396" i="33"/>
  <c r="Q396" i="33"/>
  <c r="R396" i="33"/>
  <c r="S396" i="33"/>
  <c r="T396" i="33"/>
  <c r="U396" i="33"/>
  <c r="K22" i="14"/>
  <c r="O22" i="14"/>
  <c r="F395" i="33"/>
  <c r="H395" i="33"/>
  <c r="I395" i="33"/>
  <c r="J395" i="33"/>
  <c r="K395" i="33"/>
  <c r="L395" i="33"/>
  <c r="M395" i="33"/>
  <c r="N395" i="33"/>
  <c r="O395" i="33"/>
  <c r="P395" i="33"/>
  <c r="Q395" i="33"/>
  <c r="R395" i="33"/>
  <c r="S395" i="33"/>
  <c r="T395" i="33"/>
  <c r="U395" i="33"/>
  <c r="K23" i="14"/>
  <c r="O23" i="14"/>
  <c r="O25" i="14"/>
  <c r="O26" i="14"/>
  <c r="E54" i="42"/>
  <c r="F353" i="33"/>
  <c r="H353" i="33"/>
  <c r="I353" i="33"/>
  <c r="J353" i="33"/>
  <c r="K353" i="33"/>
  <c r="L353" i="33"/>
  <c r="M353" i="33"/>
  <c r="N353" i="33"/>
  <c r="O353" i="33"/>
  <c r="P353" i="33"/>
  <c r="Q353" i="33"/>
  <c r="R353" i="33"/>
  <c r="S353" i="33"/>
  <c r="T353" i="33"/>
  <c r="U353" i="33"/>
  <c r="K7" i="23"/>
  <c r="E7" i="23"/>
  <c r="G7" i="23"/>
  <c r="O7" i="23"/>
  <c r="F354" i="33"/>
  <c r="H354" i="33"/>
  <c r="I354" i="33"/>
  <c r="J354" i="33"/>
  <c r="K354" i="33"/>
  <c r="L354" i="33"/>
  <c r="M354" i="33"/>
  <c r="N354" i="33"/>
  <c r="O354" i="33"/>
  <c r="P354" i="33"/>
  <c r="Q354" i="33"/>
  <c r="R354" i="33"/>
  <c r="S354" i="33"/>
  <c r="T354" i="33"/>
  <c r="U354" i="33"/>
  <c r="K8" i="23"/>
  <c r="E8" i="23"/>
  <c r="G8" i="23"/>
  <c r="O8" i="23"/>
  <c r="F355" i="33"/>
  <c r="H355" i="33"/>
  <c r="I355" i="33"/>
  <c r="J355" i="33"/>
  <c r="K355" i="33"/>
  <c r="L355" i="33"/>
  <c r="M355" i="33"/>
  <c r="N355" i="33"/>
  <c r="O355" i="33"/>
  <c r="P355" i="33"/>
  <c r="Q355" i="33"/>
  <c r="R355" i="33"/>
  <c r="S355" i="33"/>
  <c r="T355" i="33"/>
  <c r="U355" i="33"/>
  <c r="K9" i="23"/>
  <c r="E9" i="23"/>
  <c r="G9" i="23"/>
  <c r="O9" i="23"/>
  <c r="F357" i="33"/>
  <c r="H357" i="33"/>
  <c r="I357" i="33"/>
  <c r="J357" i="33"/>
  <c r="K357" i="33"/>
  <c r="L357" i="33"/>
  <c r="M357" i="33"/>
  <c r="N357" i="33"/>
  <c r="O357" i="33"/>
  <c r="P357" i="33"/>
  <c r="Q357" i="33"/>
  <c r="R357" i="33"/>
  <c r="S357" i="33"/>
  <c r="T357" i="33"/>
  <c r="U357" i="33"/>
  <c r="K10" i="23"/>
  <c r="E10" i="23"/>
  <c r="G10" i="23"/>
  <c r="O10" i="23"/>
  <c r="F359" i="33"/>
  <c r="H359" i="33"/>
  <c r="I359" i="33"/>
  <c r="J359" i="33"/>
  <c r="K359" i="33"/>
  <c r="L359" i="33"/>
  <c r="M359" i="33"/>
  <c r="N359" i="33"/>
  <c r="O359" i="33"/>
  <c r="P359" i="33"/>
  <c r="Q359" i="33"/>
  <c r="R359" i="33"/>
  <c r="S359" i="33"/>
  <c r="T359" i="33"/>
  <c r="U359" i="33"/>
  <c r="K11" i="23"/>
  <c r="E11" i="23"/>
  <c r="G11" i="23"/>
  <c r="O11" i="23"/>
  <c r="F360" i="33"/>
  <c r="H360" i="33"/>
  <c r="I360" i="33"/>
  <c r="J360" i="33"/>
  <c r="K360" i="33"/>
  <c r="L360" i="33"/>
  <c r="M360" i="33"/>
  <c r="N360" i="33"/>
  <c r="O360" i="33"/>
  <c r="P360" i="33"/>
  <c r="Q360" i="33"/>
  <c r="R360" i="33"/>
  <c r="S360" i="33"/>
  <c r="T360" i="33"/>
  <c r="U360" i="33"/>
  <c r="K12" i="23"/>
  <c r="E12" i="23"/>
  <c r="G12" i="23"/>
  <c r="O12" i="23"/>
  <c r="F361" i="33"/>
  <c r="H361" i="33"/>
  <c r="I361" i="33"/>
  <c r="J361" i="33"/>
  <c r="K361" i="33"/>
  <c r="L361" i="33"/>
  <c r="M361" i="33"/>
  <c r="N361" i="33"/>
  <c r="O361" i="33"/>
  <c r="P361" i="33"/>
  <c r="Q361" i="33"/>
  <c r="R361" i="33"/>
  <c r="S361" i="33"/>
  <c r="T361" i="33"/>
  <c r="U361" i="33"/>
  <c r="K13" i="23"/>
  <c r="E13" i="23"/>
  <c r="G13" i="23"/>
  <c r="O13" i="23"/>
  <c r="F362" i="33"/>
  <c r="H362" i="33"/>
  <c r="I362" i="33"/>
  <c r="J362" i="33"/>
  <c r="K362" i="33"/>
  <c r="L362" i="33"/>
  <c r="M362" i="33"/>
  <c r="N362" i="33"/>
  <c r="O362" i="33"/>
  <c r="P362" i="33"/>
  <c r="Q362" i="33"/>
  <c r="R362" i="33"/>
  <c r="S362" i="33"/>
  <c r="T362" i="33"/>
  <c r="U362" i="33"/>
  <c r="K14" i="23"/>
  <c r="E14" i="23"/>
  <c r="G14" i="23"/>
  <c r="O14" i="23"/>
  <c r="F363" i="33"/>
  <c r="H363" i="33"/>
  <c r="I363" i="33"/>
  <c r="J363" i="33"/>
  <c r="K363" i="33"/>
  <c r="L363" i="33"/>
  <c r="M363" i="33"/>
  <c r="N363" i="33"/>
  <c r="O363" i="33"/>
  <c r="P363" i="33"/>
  <c r="Q363" i="33"/>
  <c r="R363" i="33"/>
  <c r="S363" i="33"/>
  <c r="T363" i="33"/>
  <c r="U363" i="33"/>
  <c r="K15" i="23"/>
  <c r="G15" i="23"/>
  <c r="O15" i="23"/>
  <c r="F364" i="33"/>
  <c r="H364" i="33"/>
  <c r="I364" i="33"/>
  <c r="J364" i="33"/>
  <c r="K364" i="33"/>
  <c r="L364" i="33"/>
  <c r="M364" i="33"/>
  <c r="N364" i="33"/>
  <c r="O364" i="33"/>
  <c r="P364" i="33"/>
  <c r="Q364" i="33"/>
  <c r="R364" i="33"/>
  <c r="S364" i="33"/>
  <c r="T364" i="33"/>
  <c r="U364" i="33"/>
  <c r="K16" i="23"/>
  <c r="E16" i="23"/>
  <c r="G16" i="23"/>
  <c r="O16" i="23"/>
  <c r="F365" i="33"/>
  <c r="H365" i="33"/>
  <c r="I365" i="33"/>
  <c r="J365" i="33"/>
  <c r="K365" i="33"/>
  <c r="L365" i="33"/>
  <c r="M365" i="33"/>
  <c r="N365" i="33"/>
  <c r="O365" i="33"/>
  <c r="P365" i="33"/>
  <c r="Q365" i="33"/>
  <c r="R365" i="33"/>
  <c r="S365" i="33"/>
  <c r="T365" i="33"/>
  <c r="U365" i="33"/>
  <c r="K17" i="23"/>
  <c r="E17" i="23"/>
  <c r="G17" i="23"/>
  <c r="O17" i="23"/>
  <c r="F366" i="33"/>
  <c r="H366" i="33"/>
  <c r="I366" i="33"/>
  <c r="J366" i="33"/>
  <c r="K366" i="33"/>
  <c r="L366" i="33"/>
  <c r="M366" i="33"/>
  <c r="N366" i="33"/>
  <c r="O366" i="33"/>
  <c r="P366" i="33"/>
  <c r="Q366" i="33"/>
  <c r="R366" i="33"/>
  <c r="S366" i="33"/>
  <c r="T366" i="33"/>
  <c r="U366" i="33"/>
  <c r="K18" i="23"/>
  <c r="E18" i="23"/>
  <c r="G18" i="23"/>
  <c r="O18" i="23"/>
  <c r="F367" i="33"/>
  <c r="H367" i="33"/>
  <c r="I367" i="33"/>
  <c r="J367" i="33"/>
  <c r="K367" i="33"/>
  <c r="L367" i="33"/>
  <c r="M367" i="33"/>
  <c r="N367" i="33"/>
  <c r="O367" i="33"/>
  <c r="P367" i="33"/>
  <c r="Q367" i="33"/>
  <c r="R367" i="33"/>
  <c r="S367" i="33"/>
  <c r="T367" i="33"/>
  <c r="U367" i="33"/>
  <c r="K19" i="23"/>
  <c r="E19" i="23"/>
  <c r="G19" i="23"/>
  <c r="O19" i="23"/>
  <c r="F368" i="33"/>
  <c r="U368" i="33"/>
  <c r="K20" i="23"/>
  <c r="E20" i="23"/>
  <c r="G20" i="23"/>
  <c r="O20" i="23"/>
  <c r="F369" i="33"/>
  <c r="H369" i="33"/>
  <c r="I369" i="33"/>
  <c r="J369" i="33"/>
  <c r="K369" i="33"/>
  <c r="L369" i="33"/>
  <c r="M369" i="33"/>
  <c r="N369" i="33"/>
  <c r="O369" i="33"/>
  <c r="P369" i="33"/>
  <c r="Q369" i="33"/>
  <c r="R369" i="33"/>
  <c r="S369" i="33"/>
  <c r="T369" i="33"/>
  <c r="U369" i="33"/>
  <c r="K21" i="23"/>
  <c r="E21" i="23"/>
  <c r="G21" i="23"/>
  <c r="O21" i="23"/>
  <c r="F371" i="33"/>
  <c r="U371" i="33"/>
  <c r="K22" i="23"/>
  <c r="E22" i="23"/>
  <c r="G22" i="23"/>
  <c r="O22" i="23"/>
  <c r="F372" i="33"/>
  <c r="H372" i="33"/>
  <c r="I372" i="33"/>
  <c r="J372" i="33"/>
  <c r="K372" i="33"/>
  <c r="L372" i="33"/>
  <c r="M372" i="33"/>
  <c r="N372" i="33"/>
  <c r="O372" i="33"/>
  <c r="P372" i="33"/>
  <c r="Q372" i="33"/>
  <c r="R372" i="33"/>
  <c r="S372" i="33"/>
  <c r="T372" i="33"/>
  <c r="U372" i="33"/>
  <c r="K23" i="23"/>
  <c r="E23" i="23"/>
  <c r="G23" i="23"/>
  <c r="O23" i="23"/>
  <c r="F373" i="33"/>
  <c r="H373" i="33"/>
  <c r="I373" i="33"/>
  <c r="J373" i="33"/>
  <c r="K373" i="33"/>
  <c r="L373" i="33"/>
  <c r="M373" i="33"/>
  <c r="N373" i="33"/>
  <c r="O373" i="33"/>
  <c r="P373" i="33"/>
  <c r="Q373" i="33"/>
  <c r="R373" i="33"/>
  <c r="S373" i="33"/>
  <c r="T373" i="33"/>
  <c r="U373" i="33"/>
  <c r="K24" i="23"/>
  <c r="E24" i="23"/>
  <c r="G24" i="23"/>
  <c r="O24" i="23"/>
  <c r="F167" i="33"/>
  <c r="H167" i="33"/>
  <c r="I167" i="33"/>
  <c r="J167" i="33"/>
  <c r="K167" i="33"/>
  <c r="L167" i="33"/>
  <c r="M167" i="33"/>
  <c r="N167" i="33"/>
  <c r="O167" i="33"/>
  <c r="P167" i="33"/>
  <c r="Q167" i="33"/>
  <c r="R167" i="33"/>
  <c r="S167" i="33"/>
  <c r="T167" i="33"/>
  <c r="U167" i="33"/>
  <c r="K25" i="23"/>
  <c r="E25" i="23"/>
  <c r="G25" i="23"/>
  <c r="O25" i="23"/>
  <c r="O29" i="23"/>
  <c r="O30" i="23"/>
  <c r="E53" i="42"/>
  <c r="E22" i="25"/>
  <c r="F22" i="25"/>
  <c r="E52" i="42"/>
  <c r="E49" i="42"/>
  <c r="E48" i="42"/>
  <c r="L7" i="4"/>
  <c r="M7" i="4"/>
  <c r="E47" i="42"/>
  <c r="F339" i="33"/>
  <c r="U339" i="33"/>
  <c r="J8" i="15"/>
  <c r="N8" i="15"/>
  <c r="F340" i="33"/>
  <c r="U340" i="33"/>
  <c r="J9" i="15"/>
  <c r="D9" i="15"/>
  <c r="F9" i="15"/>
  <c r="N9" i="15"/>
  <c r="F341" i="33"/>
  <c r="U341" i="33"/>
  <c r="J10" i="15"/>
  <c r="C10" i="15"/>
  <c r="D10" i="15"/>
  <c r="F10" i="15"/>
  <c r="N10" i="15"/>
  <c r="F342" i="33"/>
  <c r="U342" i="33"/>
  <c r="J11" i="15"/>
  <c r="D11" i="15"/>
  <c r="F11" i="15"/>
  <c r="N11" i="15"/>
  <c r="F343" i="33"/>
  <c r="H343" i="33"/>
  <c r="I343" i="33"/>
  <c r="J343" i="33"/>
  <c r="K343" i="33"/>
  <c r="L343" i="33"/>
  <c r="M343" i="33"/>
  <c r="N343" i="33"/>
  <c r="O343" i="33"/>
  <c r="P343" i="33"/>
  <c r="Q343" i="33"/>
  <c r="R343" i="33"/>
  <c r="S343" i="33"/>
  <c r="T343" i="33"/>
  <c r="U343" i="33"/>
  <c r="J12" i="15"/>
  <c r="D12" i="15"/>
  <c r="F12" i="15"/>
  <c r="N12" i="15"/>
  <c r="F344" i="33"/>
  <c r="H344" i="33"/>
  <c r="I344" i="33"/>
  <c r="J344" i="33"/>
  <c r="K344" i="33"/>
  <c r="L344" i="33"/>
  <c r="M344" i="33"/>
  <c r="N344" i="33"/>
  <c r="O344" i="33"/>
  <c r="P344" i="33"/>
  <c r="Q344" i="33"/>
  <c r="R344" i="33"/>
  <c r="S344" i="33"/>
  <c r="T344" i="33"/>
  <c r="U344" i="33"/>
  <c r="J13" i="15"/>
  <c r="D13" i="15"/>
  <c r="F13" i="15"/>
  <c r="N13" i="15"/>
  <c r="H345" i="33"/>
  <c r="I345" i="33"/>
  <c r="J345" i="33"/>
  <c r="K345" i="33"/>
  <c r="L345" i="33"/>
  <c r="M345" i="33"/>
  <c r="N345" i="33"/>
  <c r="O345" i="33"/>
  <c r="P345" i="33"/>
  <c r="Q345" i="33"/>
  <c r="R345" i="33"/>
  <c r="S345" i="33"/>
  <c r="T345" i="33"/>
  <c r="U345" i="33"/>
  <c r="J14" i="15"/>
  <c r="D14" i="15"/>
  <c r="F14" i="15"/>
  <c r="N14" i="15"/>
  <c r="H346" i="33"/>
  <c r="I346" i="33"/>
  <c r="J346" i="33"/>
  <c r="K346" i="33"/>
  <c r="L346" i="33"/>
  <c r="M346" i="33"/>
  <c r="N346" i="33"/>
  <c r="O346" i="33"/>
  <c r="P346" i="33"/>
  <c r="Q346" i="33"/>
  <c r="R346" i="33"/>
  <c r="S346" i="33"/>
  <c r="T346" i="33"/>
  <c r="U346" i="33"/>
  <c r="J15" i="15"/>
  <c r="D15" i="15"/>
  <c r="F15" i="15"/>
  <c r="N15" i="15"/>
  <c r="F347" i="33"/>
  <c r="H347" i="33"/>
  <c r="I347" i="33"/>
  <c r="J347" i="33"/>
  <c r="K347" i="33"/>
  <c r="L347" i="33"/>
  <c r="M347" i="33"/>
  <c r="N347" i="33"/>
  <c r="O347" i="33"/>
  <c r="P347" i="33"/>
  <c r="Q347" i="33"/>
  <c r="R347" i="33"/>
  <c r="S347" i="33"/>
  <c r="T347" i="33"/>
  <c r="U347" i="33"/>
  <c r="J16" i="15"/>
  <c r="D16" i="15"/>
  <c r="F16" i="15"/>
  <c r="N16" i="15"/>
  <c r="H119" i="33"/>
  <c r="I119" i="33"/>
  <c r="J119" i="33"/>
  <c r="K119" i="33"/>
  <c r="L119" i="33"/>
  <c r="M119" i="33"/>
  <c r="N119" i="33"/>
  <c r="O119" i="33"/>
  <c r="P119" i="33"/>
  <c r="Q119" i="33"/>
  <c r="R119" i="33"/>
  <c r="S119" i="33"/>
  <c r="T119" i="33"/>
  <c r="U119" i="33"/>
  <c r="J17" i="15"/>
  <c r="N17" i="15"/>
  <c r="F349" i="33"/>
  <c r="H349" i="33"/>
  <c r="I349" i="33"/>
  <c r="J349" i="33"/>
  <c r="K349" i="33"/>
  <c r="L349" i="33"/>
  <c r="M349" i="33"/>
  <c r="N349" i="33"/>
  <c r="O349" i="33"/>
  <c r="P349" i="33"/>
  <c r="Q349" i="33"/>
  <c r="R349" i="33"/>
  <c r="S349" i="33"/>
  <c r="T349" i="33"/>
  <c r="U349" i="33"/>
  <c r="J18" i="15"/>
  <c r="N18" i="15"/>
  <c r="F135" i="33"/>
  <c r="H135" i="33"/>
  <c r="I135" i="33"/>
  <c r="J135" i="33"/>
  <c r="K135" i="33"/>
  <c r="L135" i="33"/>
  <c r="M135" i="33"/>
  <c r="N135" i="33"/>
  <c r="O135" i="33"/>
  <c r="P135" i="33"/>
  <c r="Q135" i="33"/>
  <c r="R135" i="33"/>
  <c r="S135" i="33"/>
  <c r="T135" i="33"/>
  <c r="U135" i="33"/>
  <c r="J19" i="15"/>
  <c r="N19" i="15"/>
  <c r="N20" i="15"/>
  <c r="E46" i="42"/>
  <c r="F311" i="33"/>
  <c r="U311" i="33"/>
  <c r="I8" i="22"/>
  <c r="M8" i="22"/>
  <c r="O8" i="22"/>
  <c r="F291" i="33"/>
  <c r="U291" i="33"/>
  <c r="I9" i="22"/>
  <c r="M9" i="22"/>
  <c r="O9" i="22"/>
  <c r="F288" i="33"/>
  <c r="U288" i="33"/>
  <c r="I10" i="22"/>
  <c r="M10" i="22"/>
  <c r="O10" i="22"/>
  <c r="F287" i="33"/>
  <c r="U287" i="33"/>
  <c r="I11" i="22"/>
  <c r="M11" i="22"/>
  <c r="O11" i="22"/>
  <c r="F317" i="33"/>
  <c r="U317" i="33"/>
  <c r="I12" i="22"/>
  <c r="M12" i="22"/>
  <c r="O12" i="22"/>
  <c r="F315" i="33"/>
  <c r="U315" i="33"/>
  <c r="I13" i="22"/>
  <c r="M13" i="22"/>
  <c r="O13" i="22"/>
  <c r="F316" i="33"/>
  <c r="U316" i="33"/>
  <c r="I14" i="22"/>
  <c r="M14" i="22"/>
  <c r="O14" i="22"/>
  <c r="F318" i="33"/>
  <c r="U318" i="33"/>
  <c r="I15" i="22"/>
  <c r="M15" i="22"/>
  <c r="O15" i="22"/>
  <c r="F323" i="33"/>
  <c r="U323" i="33"/>
  <c r="I16" i="22"/>
  <c r="M16" i="22"/>
  <c r="O16" i="22"/>
  <c r="F326" i="33"/>
  <c r="U326" i="33"/>
  <c r="I17" i="22"/>
  <c r="M17" i="22"/>
  <c r="O17" i="22"/>
  <c r="F314" i="33"/>
  <c r="U314" i="33"/>
  <c r="I18" i="22"/>
  <c r="M18" i="22"/>
  <c r="O18" i="22"/>
  <c r="F293" i="33"/>
  <c r="U293" i="33"/>
  <c r="I19" i="22"/>
  <c r="M19" i="22"/>
  <c r="O19" i="22"/>
  <c r="F325" i="33"/>
  <c r="U325" i="33"/>
  <c r="I20" i="22"/>
  <c r="M20" i="22"/>
  <c r="O20" i="22"/>
  <c r="F312" i="33"/>
  <c r="U312" i="33"/>
  <c r="I21" i="22"/>
  <c r="M21" i="22"/>
  <c r="O21" i="22"/>
  <c r="F290" i="33"/>
  <c r="U290" i="33"/>
  <c r="I22" i="22"/>
  <c r="M22" i="22"/>
  <c r="O22" i="22"/>
  <c r="F310" i="33"/>
  <c r="U310" i="33"/>
  <c r="I23" i="22"/>
  <c r="M23" i="22"/>
  <c r="O23" i="22"/>
  <c r="F319" i="33"/>
  <c r="U319" i="33"/>
  <c r="I24" i="22"/>
  <c r="M24" i="22"/>
  <c r="O24" i="22"/>
  <c r="F297" i="33"/>
  <c r="U297" i="33"/>
  <c r="I25" i="22"/>
  <c r="M25" i="22"/>
  <c r="O25" i="22"/>
  <c r="F286" i="33"/>
  <c r="U286" i="33"/>
  <c r="I26" i="22"/>
  <c r="M26" i="22"/>
  <c r="O26" i="22"/>
  <c r="F321" i="33"/>
  <c r="H321" i="33"/>
  <c r="I321" i="33"/>
  <c r="J321" i="33"/>
  <c r="K321" i="33"/>
  <c r="L321" i="33"/>
  <c r="M321" i="33"/>
  <c r="N321" i="33"/>
  <c r="O321" i="33"/>
  <c r="P321" i="33"/>
  <c r="Q321" i="33"/>
  <c r="R321" i="33"/>
  <c r="S321" i="33"/>
  <c r="T321" i="33"/>
  <c r="U321" i="33"/>
  <c r="I27" i="22"/>
  <c r="M27" i="22"/>
  <c r="O27" i="22"/>
  <c r="I28" i="22"/>
  <c r="M28" i="22"/>
  <c r="O28" i="22"/>
  <c r="F328" i="33"/>
  <c r="U328" i="33"/>
  <c r="I29" i="22"/>
  <c r="M29" i="22"/>
  <c r="O29" i="22"/>
  <c r="F292" i="33"/>
  <c r="U292" i="33"/>
  <c r="I30" i="22"/>
  <c r="M30" i="22"/>
  <c r="O30" i="22"/>
  <c r="F298" i="33"/>
  <c r="U298" i="33"/>
  <c r="I31" i="22"/>
  <c r="M31" i="22"/>
  <c r="O31" i="22"/>
  <c r="F295" i="33"/>
  <c r="U295" i="33"/>
  <c r="I32" i="22"/>
  <c r="M32" i="22"/>
  <c r="O32" i="22"/>
  <c r="F309" i="33"/>
  <c r="U309" i="33"/>
  <c r="I33" i="22"/>
  <c r="M33" i="22"/>
  <c r="O33" i="22"/>
  <c r="F305" i="33"/>
  <c r="U305" i="33"/>
  <c r="I34" i="22"/>
  <c r="M34" i="22"/>
  <c r="O34" i="22"/>
  <c r="F329" i="33"/>
  <c r="U329" i="33"/>
  <c r="I35" i="22"/>
  <c r="M35" i="22"/>
  <c r="O35" i="22"/>
  <c r="F299" i="33"/>
  <c r="U299" i="33"/>
  <c r="I36" i="22"/>
  <c r="M36" i="22"/>
  <c r="O36" i="22"/>
  <c r="I37" i="22"/>
  <c r="M37" i="22"/>
  <c r="O37" i="22"/>
  <c r="I38" i="22"/>
  <c r="M38" i="22"/>
  <c r="O38" i="22"/>
  <c r="I39" i="22"/>
  <c r="M39" i="22"/>
  <c r="O39" i="22"/>
  <c r="I40" i="22"/>
  <c r="M40" i="22"/>
  <c r="O40" i="22"/>
  <c r="I41" i="22"/>
  <c r="M41" i="22"/>
  <c r="O41" i="22"/>
  <c r="F313" i="33"/>
  <c r="U313" i="33"/>
  <c r="I42" i="22"/>
  <c r="M42" i="22"/>
  <c r="O42" i="22"/>
  <c r="F307" i="33"/>
  <c r="U307" i="33"/>
  <c r="I43" i="22"/>
  <c r="M43" i="22"/>
  <c r="O43" i="22"/>
  <c r="F294" i="33"/>
  <c r="H294" i="33"/>
  <c r="I294" i="33"/>
  <c r="J294" i="33"/>
  <c r="K294" i="33"/>
  <c r="L294" i="33"/>
  <c r="M294" i="33"/>
  <c r="N294" i="33"/>
  <c r="O294" i="33"/>
  <c r="P294" i="33"/>
  <c r="Q294" i="33"/>
  <c r="R294" i="33"/>
  <c r="S294" i="33"/>
  <c r="T294" i="33"/>
  <c r="U294" i="33"/>
  <c r="I44" i="22"/>
  <c r="M44" i="22"/>
  <c r="O44" i="22"/>
  <c r="F327" i="33"/>
  <c r="U327" i="33"/>
  <c r="I45" i="22"/>
  <c r="M45" i="22"/>
  <c r="O45" i="22"/>
  <c r="F296" i="33"/>
  <c r="U296" i="33"/>
  <c r="I46" i="22"/>
  <c r="M46" i="22"/>
  <c r="O46" i="22"/>
  <c r="F306" i="33"/>
  <c r="H306" i="33"/>
  <c r="I306" i="33"/>
  <c r="J306" i="33"/>
  <c r="K306" i="33"/>
  <c r="L306" i="33"/>
  <c r="M306" i="33"/>
  <c r="N306" i="33"/>
  <c r="O306" i="33"/>
  <c r="P306" i="33"/>
  <c r="Q306" i="33"/>
  <c r="R306" i="33"/>
  <c r="S306" i="33"/>
  <c r="T306" i="33"/>
  <c r="U306" i="33"/>
  <c r="I47" i="22"/>
  <c r="M47" i="22"/>
  <c r="O47" i="22"/>
  <c r="F333" i="33"/>
  <c r="U333" i="33"/>
  <c r="I53" i="22"/>
  <c r="M53" i="22"/>
  <c r="O53" i="22"/>
  <c r="F332" i="33"/>
  <c r="U332" i="33"/>
  <c r="I54" i="22"/>
  <c r="M54" i="22"/>
  <c r="O54" i="22"/>
  <c r="F338" i="33"/>
  <c r="U338" i="33"/>
  <c r="I55" i="22"/>
  <c r="M55" i="22"/>
  <c r="O55" i="22"/>
  <c r="F330" i="33"/>
  <c r="U330" i="33"/>
  <c r="I56" i="22"/>
  <c r="M56" i="22"/>
  <c r="O56" i="22"/>
  <c r="F334" i="33"/>
  <c r="U334" i="33"/>
  <c r="I57" i="22"/>
  <c r="M57" i="22"/>
  <c r="O57" i="22"/>
  <c r="F336" i="33"/>
  <c r="U336" i="33"/>
  <c r="I58" i="22"/>
  <c r="M58" i="22"/>
  <c r="O58" i="22"/>
  <c r="F337" i="33"/>
  <c r="U337" i="33"/>
  <c r="I59" i="22"/>
  <c r="M59" i="22"/>
  <c r="O59" i="22"/>
  <c r="F308" i="33"/>
  <c r="U308" i="33"/>
  <c r="I60" i="22"/>
  <c r="M60" i="22"/>
  <c r="O60" i="22"/>
  <c r="F331" i="33"/>
  <c r="H331" i="33"/>
  <c r="I331" i="33"/>
  <c r="J331" i="33"/>
  <c r="K331" i="33"/>
  <c r="L331" i="33"/>
  <c r="M331" i="33"/>
  <c r="N331" i="33"/>
  <c r="O331" i="33"/>
  <c r="P331" i="33"/>
  <c r="Q331" i="33"/>
  <c r="R331" i="33"/>
  <c r="S331" i="33"/>
  <c r="T331" i="33"/>
  <c r="U331" i="33"/>
  <c r="I61" i="22"/>
  <c r="M61" i="22"/>
  <c r="O61" i="22"/>
  <c r="O64" i="22"/>
  <c r="E45" i="42"/>
  <c r="F262" i="33"/>
  <c r="H262" i="33"/>
  <c r="I262" i="33"/>
  <c r="J262" i="33"/>
  <c r="K262" i="33"/>
  <c r="L262" i="33"/>
  <c r="M262" i="33"/>
  <c r="N262" i="33"/>
  <c r="O262" i="33"/>
  <c r="P262" i="33"/>
  <c r="Q262" i="33"/>
  <c r="R262" i="33"/>
  <c r="S262" i="33"/>
  <c r="T262" i="33"/>
  <c r="U262" i="33"/>
  <c r="H8" i="21"/>
  <c r="L8" i="21"/>
  <c r="D8" i="21"/>
  <c r="N8" i="21"/>
  <c r="F261" i="33"/>
  <c r="H261" i="33"/>
  <c r="I261" i="33"/>
  <c r="J261" i="33"/>
  <c r="K261" i="33"/>
  <c r="L261" i="33"/>
  <c r="M261" i="33"/>
  <c r="N261" i="33"/>
  <c r="O261" i="33"/>
  <c r="P261" i="33"/>
  <c r="Q261" i="33"/>
  <c r="R261" i="33"/>
  <c r="S261" i="33"/>
  <c r="T261" i="33"/>
  <c r="U261" i="33"/>
  <c r="H9" i="21"/>
  <c r="L9" i="21"/>
  <c r="D9" i="21"/>
  <c r="N9" i="21"/>
  <c r="F266" i="33"/>
  <c r="H266" i="33"/>
  <c r="I266" i="33"/>
  <c r="J266" i="33"/>
  <c r="K266" i="33"/>
  <c r="L266" i="33"/>
  <c r="M266" i="33"/>
  <c r="N266" i="33"/>
  <c r="O266" i="33"/>
  <c r="P266" i="33"/>
  <c r="Q266" i="33"/>
  <c r="R266" i="33"/>
  <c r="S266" i="33"/>
  <c r="T266" i="33"/>
  <c r="U266" i="33"/>
  <c r="H10" i="21"/>
  <c r="L10" i="21"/>
  <c r="D10" i="21"/>
  <c r="N10" i="21"/>
  <c r="F260" i="33"/>
  <c r="H260" i="33"/>
  <c r="I260" i="33"/>
  <c r="J260" i="33"/>
  <c r="K260" i="33"/>
  <c r="L260" i="33"/>
  <c r="M260" i="33"/>
  <c r="N260" i="33"/>
  <c r="O260" i="33"/>
  <c r="P260" i="33"/>
  <c r="Q260" i="33"/>
  <c r="R260" i="33"/>
  <c r="S260" i="33"/>
  <c r="T260" i="33"/>
  <c r="U260" i="33"/>
  <c r="H11" i="21"/>
  <c r="L11" i="21"/>
  <c r="D11" i="21"/>
  <c r="N11" i="21"/>
  <c r="F274" i="33"/>
  <c r="H274" i="33"/>
  <c r="I274" i="33"/>
  <c r="J274" i="33"/>
  <c r="K274" i="33"/>
  <c r="L274" i="33"/>
  <c r="M274" i="33"/>
  <c r="N274" i="33"/>
  <c r="O274" i="33"/>
  <c r="P274" i="33"/>
  <c r="Q274" i="33"/>
  <c r="R274" i="33"/>
  <c r="S274" i="33"/>
  <c r="T274" i="33"/>
  <c r="U274" i="33"/>
  <c r="H12" i="21"/>
  <c r="L12" i="21"/>
  <c r="D12" i="21"/>
  <c r="N12" i="21"/>
  <c r="F259" i="33"/>
  <c r="H259" i="33"/>
  <c r="I259" i="33"/>
  <c r="J259" i="33"/>
  <c r="K259" i="33"/>
  <c r="L259" i="33"/>
  <c r="M259" i="33"/>
  <c r="N259" i="33"/>
  <c r="O259" i="33"/>
  <c r="P259" i="33"/>
  <c r="Q259" i="33"/>
  <c r="R259" i="33"/>
  <c r="S259" i="33"/>
  <c r="T259" i="33"/>
  <c r="U259" i="33"/>
  <c r="H13" i="21"/>
  <c r="L13" i="21"/>
  <c r="D13" i="21"/>
  <c r="N13" i="21"/>
  <c r="F281" i="33"/>
  <c r="H281" i="33"/>
  <c r="I281" i="33"/>
  <c r="J281" i="33"/>
  <c r="K281" i="33"/>
  <c r="L281" i="33"/>
  <c r="M281" i="33"/>
  <c r="N281" i="33"/>
  <c r="O281" i="33"/>
  <c r="P281" i="33"/>
  <c r="Q281" i="33"/>
  <c r="R281" i="33"/>
  <c r="S281" i="33"/>
  <c r="T281" i="33"/>
  <c r="U281" i="33"/>
  <c r="H14" i="21"/>
  <c r="L14" i="21"/>
  <c r="D14" i="21"/>
  <c r="N14" i="21"/>
  <c r="F279" i="33"/>
  <c r="H279" i="33"/>
  <c r="I279" i="33"/>
  <c r="J279" i="33"/>
  <c r="K279" i="33"/>
  <c r="L279" i="33"/>
  <c r="M279" i="33"/>
  <c r="N279" i="33"/>
  <c r="O279" i="33"/>
  <c r="P279" i="33"/>
  <c r="Q279" i="33"/>
  <c r="R279" i="33"/>
  <c r="S279" i="33"/>
  <c r="T279" i="33"/>
  <c r="U279" i="33"/>
  <c r="H15" i="21"/>
  <c r="L15" i="21"/>
  <c r="D15" i="21"/>
  <c r="N15" i="21"/>
  <c r="F282" i="33"/>
  <c r="H282" i="33"/>
  <c r="I282" i="33"/>
  <c r="J282" i="33"/>
  <c r="K282" i="33"/>
  <c r="L282" i="33"/>
  <c r="M282" i="33"/>
  <c r="N282" i="33"/>
  <c r="O282" i="33"/>
  <c r="P282" i="33"/>
  <c r="Q282" i="33"/>
  <c r="R282" i="33"/>
  <c r="S282" i="33"/>
  <c r="T282" i="33"/>
  <c r="U282" i="33"/>
  <c r="H16" i="21"/>
  <c r="L16" i="21"/>
  <c r="D16" i="21"/>
  <c r="N16" i="21"/>
  <c r="F272" i="33"/>
  <c r="U272" i="33"/>
  <c r="H17" i="21"/>
  <c r="L17" i="21"/>
  <c r="D17" i="21"/>
  <c r="N17" i="21"/>
  <c r="F280" i="33"/>
  <c r="H280" i="33"/>
  <c r="I280" i="33"/>
  <c r="J280" i="33"/>
  <c r="K280" i="33"/>
  <c r="L280" i="33"/>
  <c r="M280" i="33"/>
  <c r="N280" i="33"/>
  <c r="O280" i="33"/>
  <c r="P280" i="33"/>
  <c r="Q280" i="33"/>
  <c r="R280" i="33"/>
  <c r="S280" i="33"/>
  <c r="T280" i="33"/>
  <c r="U280" i="33"/>
  <c r="H18" i="21"/>
  <c r="L18" i="21"/>
  <c r="D18" i="21"/>
  <c r="N18" i="21"/>
  <c r="F268" i="33"/>
  <c r="H268" i="33"/>
  <c r="I268" i="33"/>
  <c r="J268" i="33"/>
  <c r="K268" i="33"/>
  <c r="L268" i="33"/>
  <c r="M268" i="33"/>
  <c r="N268" i="33"/>
  <c r="O268" i="33"/>
  <c r="P268" i="33"/>
  <c r="Q268" i="33"/>
  <c r="R268" i="33"/>
  <c r="S268" i="33"/>
  <c r="T268" i="33"/>
  <c r="U268" i="33"/>
  <c r="H19" i="21"/>
  <c r="L19" i="21"/>
  <c r="D19" i="21"/>
  <c r="N19" i="21"/>
  <c r="F271" i="33"/>
  <c r="H271" i="33"/>
  <c r="I271" i="33"/>
  <c r="J271" i="33"/>
  <c r="K271" i="33"/>
  <c r="L271" i="33"/>
  <c r="M271" i="33"/>
  <c r="N271" i="33"/>
  <c r="O271" i="33"/>
  <c r="P271" i="33"/>
  <c r="Q271" i="33"/>
  <c r="R271" i="33"/>
  <c r="S271" i="33"/>
  <c r="T271" i="33"/>
  <c r="U271" i="33"/>
  <c r="H20" i="21"/>
  <c r="L20" i="21"/>
  <c r="D20" i="21"/>
  <c r="N20" i="21"/>
  <c r="F285" i="33"/>
  <c r="H285" i="33"/>
  <c r="I285" i="33"/>
  <c r="J285" i="33"/>
  <c r="K285" i="33"/>
  <c r="L285" i="33"/>
  <c r="M285" i="33"/>
  <c r="N285" i="33"/>
  <c r="O285" i="33"/>
  <c r="P285" i="33"/>
  <c r="Q285" i="33"/>
  <c r="R285" i="33"/>
  <c r="S285" i="33"/>
  <c r="T285" i="33"/>
  <c r="U285" i="33"/>
  <c r="H21" i="21"/>
  <c r="L21" i="21"/>
  <c r="D21" i="21"/>
  <c r="N21" i="21"/>
  <c r="F283" i="33"/>
  <c r="H283" i="33"/>
  <c r="I283" i="33"/>
  <c r="J283" i="33"/>
  <c r="K283" i="33"/>
  <c r="L283" i="33"/>
  <c r="M283" i="33"/>
  <c r="N283" i="33"/>
  <c r="O283" i="33"/>
  <c r="P283" i="33"/>
  <c r="Q283" i="33"/>
  <c r="R283" i="33"/>
  <c r="S283" i="33"/>
  <c r="T283" i="33"/>
  <c r="U283" i="33"/>
  <c r="H22" i="21"/>
  <c r="L22" i="21"/>
  <c r="D22" i="21"/>
  <c r="N22" i="21"/>
  <c r="F263" i="33"/>
  <c r="U263" i="33"/>
  <c r="H23" i="21"/>
  <c r="L23" i="21"/>
  <c r="D23" i="21"/>
  <c r="N23" i="21"/>
  <c r="F264" i="33"/>
  <c r="U264" i="33"/>
  <c r="H24" i="21"/>
  <c r="L24" i="21"/>
  <c r="D24" i="21"/>
  <c r="N24" i="21"/>
  <c r="F265" i="33"/>
  <c r="U265" i="33"/>
  <c r="H25" i="21"/>
  <c r="L25" i="21"/>
  <c r="D25" i="21"/>
  <c r="N25" i="21"/>
  <c r="F267" i="33"/>
  <c r="U267" i="33"/>
  <c r="H26" i="21"/>
  <c r="L26" i="21"/>
  <c r="D26" i="21"/>
  <c r="N26" i="21"/>
  <c r="F276" i="33"/>
  <c r="H276" i="33"/>
  <c r="I276" i="33"/>
  <c r="J276" i="33"/>
  <c r="K276" i="33"/>
  <c r="L276" i="33"/>
  <c r="M276" i="33"/>
  <c r="N276" i="33"/>
  <c r="O276" i="33"/>
  <c r="P276" i="33"/>
  <c r="Q276" i="33"/>
  <c r="R276" i="33"/>
  <c r="S276" i="33"/>
  <c r="T276" i="33"/>
  <c r="U276" i="33"/>
  <c r="H27" i="21"/>
  <c r="L27" i="21"/>
  <c r="D27" i="21"/>
  <c r="N27" i="21"/>
  <c r="F277" i="33"/>
  <c r="H277" i="33"/>
  <c r="I277" i="33"/>
  <c r="J277" i="33"/>
  <c r="K277" i="33"/>
  <c r="L277" i="33"/>
  <c r="M277" i="33"/>
  <c r="N277" i="33"/>
  <c r="O277" i="33"/>
  <c r="P277" i="33"/>
  <c r="Q277" i="33"/>
  <c r="R277" i="33"/>
  <c r="S277" i="33"/>
  <c r="T277" i="33"/>
  <c r="U277" i="33"/>
  <c r="H28" i="21"/>
  <c r="L28" i="21"/>
  <c r="D28" i="21"/>
  <c r="N28" i="21"/>
  <c r="F278" i="33"/>
  <c r="U278" i="33"/>
  <c r="H29" i="21"/>
  <c r="L29" i="21"/>
  <c r="D29" i="21"/>
  <c r="N29" i="21"/>
  <c r="N32" i="21"/>
  <c r="E44" i="42"/>
  <c r="F238" i="33"/>
  <c r="H238" i="33"/>
  <c r="I238" i="33"/>
  <c r="J238" i="33"/>
  <c r="K238" i="33"/>
  <c r="L238" i="33"/>
  <c r="M238" i="33"/>
  <c r="N238" i="33"/>
  <c r="O238" i="33"/>
  <c r="P238" i="33"/>
  <c r="Q238" i="33"/>
  <c r="R238" i="33"/>
  <c r="S238" i="33"/>
  <c r="T238" i="33"/>
  <c r="U238" i="33"/>
  <c r="J7" i="19"/>
  <c r="N7" i="19"/>
  <c r="F215" i="33"/>
  <c r="H215" i="33"/>
  <c r="I215" i="33"/>
  <c r="J215" i="33"/>
  <c r="K215" i="33"/>
  <c r="L215" i="33"/>
  <c r="M215" i="33"/>
  <c r="N215" i="33"/>
  <c r="O215" i="33"/>
  <c r="P215" i="33"/>
  <c r="Q215" i="33"/>
  <c r="R215" i="33"/>
  <c r="S215" i="33"/>
  <c r="T215" i="33"/>
  <c r="U215" i="33"/>
  <c r="J8" i="19"/>
  <c r="N8" i="19"/>
  <c r="F240" i="33"/>
  <c r="H240" i="33"/>
  <c r="I240" i="33"/>
  <c r="J240" i="33"/>
  <c r="K240" i="33"/>
  <c r="L240" i="33"/>
  <c r="M240" i="33"/>
  <c r="N240" i="33"/>
  <c r="O240" i="33"/>
  <c r="P240" i="33"/>
  <c r="Q240" i="33"/>
  <c r="R240" i="33"/>
  <c r="S240" i="33"/>
  <c r="T240" i="33"/>
  <c r="U240" i="33"/>
  <c r="J9" i="19"/>
  <c r="N9" i="19"/>
  <c r="F247" i="33"/>
  <c r="H247" i="33"/>
  <c r="I247" i="33"/>
  <c r="J247" i="33"/>
  <c r="K247" i="33"/>
  <c r="L247" i="33"/>
  <c r="M247" i="33"/>
  <c r="N247" i="33"/>
  <c r="O247" i="33"/>
  <c r="P247" i="33"/>
  <c r="Q247" i="33"/>
  <c r="R247" i="33"/>
  <c r="S247" i="33"/>
  <c r="T247" i="33"/>
  <c r="U247" i="33"/>
  <c r="J10" i="19"/>
  <c r="N10" i="19"/>
  <c r="F216" i="33"/>
  <c r="H216" i="33"/>
  <c r="I216" i="33"/>
  <c r="J216" i="33"/>
  <c r="K216" i="33"/>
  <c r="L216" i="33"/>
  <c r="M216" i="33"/>
  <c r="N216" i="33"/>
  <c r="O216" i="33"/>
  <c r="P216" i="33"/>
  <c r="Q216" i="33"/>
  <c r="R216" i="33"/>
  <c r="S216" i="33"/>
  <c r="T216" i="33"/>
  <c r="U216" i="33"/>
  <c r="J11" i="19"/>
  <c r="N11" i="19"/>
  <c r="F217" i="33"/>
  <c r="H217" i="33"/>
  <c r="I217" i="33"/>
  <c r="J217" i="33"/>
  <c r="K217" i="33"/>
  <c r="L217" i="33"/>
  <c r="M217" i="33"/>
  <c r="N217" i="33"/>
  <c r="O217" i="33"/>
  <c r="P217" i="33"/>
  <c r="Q217" i="33"/>
  <c r="R217" i="33"/>
  <c r="S217" i="33"/>
  <c r="T217" i="33"/>
  <c r="U217" i="33"/>
  <c r="J12" i="19"/>
  <c r="N12" i="19"/>
  <c r="F214" i="33"/>
  <c r="H214" i="33"/>
  <c r="I214" i="33"/>
  <c r="J214" i="33"/>
  <c r="K214" i="33"/>
  <c r="L214" i="33"/>
  <c r="M214" i="33"/>
  <c r="N214" i="33"/>
  <c r="O214" i="33"/>
  <c r="P214" i="33"/>
  <c r="Q214" i="33"/>
  <c r="R214" i="33"/>
  <c r="S214" i="33"/>
  <c r="T214" i="33"/>
  <c r="U214" i="33"/>
  <c r="J13" i="19"/>
  <c r="N13" i="19"/>
  <c r="F239" i="33"/>
  <c r="H239" i="33"/>
  <c r="I239" i="33"/>
  <c r="J239" i="33"/>
  <c r="K239" i="33"/>
  <c r="L239" i="33"/>
  <c r="M239" i="33"/>
  <c r="N239" i="33"/>
  <c r="O239" i="33"/>
  <c r="P239" i="33"/>
  <c r="Q239" i="33"/>
  <c r="R239" i="33"/>
  <c r="S239" i="33"/>
  <c r="T239" i="33"/>
  <c r="U239" i="33"/>
  <c r="J14" i="19"/>
  <c r="N14" i="19"/>
  <c r="J15" i="19"/>
  <c r="N15" i="19"/>
  <c r="F237" i="33"/>
  <c r="H237" i="33"/>
  <c r="I237" i="33"/>
  <c r="J237" i="33"/>
  <c r="K237" i="33"/>
  <c r="L237" i="33"/>
  <c r="M237" i="33"/>
  <c r="N237" i="33"/>
  <c r="O237" i="33"/>
  <c r="P237" i="33"/>
  <c r="Q237" i="33"/>
  <c r="R237" i="33"/>
  <c r="S237" i="33"/>
  <c r="T237" i="33"/>
  <c r="U237" i="33"/>
  <c r="J16" i="19"/>
  <c r="N16" i="19"/>
  <c r="F219" i="33"/>
  <c r="H219" i="33"/>
  <c r="I219" i="33"/>
  <c r="J219" i="33"/>
  <c r="K219" i="33"/>
  <c r="L219" i="33"/>
  <c r="M219" i="33"/>
  <c r="N219" i="33"/>
  <c r="O219" i="33"/>
  <c r="P219" i="33"/>
  <c r="Q219" i="33"/>
  <c r="R219" i="33"/>
  <c r="S219" i="33"/>
  <c r="T219" i="33"/>
  <c r="U219" i="33"/>
  <c r="J17" i="19"/>
  <c r="N17" i="19"/>
  <c r="F218" i="33"/>
  <c r="H218" i="33"/>
  <c r="I218" i="33"/>
  <c r="J218" i="33"/>
  <c r="K218" i="33"/>
  <c r="L218" i="33"/>
  <c r="M218" i="33"/>
  <c r="N218" i="33"/>
  <c r="O218" i="33"/>
  <c r="P218" i="33"/>
  <c r="Q218" i="33"/>
  <c r="R218" i="33"/>
  <c r="S218" i="33"/>
  <c r="T218" i="33"/>
  <c r="U218" i="33"/>
  <c r="J18" i="19"/>
  <c r="N18" i="19"/>
  <c r="F213" i="33"/>
  <c r="H213" i="33"/>
  <c r="I213" i="33"/>
  <c r="J213" i="33"/>
  <c r="K213" i="33"/>
  <c r="L213" i="33"/>
  <c r="M213" i="33"/>
  <c r="N213" i="33"/>
  <c r="O213" i="33"/>
  <c r="P213" i="33"/>
  <c r="Q213" i="33"/>
  <c r="R213" i="33"/>
  <c r="S213" i="33"/>
  <c r="T213" i="33"/>
  <c r="U213" i="33"/>
  <c r="J19" i="19"/>
  <c r="N19" i="19"/>
  <c r="F222" i="33"/>
  <c r="H222" i="33"/>
  <c r="I222" i="33"/>
  <c r="J222" i="33"/>
  <c r="K222" i="33"/>
  <c r="L222" i="33"/>
  <c r="M222" i="33"/>
  <c r="N222" i="33"/>
  <c r="O222" i="33"/>
  <c r="P222" i="33"/>
  <c r="Q222" i="33"/>
  <c r="R222" i="33"/>
  <c r="S222" i="33"/>
  <c r="T222" i="33"/>
  <c r="U222" i="33"/>
  <c r="J20" i="19"/>
  <c r="N20" i="19"/>
  <c r="F232" i="33"/>
  <c r="H232" i="33"/>
  <c r="I232" i="33"/>
  <c r="J232" i="33"/>
  <c r="K232" i="33"/>
  <c r="L232" i="33"/>
  <c r="M232" i="33"/>
  <c r="N232" i="33"/>
  <c r="O232" i="33"/>
  <c r="P232" i="33"/>
  <c r="Q232" i="33"/>
  <c r="R232" i="33"/>
  <c r="S232" i="33"/>
  <c r="T232" i="33"/>
  <c r="U232" i="33"/>
  <c r="J21" i="19"/>
  <c r="N21" i="19"/>
  <c r="F252" i="33"/>
  <c r="H252" i="33"/>
  <c r="I252" i="33"/>
  <c r="J252" i="33"/>
  <c r="K252" i="33"/>
  <c r="L252" i="33"/>
  <c r="M252" i="33"/>
  <c r="N252" i="33"/>
  <c r="O252" i="33"/>
  <c r="P252" i="33"/>
  <c r="Q252" i="33"/>
  <c r="R252" i="33"/>
  <c r="S252" i="33"/>
  <c r="T252" i="33"/>
  <c r="U252" i="33"/>
  <c r="J22" i="19"/>
  <c r="N22" i="19"/>
  <c r="F246" i="33"/>
  <c r="H246" i="33"/>
  <c r="I246" i="33"/>
  <c r="J246" i="33"/>
  <c r="K246" i="33"/>
  <c r="L246" i="33"/>
  <c r="M246" i="33"/>
  <c r="N246" i="33"/>
  <c r="O246" i="33"/>
  <c r="P246" i="33"/>
  <c r="Q246" i="33"/>
  <c r="R246" i="33"/>
  <c r="S246" i="33"/>
  <c r="T246" i="33"/>
  <c r="U246" i="33"/>
  <c r="J23" i="19"/>
  <c r="N23" i="19"/>
  <c r="F209" i="33"/>
  <c r="H209" i="33"/>
  <c r="I209" i="33"/>
  <c r="J209" i="33"/>
  <c r="K209" i="33"/>
  <c r="L209" i="33"/>
  <c r="M209" i="33"/>
  <c r="N209" i="33"/>
  <c r="O209" i="33"/>
  <c r="P209" i="33"/>
  <c r="Q209" i="33"/>
  <c r="R209" i="33"/>
  <c r="S209" i="33"/>
  <c r="T209" i="33"/>
  <c r="U209" i="33"/>
  <c r="J24" i="19"/>
  <c r="N24" i="19"/>
  <c r="F241" i="33"/>
  <c r="H241" i="33"/>
  <c r="I241" i="33"/>
  <c r="J241" i="33"/>
  <c r="K241" i="33"/>
  <c r="L241" i="33"/>
  <c r="M241" i="33"/>
  <c r="N241" i="33"/>
  <c r="O241" i="33"/>
  <c r="P241" i="33"/>
  <c r="Q241" i="33"/>
  <c r="R241" i="33"/>
  <c r="S241" i="33"/>
  <c r="T241" i="33"/>
  <c r="U241" i="33"/>
  <c r="J25" i="19"/>
  <c r="N25" i="19"/>
  <c r="F255" i="33"/>
  <c r="H255" i="33"/>
  <c r="I255" i="33"/>
  <c r="J255" i="33"/>
  <c r="K255" i="33"/>
  <c r="L255" i="33"/>
  <c r="M255" i="33"/>
  <c r="N255" i="33"/>
  <c r="O255" i="33"/>
  <c r="P255" i="33"/>
  <c r="Q255" i="33"/>
  <c r="R255" i="33"/>
  <c r="S255" i="33"/>
  <c r="T255" i="33"/>
  <c r="U255" i="33"/>
  <c r="J26" i="19"/>
  <c r="N26" i="19"/>
  <c r="F256" i="33"/>
  <c r="H256" i="33"/>
  <c r="I256" i="33"/>
  <c r="J256" i="33"/>
  <c r="K256" i="33"/>
  <c r="L256" i="33"/>
  <c r="M256" i="33"/>
  <c r="N256" i="33"/>
  <c r="O256" i="33"/>
  <c r="P256" i="33"/>
  <c r="Q256" i="33"/>
  <c r="R256" i="33"/>
  <c r="S256" i="33"/>
  <c r="T256" i="33"/>
  <c r="U256" i="33"/>
  <c r="J27" i="19"/>
  <c r="N27" i="19"/>
  <c r="F253" i="33"/>
  <c r="H253" i="33"/>
  <c r="I253" i="33"/>
  <c r="J253" i="33"/>
  <c r="K253" i="33"/>
  <c r="L253" i="33"/>
  <c r="M253" i="33"/>
  <c r="N253" i="33"/>
  <c r="O253" i="33"/>
  <c r="P253" i="33"/>
  <c r="Q253" i="33"/>
  <c r="R253" i="33"/>
  <c r="S253" i="33"/>
  <c r="T253" i="33"/>
  <c r="U253" i="33"/>
  <c r="J28" i="19"/>
  <c r="N28" i="19"/>
  <c r="F257" i="33"/>
  <c r="H257" i="33"/>
  <c r="I257" i="33"/>
  <c r="J257" i="33"/>
  <c r="K257" i="33"/>
  <c r="L257" i="33"/>
  <c r="M257" i="33"/>
  <c r="N257" i="33"/>
  <c r="O257" i="33"/>
  <c r="P257" i="33"/>
  <c r="Q257" i="33"/>
  <c r="R257" i="33"/>
  <c r="S257" i="33"/>
  <c r="T257" i="33"/>
  <c r="U257" i="33"/>
  <c r="J29" i="19"/>
  <c r="N29" i="19"/>
  <c r="F254" i="33"/>
  <c r="H254" i="33"/>
  <c r="I254" i="33"/>
  <c r="J254" i="33"/>
  <c r="K254" i="33"/>
  <c r="L254" i="33"/>
  <c r="M254" i="33"/>
  <c r="N254" i="33"/>
  <c r="O254" i="33"/>
  <c r="P254" i="33"/>
  <c r="Q254" i="33"/>
  <c r="R254" i="33"/>
  <c r="S254" i="33"/>
  <c r="T254" i="33"/>
  <c r="U254" i="33"/>
  <c r="J30" i="19"/>
  <c r="N30" i="19"/>
  <c r="F243" i="33"/>
  <c r="H243" i="33"/>
  <c r="I243" i="33"/>
  <c r="J243" i="33"/>
  <c r="K243" i="33"/>
  <c r="L243" i="33"/>
  <c r="M243" i="33"/>
  <c r="N243" i="33"/>
  <c r="O243" i="33"/>
  <c r="P243" i="33"/>
  <c r="Q243" i="33"/>
  <c r="R243" i="33"/>
  <c r="S243" i="33"/>
  <c r="T243" i="33"/>
  <c r="U243" i="33"/>
  <c r="J31" i="19"/>
  <c r="N31" i="19"/>
  <c r="F230" i="33"/>
  <c r="U230" i="33"/>
  <c r="J32" i="19"/>
  <c r="N32" i="19"/>
  <c r="F223" i="33"/>
  <c r="H223" i="33"/>
  <c r="I223" i="33"/>
  <c r="J223" i="33"/>
  <c r="K223" i="33"/>
  <c r="L223" i="33"/>
  <c r="M223" i="33"/>
  <c r="N223" i="33"/>
  <c r="O223" i="33"/>
  <c r="P223" i="33"/>
  <c r="Q223" i="33"/>
  <c r="R223" i="33"/>
  <c r="S223" i="33"/>
  <c r="T223" i="33"/>
  <c r="U223" i="33"/>
  <c r="J33" i="19"/>
  <c r="N33" i="19"/>
  <c r="F198" i="33"/>
  <c r="H198" i="33"/>
  <c r="I198" i="33"/>
  <c r="J198" i="33"/>
  <c r="K198" i="33"/>
  <c r="L198" i="33"/>
  <c r="M198" i="33"/>
  <c r="N198" i="33"/>
  <c r="O198" i="33"/>
  <c r="P198" i="33"/>
  <c r="Q198" i="33"/>
  <c r="R198" i="33"/>
  <c r="S198" i="33"/>
  <c r="T198" i="33"/>
  <c r="U198" i="33"/>
  <c r="J34" i="19"/>
  <c r="N34" i="19"/>
  <c r="F197" i="33"/>
  <c r="H197" i="33"/>
  <c r="I197" i="33"/>
  <c r="J197" i="33"/>
  <c r="K197" i="33"/>
  <c r="L197" i="33"/>
  <c r="M197" i="33"/>
  <c r="N197" i="33"/>
  <c r="O197" i="33"/>
  <c r="P197" i="33"/>
  <c r="Q197" i="33"/>
  <c r="R197" i="33"/>
  <c r="S197" i="33"/>
  <c r="T197" i="33"/>
  <c r="U197" i="33"/>
  <c r="J35" i="19"/>
  <c r="N35" i="19"/>
  <c r="F196" i="33"/>
  <c r="H196" i="33"/>
  <c r="I196" i="33"/>
  <c r="J196" i="33"/>
  <c r="K196" i="33"/>
  <c r="L196" i="33"/>
  <c r="M196" i="33"/>
  <c r="N196" i="33"/>
  <c r="O196" i="33"/>
  <c r="P196" i="33"/>
  <c r="Q196" i="33"/>
  <c r="R196" i="33"/>
  <c r="S196" i="33"/>
  <c r="T196" i="33"/>
  <c r="U196" i="33"/>
  <c r="J36" i="19"/>
  <c r="N36" i="19"/>
  <c r="F202" i="33"/>
  <c r="H202" i="33"/>
  <c r="I202" i="33"/>
  <c r="J202" i="33"/>
  <c r="K202" i="33"/>
  <c r="L202" i="33"/>
  <c r="M202" i="33"/>
  <c r="N202" i="33"/>
  <c r="O202" i="33"/>
  <c r="P202" i="33"/>
  <c r="Q202" i="33"/>
  <c r="R202" i="33"/>
  <c r="S202" i="33"/>
  <c r="T202" i="33"/>
  <c r="U202" i="33"/>
  <c r="J37" i="19"/>
  <c r="N37" i="19"/>
  <c r="F200" i="33"/>
  <c r="H200" i="33"/>
  <c r="I200" i="33"/>
  <c r="J200" i="33"/>
  <c r="K200" i="33"/>
  <c r="L200" i="33"/>
  <c r="M200" i="33"/>
  <c r="N200" i="33"/>
  <c r="O200" i="33"/>
  <c r="P200" i="33"/>
  <c r="Q200" i="33"/>
  <c r="R200" i="33"/>
  <c r="S200" i="33"/>
  <c r="T200" i="33"/>
  <c r="U200" i="33"/>
  <c r="J38" i="19"/>
  <c r="N38" i="19"/>
  <c r="F199" i="33"/>
  <c r="H199" i="33"/>
  <c r="I199" i="33"/>
  <c r="J199" i="33"/>
  <c r="K199" i="33"/>
  <c r="L199" i="33"/>
  <c r="M199" i="33"/>
  <c r="N199" i="33"/>
  <c r="O199" i="33"/>
  <c r="P199" i="33"/>
  <c r="Q199" i="33"/>
  <c r="R199" i="33"/>
  <c r="S199" i="33"/>
  <c r="T199" i="33"/>
  <c r="U199" i="33"/>
  <c r="J39" i="19"/>
  <c r="N39" i="19"/>
  <c r="F201" i="33"/>
  <c r="H201" i="33"/>
  <c r="I201" i="33"/>
  <c r="J201" i="33"/>
  <c r="K201" i="33"/>
  <c r="L201" i="33"/>
  <c r="M201" i="33"/>
  <c r="N201" i="33"/>
  <c r="O201" i="33"/>
  <c r="P201" i="33"/>
  <c r="Q201" i="33"/>
  <c r="R201" i="33"/>
  <c r="S201" i="33"/>
  <c r="T201" i="33"/>
  <c r="U201" i="33"/>
  <c r="J40" i="19"/>
  <c r="N40" i="19"/>
  <c r="F62" i="33"/>
  <c r="U62" i="33"/>
  <c r="J41" i="19"/>
  <c r="N41" i="19"/>
  <c r="N43" i="19"/>
  <c r="E43" i="42"/>
  <c r="E42" i="42"/>
  <c r="F195" i="33"/>
  <c r="H195" i="33"/>
  <c r="I195" i="33"/>
  <c r="J195" i="33"/>
  <c r="K195" i="33"/>
  <c r="L195" i="33"/>
  <c r="M195" i="33"/>
  <c r="N195" i="33"/>
  <c r="O195" i="33"/>
  <c r="P195" i="33"/>
  <c r="Q195" i="33"/>
  <c r="R195" i="33"/>
  <c r="S195" i="33"/>
  <c r="T195" i="33"/>
  <c r="U195" i="33"/>
  <c r="J7" i="24"/>
  <c r="F7" i="24"/>
  <c r="N7" i="24"/>
  <c r="F183" i="33"/>
  <c r="H183" i="33"/>
  <c r="I183" i="33"/>
  <c r="J183" i="33"/>
  <c r="K183" i="33"/>
  <c r="L183" i="33"/>
  <c r="M183" i="33"/>
  <c r="N183" i="33"/>
  <c r="O183" i="33"/>
  <c r="P183" i="33"/>
  <c r="Q183" i="33"/>
  <c r="R183" i="33"/>
  <c r="S183" i="33"/>
  <c r="T183" i="33"/>
  <c r="U183" i="33"/>
  <c r="J8" i="24"/>
  <c r="F8" i="24"/>
  <c r="N8" i="24"/>
  <c r="F192" i="33"/>
  <c r="H192" i="33"/>
  <c r="I192" i="33"/>
  <c r="J192" i="33"/>
  <c r="K192" i="33"/>
  <c r="L192" i="33"/>
  <c r="M192" i="33"/>
  <c r="N192" i="33"/>
  <c r="O192" i="33"/>
  <c r="P192" i="33"/>
  <c r="Q192" i="33"/>
  <c r="R192" i="33"/>
  <c r="S192" i="33"/>
  <c r="T192" i="33"/>
  <c r="U192" i="33"/>
  <c r="J9" i="24"/>
  <c r="F9" i="24"/>
  <c r="N9" i="24"/>
  <c r="F190" i="33"/>
  <c r="U190" i="33"/>
  <c r="J10" i="24"/>
  <c r="F10" i="24"/>
  <c r="N10" i="24"/>
  <c r="F182" i="33"/>
  <c r="U182" i="33"/>
  <c r="J11" i="24"/>
  <c r="F11" i="24"/>
  <c r="N11" i="24"/>
  <c r="F194" i="33"/>
  <c r="U194" i="33"/>
  <c r="J12" i="24"/>
  <c r="F12" i="24"/>
  <c r="N12" i="24"/>
  <c r="F166" i="33"/>
  <c r="H166" i="33"/>
  <c r="I166" i="33"/>
  <c r="J166" i="33"/>
  <c r="K166" i="33"/>
  <c r="L166" i="33"/>
  <c r="M166" i="33"/>
  <c r="N166" i="33"/>
  <c r="O166" i="33"/>
  <c r="P166" i="33"/>
  <c r="Q166" i="33"/>
  <c r="R166" i="33"/>
  <c r="S166" i="33"/>
  <c r="T166" i="33"/>
  <c r="U166" i="33"/>
  <c r="J13" i="24"/>
  <c r="F13" i="24"/>
  <c r="N13" i="24"/>
  <c r="J14" i="24"/>
  <c r="F14" i="24"/>
  <c r="N14" i="24"/>
  <c r="F186" i="33"/>
  <c r="H186" i="33"/>
  <c r="I186" i="33"/>
  <c r="J186" i="33"/>
  <c r="K186" i="33"/>
  <c r="L186" i="33"/>
  <c r="M186" i="33"/>
  <c r="N186" i="33"/>
  <c r="O186" i="33"/>
  <c r="P186" i="33"/>
  <c r="Q186" i="33"/>
  <c r="R186" i="33"/>
  <c r="S186" i="33"/>
  <c r="T186" i="33"/>
  <c r="U186" i="33"/>
  <c r="J15" i="24"/>
  <c r="F15" i="24"/>
  <c r="N15" i="24"/>
  <c r="F172" i="33"/>
  <c r="H172" i="33"/>
  <c r="I172" i="33"/>
  <c r="J172" i="33"/>
  <c r="K172" i="33"/>
  <c r="L172" i="33"/>
  <c r="M172" i="33"/>
  <c r="N172" i="33"/>
  <c r="O172" i="33"/>
  <c r="P172" i="33"/>
  <c r="Q172" i="33"/>
  <c r="R172" i="33"/>
  <c r="S172" i="33"/>
  <c r="T172" i="33"/>
  <c r="U172" i="33"/>
  <c r="J16" i="24"/>
  <c r="F16" i="24"/>
  <c r="N16" i="24"/>
  <c r="F173" i="33"/>
  <c r="H173" i="33"/>
  <c r="I173" i="33"/>
  <c r="J173" i="33"/>
  <c r="K173" i="33"/>
  <c r="L173" i="33"/>
  <c r="M173" i="33"/>
  <c r="N173" i="33"/>
  <c r="O173" i="33"/>
  <c r="P173" i="33"/>
  <c r="Q173" i="33"/>
  <c r="R173" i="33"/>
  <c r="S173" i="33"/>
  <c r="T173" i="33"/>
  <c r="U173" i="33"/>
  <c r="J17" i="24"/>
  <c r="F17" i="24"/>
  <c r="N17" i="24"/>
  <c r="F174" i="33"/>
  <c r="H174" i="33"/>
  <c r="I174" i="33"/>
  <c r="J174" i="33"/>
  <c r="K174" i="33"/>
  <c r="L174" i="33"/>
  <c r="M174" i="33"/>
  <c r="N174" i="33"/>
  <c r="O174" i="33"/>
  <c r="P174" i="33"/>
  <c r="Q174" i="33"/>
  <c r="R174" i="33"/>
  <c r="S174" i="33"/>
  <c r="T174" i="33"/>
  <c r="U174" i="33"/>
  <c r="J18" i="24"/>
  <c r="F18" i="24"/>
  <c r="N18" i="24"/>
  <c r="F175" i="33"/>
  <c r="H175" i="33"/>
  <c r="I175" i="33"/>
  <c r="J175" i="33"/>
  <c r="K175" i="33"/>
  <c r="L175" i="33"/>
  <c r="M175" i="33"/>
  <c r="N175" i="33"/>
  <c r="O175" i="33"/>
  <c r="P175" i="33"/>
  <c r="Q175" i="33"/>
  <c r="R175" i="33"/>
  <c r="S175" i="33"/>
  <c r="T175" i="33"/>
  <c r="U175" i="33"/>
  <c r="J19" i="24"/>
  <c r="F19" i="24"/>
  <c r="N19" i="24"/>
  <c r="F176" i="33"/>
  <c r="H176" i="33"/>
  <c r="I176" i="33"/>
  <c r="J176" i="33"/>
  <c r="K176" i="33"/>
  <c r="L176" i="33"/>
  <c r="M176" i="33"/>
  <c r="N176" i="33"/>
  <c r="O176" i="33"/>
  <c r="P176" i="33"/>
  <c r="Q176" i="33"/>
  <c r="R176" i="33"/>
  <c r="S176" i="33"/>
  <c r="T176" i="33"/>
  <c r="U176" i="33"/>
  <c r="J20" i="24"/>
  <c r="F20" i="24"/>
  <c r="N20" i="24"/>
  <c r="F177" i="33"/>
  <c r="H177" i="33"/>
  <c r="I177" i="33"/>
  <c r="J177" i="33"/>
  <c r="K177" i="33"/>
  <c r="L177" i="33"/>
  <c r="M177" i="33"/>
  <c r="N177" i="33"/>
  <c r="O177" i="33"/>
  <c r="P177" i="33"/>
  <c r="Q177" i="33"/>
  <c r="R177" i="33"/>
  <c r="S177" i="33"/>
  <c r="T177" i="33"/>
  <c r="U177" i="33"/>
  <c r="J21" i="24"/>
  <c r="F21" i="24"/>
  <c r="N21" i="24"/>
  <c r="F178" i="33"/>
  <c r="H178" i="33"/>
  <c r="I178" i="33"/>
  <c r="J178" i="33"/>
  <c r="K178" i="33"/>
  <c r="L178" i="33"/>
  <c r="M178" i="33"/>
  <c r="N178" i="33"/>
  <c r="O178" i="33"/>
  <c r="P178" i="33"/>
  <c r="Q178" i="33"/>
  <c r="R178" i="33"/>
  <c r="S178" i="33"/>
  <c r="T178" i="33"/>
  <c r="U178" i="33"/>
  <c r="J22" i="24"/>
  <c r="F22" i="24"/>
  <c r="N22" i="24"/>
  <c r="F179" i="33"/>
  <c r="H179" i="33"/>
  <c r="I179" i="33"/>
  <c r="J179" i="33"/>
  <c r="K179" i="33"/>
  <c r="L179" i="33"/>
  <c r="M179" i="33"/>
  <c r="N179" i="33"/>
  <c r="O179" i="33"/>
  <c r="P179" i="33"/>
  <c r="Q179" i="33"/>
  <c r="R179" i="33"/>
  <c r="S179" i="33"/>
  <c r="T179" i="33"/>
  <c r="U179" i="33"/>
  <c r="J23" i="24"/>
  <c r="F23" i="24"/>
  <c r="N23" i="24"/>
  <c r="F191" i="33"/>
  <c r="G191" i="33"/>
  <c r="H191" i="33"/>
  <c r="I191" i="33"/>
  <c r="J191" i="33"/>
  <c r="K191" i="33"/>
  <c r="L191" i="33"/>
  <c r="M191" i="33"/>
  <c r="N191" i="33"/>
  <c r="O191" i="33"/>
  <c r="P191" i="33"/>
  <c r="Q191" i="33"/>
  <c r="R191" i="33"/>
  <c r="S191" i="33"/>
  <c r="T191" i="33"/>
  <c r="U191" i="33"/>
  <c r="J24" i="24"/>
  <c r="F24" i="24"/>
  <c r="N24" i="24"/>
  <c r="F163" i="33"/>
  <c r="H163" i="33"/>
  <c r="I163" i="33"/>
  <c r="J163" i="33"/>
  <c r="K163" i="33"/>
  <c r="L163" i="33"/>
  <c r="M163" i="33"/>
  <c r="N163" i="33"/>
  <c r="O163" i="33"/>
  <c r="P163" i="33"/>
  <c r="Q163" i="33"/>
  <c r="R163" i="33"/>
  <c r="S163" i="33"/>
  <c r="T163" i="33"/>
  <c r="U163" i="33"/>
  <c r="J25" i="24"/>
  <c r="F25" i="24"/>
  <c r="N25" i="24"/>
  <c r="F188" i="33"/>
  <c r="H188" i="33"/>
  <c r="I188" i="33"/>
  <c r="J188" i="33"/>
  <c r="K188" i="33"/>
  <c r="L188" i="33"/>
  <c r="M188" i="33"/>
  <c r="N188" i="33"/>
  <c r="O188" i="33"/>
  <c r="P188" i="33"/>
  <c r="Q188" i="33"/>
  <c r="R188" i="33"/>
  <c r="S188" i="33"/>
  <c r="T188" i="33"/>
  <c r="U188" i="33"/>
  <c r="J26" i="24"/>
  <c r="F26" i="24"/>
  <c r="N26" i="24"/>
  <c r="F169" i="33"/>
  <c r="H169" i="33"/>
  <c r="I169" i="33"/>
  <c r="J169" i="33"/>
  <c r="K169" i="33"/>
  <c r="L169" i="33"/>
  <c r="M169" i="33"/>
  <c r="N169" i="33"/>
  <c r="O169" i="33"/>
  <c r="P169" i="33"/>
  <c r="Q169" i="33"/>
  <c r="R169" i="33"/>
  <c r="S169" i="33"/>
  <c r="T169" i="33"/>
  <c r="U169" i="33"/>
  <c r="J27" i="24"/>
  <c r="F27" i="24"/>
  <c r="N27" i="24"/>
  <c r="F170" i="33"/>
  <c r="H170" i="33"/>
  <c r="I170" i="33"/>
  <c r="J170" i="33"/>
  <c r="K170" i="33"/>
  <c r="L170" i="33"/>
  <c r="M170" i="33"/>
  <c r="N170" i="33"/>
  <c r="O170" i="33"/>
  <c r="P170" i="33"/>
  <c r="Q170" i="33"/>
  <c r="R170" i="33"/>
  <c r="S170" i="33"/>
  <c r="T170" i="33"/>
  <c r="U170" i="33"/>
  <c r="J28" i="24"/>
  <c r="F28" i="24"/>
  <c r="N28" i="24"/>
  <c r="F184" i="33"/>
  <c r="H184" i="33"/>
  <c r="I184" i="33"/>
  <c r="J184" i="33"/>
  <c r="K184" i="33"/>
  <c r="L184" i="33"/>
  <c r="M184" i="33"/>
  <c r="N184" i="33"/>
  <c r="O184" i="33"/>
  <c r="P184" i="33"/>
  <c r="Q184" i="33"/>
  <c r="R184" i="33"/>
  <c r="S184" i="33"/>
  <c r="T184" i="33"/>
  <c r="U184" i="33"/>
  <c r="J29" i="24"/>
  <c r="F29" i="24"/>
  <c r="N29" i="24"/>
  <c r="F185" i="33"/>
  <c r="H185" i="33"/>
  <c r="I185" i="33"/>
  <c r="J185" i="33"/>
  <c r="K185" i="33"/>
  <c r="L185" i="33"/>
  <c r="M185" i="33"/>
  <c r="N185" i="33"/>
  <c r="O185" i="33"/>
  <c r="P185" i="33"/>
  <c r="Q185" i="33"/>
  <c r="R185" i="33"/>
  <c r="S185" i="33"/>
  <c r="T185" i="33"/>
  <c r="U185" i="33"/>
  <c r="J30" i="24"/>
  <c r="F30" i="24"/>
  <c r="N30" i="24"/>
  <c r="F189" i="33"/>
  <c r="H189" i="33"/>
  <c r="I189" i="33"/>
  <c r="J189" i="33"/>
  <c r="K189" i="33"/>
  <c r="L189" i="33"/>
  <c r="M189" i="33"/>
  <c r="N189" i="33"/>
  <c r="O189" i="33"/>
  <c r="P189" i="33"/>
  <c r="Q189" i="33"/>
  <c r="R189" i="33"/>
  <c r="S189" i="33"/>
  <c r="T189" i="33"/>
  <c r="U189" i="33"/>
  <c r="J31" i="24"/>
  <c r="F31" i="24"/>
  <c r="N31" i="24"/>
  <c r="F193" i="33"/>
  <c r="H193" i="33"/>
  <c r="I193" i="33"/>
  <c r="J193" i="33"/>
  <c r="K193" i="33"/>
  <c r="L193" i="33"/>
  <c r="M193" i="33"/>
  <c r="N193" i="33"/>
  <c r="O193" i="33"/>
  <c r="P193" i="33"/>
  <c r="Q193" i="33"/>
  <c r="R193" i="33"/>
  <c r="S193" i="33"/>
  <c r="T193" i="33"/>
  <c r="U193" i="33"/>
  <c r="J32" i="24"/>
  <c r="F32" i="24"/>
  <c r="N32" i="24"/>
  <c r="F180" i="33"/>
  <c r="H180" i="33"/>
  <c r="I180" i="33"/>
  <c r="J180" i="33"/>
  <c r="K180" i="33"/>
  <c r="L180" i="33"/>
  <c r="M180" i="33"/>
  <c r="N180" i="33"/>
  <c r="O180" i="33"/>
  <c r="P180" i="33"/>
  <c r="Q180" i="33"/>
  <c r="R180" i="33"/>
  <c r="S180" i="33"/>
  <c r="T180" i="33"/>
  <c r="U180" i="33"/>
  <c r="J33" i="24"/>
  <c r="F33" i="24"/>
  <c r="N33" i="24"/>
  <c r="N35" i="24"/>
  <c r="E41" i="42"/>
  <c r="J7" i="20"/>
  <c r="F7" i="20"/>
  <c r="N7" i="20"/>
  <c r="J8" i="20"/>
  <c r="F8" i="20"/>
  <c r="N8" i="20"/>
  <c r="J9" i="20"/>
  <c r="F9" i="20"/>
  <c r="N9" i="20"/>
  <c r="J10" i="20"/>
  <c r="F10" i="20"/>
  <c r="N10" i="20"/>
  <c r="J11" i="20"/>
  <c r="N11" i="20"/>
  <c r="N12" i="20"/>
  <c r="E40" i="42"/>
  <c r="F19" i="33"/>
  <c r="H19" i="33"/>
  <c r="I19" i="33"/>
  <c r="J19" i="33"/>
  <c r="K19" i="33"/>
  <c r="L19" i="33"/>
  <c r="M19" i="33"/>
  <c r="N19" i="33"/>
  <c r="O19" i="33"/>
  <c r="P19" i="33"/>
  <c r="Q19" i="33"/>
  <c r="R19" i="33"/>
  <c r="S19" i="33"/>
  <c r="T19" i="33"/>
  <c r="U19" i="33"/>
  <c r="H7" i="10"/>
  <c r="L7" i="10"/>
  <c r="N7" i="10"/>
  <c r="F20" i="33"/>
  <c r="H20" i="33"/>
  <c r="I20" i="33"/>
  <c r="J20" i="33"/>
  <c r="K20" i="33"/>
  <c r="L20" i="33"/>
  <c r="M20" i="33"/>
  <c r="N20" i="33"/>
  <c r="O20" i="33"/>
  <c r="P20" i="33"/>
  <c r="Q20" i="33"/>
  <c r="R20" i="33"/>
  <c r="S20" i="33"/>
  <c r="T20" i="33"/>
  <c r="U20" i="33"/>
  <c r="H8" i="10"/>
  <c r="L8" i="10"/>
  <c r="F8" i="10"/>
  <c r="N8" i="10"/>
  <c r="F21" i="33"/>
  <c r="H21" i="33"/>
  <c r="I21" i="33"/>
  <c r="J21" i="33"/>
  <c r="K21" i="33"/>
  <c r="L21" i="33"/>
  <c r="M21" i="33"/>
  <c r="N21" i="33"/>
  <c r="O21" i="33"/>
  <c r="P21" i="33"/>
  <c r="Q21" i="33"/>
  <c r="R21" i="33"/>
  <c r="S21" i="33"/>
  <c r="T21" i="33"/>
  <c r="U21" i="33"/>
  <c r="H9" i="10"/>
  <c r="L9" i="10"/>
  <c r="N9" i="10"/>
  <c r="F22" i="33"/>
  <c r="H22" i="33"/>
  <c r="I22" i="33"/>
  <c r="J22" i="33"/>
  <c r="K22" i="33"/>
  <c r="L22" i="33"/>
  <c r="M22" i="33"/>
  <c r="N22" i="33"/>
  <c r="O22" i="33"/>
  <c r="P22" i="33"/>
  <c r="Q22" i="33"/>
  <c r="R22" i="33"/>
  <c r="S22" i="33"/>
  <c r="T22" i="33"/>
  <c r="U22" i="33"/>
  <c r="H10" i="10"/>
  <c r="L10" i="10"/>
  <c r="N10" i="10"/>
  <c r="F24" i="33"/>
  <c r="U24" i="33"/>
  <c r="H11" i="10"/>
  <c r="L11" i="10"/>
  <c r="N11" i="10"/>
  <c r="F25" i="33"/>
  <c r="U25" i="33"/>
  <c r="H12" i="10"/>
  <c r="L12" i="10"/>
  <c r="N12" i="10"/>
  <c r="F26" i="33"/>
  <c r="H26" i="33"/>
  <c r="I26" i="33"/>
  <c r="J26" i="33"/>
  <c r="K26" i="33"/>
  <c r="L26" i="33"/>
  <c r="M26" i="33"/>
  <c r="N26" i="33"/>
  <c r="O26" i="33"/>
  <c r="P26" i="33"/>
  <c r="Q26" i="33"/>
  <c r="R26" i="33"/>
  <c r="S26" i="33"/>
  <c r="T26" i="33"/>
  <c r="U26" i="33"/>
  <c r="H13" i="10"/>
  <c r="L13" i="10"/>
  <c r="N13" i="10"/>
  <c r="F30" i="33"/>
  <c r="H30" i="33"/>
  <c r="I30" i="33"/>
  <c r="J30" i="33"/>
  <c r="K30" i="33"/>
  <c r="L30" i="33"/>
  <c r="M30" i="33"/>
  <c r="N30" i="33"/>
  <c r="O30" i="33"/>
  <c r="P30" i="33"/>
  <c r="Q30" i="33"/>
  <c r="R30" i="33"/>
  <c r="S30" i="33"/>
  <c r="T30" i="33"/>
  <c r="U30" i="33"/>
  <c r="H14" i="10"/>
  <c r="L14" i="10"/>
  <c r="N14" i="10"/>
  <c r="F32" i="33"/>
  <c r="H32" i="33"/>
  <c r="I32" i="33"/>
  <c r="J32" i="33"/>
  <c r="K32" i="33"/>
  <c r="L32" i="33"/>
  <c r="M32" i="33"/>
  <c r="N32" i="33"/>
  <c r="O32" i="33"/>
  <c r="P32" i="33"/>
  <c r="Q32" i="33"/>
  <c r="R32" i="33"/>
  <c r="S32" i="33"/>
  <c r="T32" i="33"/>
  <c r="U32" i="33"/>
  <c r="H15" i="10"/>
  <c r="L15" i="10"/>
  <c r="N15" i="10"/>
  <c r="F33" i="33"/>
  <c r="H33" i="33"/>
  <c r="I33" i="33"/>
  <c r="J33" i="33"/>
  <c r="K33" i="33"/>
  <c r="L33" i="33"/>
  <c r="M33" i="33"/>
  <c r="N33" i="33"/>
  <c r="O33" i="33"/>
  <c r="P33" i="33"/>
  <c r="Q33" i="33"/>
  <c r="R33" i="33"/>
  <c r="S33" i="33"/>
  <c r="T33" i="33"/>
  <c r="U33" i="33"/>
  <c r="H16" i="10"/>
  <c r="L16" i="10"/>
  <c r="N16" i="10"/>
  <c r="F34" i="33"/>
  <c r="H34" i="33"/>
  <c r="I34" i="33"/>
  <c r="J34" i="33"/>
  <c r="K34" i="33"/>
  <c r="L34" i="33"/>
  <c r="M34" i="33"/>
  <c r="N34" i="33"/>
  <c r="O34" i="33"/>
  <c r="P34" i="33"/>
  <c r="Q34" i="33"/>
  <c r="R34" i="33"/>
  <c r="S34" i="33"/>
  <c r="T34" i="33"/>
  <c r="U34" i="33"/>
  <c r="H17" i="10"/>
  <c r="L17" i="10"/>
  <c r="N17" i="10"/>
  <c r="F35" i="33"/>
  <c r="U35" i="33"/>
  <c r="H18" i="10"/>
  <c r="L18" i="10"/>
  <c r="N18" i="10"/>
  <c r="F36" i="33"/>
  <c r="H36" i="33"/>
  <c r="I36" i="33"/>
  <c r="J36" i="33"/>
  <c r="K36" i="33"/>
  <c r="L36" i="33"/>
  <c r="M36" i="33"/>
  <c r="N36" i="33"/>
  <c r="O36" i="33"/>
  <c r="P36" i="33"/>
  <c r="Q36" i="33"/>
  <c r="R36" i="33"/>
  <c r="S36" i="33"/>
  <c r="T36" i="33"/>
  <c r="U36" i="33"/>
  <c r="H19" i="10"/>
  <c r="L19" i="10"/>
  <c r="N19" i="10"/>
  <c r="F37" i="33"/>
  <c r="H37" i="33"/>
  <c r="I37" i="33"/>
  <c r="J37" i="33"/>
  <c r="K37" i="33"/>
  <c r="L37" i="33"/>
  <c r="M37" i="33"/>
  <c r="N37" i="33"/>
  <c r="O37" i="33"/>
  <c r="P37" i="33"/>
  <c r="Q37" i="33"/>
  <c r="R37" i="33"/>
  <c r="S37" i="33"/>
  <c r="T37" i="33"/>
  <c r="U37" i="33"/>
  <c r="H20" i="10"/>
  <c r="L20" i="10"/>
  <c r="N20" i="10"/>
  <c r="F38" i="33"/>
  <c r="H38" i="33"/>
  <c r="I38" i="33"/>
  <c r="J38" i="33"/>
  <c r="K38" i="33"/>
  <c r="L38" i="33"/>
  <c r="M38" i="33"/>
  <c r="N38" i="33"/>
  <c r="O38" i="33"/>
  <c r="P38" i="33"/>
  <c r="Q38" i="33"/>
  <c r="R38" i="33"/>
  <c r="S38" i="33"/>
  <c r="T38" i="33"/>
  <c r="U38" i="33"/>
  <c r="H21" i="10"/>
  <c r="L21" i="10"/>
  <c r="N21" i="10"/>
  <c r="F40" i="33"/>
  <c r="H40" i="33"/>
  <c r="I40" i="33"/>
  <c r="J40" i="33"/>
  <c r="K40" i="33"/>
  <c r="L40" i="33"/>
  <c r="M40" i="33"/>
  <c r="N40" i="33"/>
  <c r="O40" i="33"/>
  <c r="P40" i="33"/>
  <c r="Q40" i="33"/>
  <c r="R40" i="33"/>
  <c r="S40" i="33"/>
  <c r="T40" i="33"/>
  <c r="U40" i="33"/>
  <c r="H22" i="10"/>
  <c r="L22" i="10"/>
  <c r="N22" i="10"/>
  <c r="F41" i="33"/>
  <c r="H41" i="33"/>
  <c r="I41" i="33"/>
  <c r="J41" i="33"/>
  <c r="K41" i="33"/>
  <c r="L41" i="33"/>
  <c r="M41" i="33"/>
  <c r="N41" i="33"/>
  <c r="O41" i="33"/>
  <c r="P41" i="33"/>
  <c r="Q41" i="33"/>
  <c r="R41" i="33"/>
  <c r="S41" i="33"/>
  <c r="T41" i="33"/>
  <c r="U41" i="33"/>
  <c r="H23" i="10"/>
  <c r="L23" i="10"/>
  <c r="N23" i="10"/>
  <c r="F44" i="33"/>
  <c r="H44" i="33"/>
  <c r="I44" i="33"/>
  <c r="J44" i="33"/>
  <c r="K44" i="33"/>
  <c r="L44" i="33"/>
  <c r="M44" i="33"/>
  <c r="N44" i="33"/>
  <c r="O44" i="33"/>
  <c r="P44" i="33"/>
  <c r="Q44" i="33"/>
  <c r="R44" i="33"/>
  <c r="S44" i="33"/>
  <c r="T44" i="33"/>
  <c r="U44" i="33"/>
  <c r="H24" i="10"/>
  <c r="L24" i="10"/>
  <c r="N24" i="10"/>
  <c r="F45" i="33"/>
  <c r="H45" i="33"/>
  <c r="I45" i="33"/>
  <c r="J45" i="33"/>
  <c r="K45" i="33"/>
  <c r="L45" i="33"/>
  <c r="M45" i="33"/>
  <c r="N45" i="33"/>
  <c r="O45" i="33"/>
  <c r="P45" i="33"/>
  <c r="Q45" i="33"/>
  <c r="R45" i="33"/>
  <c r="S45" i="33"/>
  <c r="T45" i="33"/>
  <c r="U45" i="33"/>
  <c r="H25" i="10"/>
  <c r="L25" i="10"/>
  <c r="N25" i="10"/>
  <c r="F46" i="33"/>
  <c r="H46" i="33"/>
  <c r="I46" i="33"/>
  <c r="J46" i="33"/>
  <c r="K46" i="33"/>
  <c r="L46" i="33"/>
  <c r="M46" i="33"/>
  <c r="N46" i="33"/>
  <c r="O46" i="33"/>
  <c r="P46" i="33"/>
  <c r="Q46" i="33"/>
  <c r="R46" i="33"/>
  <c r="S46" i="33"/>
  <c r="T46" i="33"/>
  <c r="U46" i="33"/>
  <c r="H26" i="10"/>
  <c r="L26" i="10"/>
  <c r="N26" i="10"/>
  <c r="F47" i="33"/>
  <c r="H47" i="33"/>
  <c r="I47" i="33"/>
  <c r="J47" i="33"/>
  <c r="K47" i="33"/>
  <c r="L47" i="33"/>
  <c r="M47" i="33"/>
  <c r="N47" i="33"/>
  <c r="O47" i="33"/>
  <c r="P47" i="33"/>
  <c r="Q47" i="33"/>
  <c r="R47" i="33"/>
  <c r="S47" i="33"/>
  <c r="T47" i="33"/>
  <c r="U47" i="33"/>
  <c r="H27" i="10"/>
  <c r="L27" i="10"/>
  <c r="N27" i="10"/>
  <c r="F48" i="33"/>
  <c r="H48" i="33"/>
  <c r="I48" i="33"/>
  <c r="J48" i="33"/>
  <c r="K48" i="33"/>
  <c r="L48" i="33"/>
  <c r="M48" i="33"/>
  <c r="N48" i="33"/>
  <c r="O48" i="33"/>
  <c r="P48" i="33"/>
  <c r="Q48" i="33"/>
  <c r="R48" i="33"/>
  <c r="S48" i="33"/>
  <c r="T48" i="33"/>
  <c r="U48" i="33"/>
  <c r="H28" i="10"/>
  <c r="L28" i="10"/>
  <c r="N28" i="10"/>
  <c r="F49" i="33"/>
  <c r="H49" i="33"/>
  <c r="I49" i="33"/>
  <c r="J49" i="33"/>
  <c r="K49" i="33"/>
  <c r="L49" i="33"/>
  <c r="M49" i="33"/>
  <c r="N49" i="33"/>
  <c r="O49" i="33"/>
  <c r="P49" i="33"/>
  <c r="Q49" i="33"/>
  <c r="R49" i="33"/>
  <c r="S49" i="33"/>
  <c r="T49" i="33"/>
  <c r="U49" i="33"/>
  <c r="H29" i="10"/>
  <c r="L29" i="10"/>
  <c r="N29" i="10"/>
  <c r="F50" i="33"/>
  <c r="H50" i="33"/>
  <c r="I50" i="33"/>
  <c r="J50" i="33"/>
  <c r="K50" i="33"/>
  <c r="L50" i="33"/>
  <c r="M50" i="33"/>
  <c r="N50" i="33"/>
  <c r="O50" i="33"/>
  <c r="P50" i="33"/>
  <c r="Q50" i="33"/>
  <c r="R50" i="33"/>
  <c r="S50" i="33"/>
  <c r="T50" i="33"/>
  <c r="U50" i="33"/>
  <c r="H30" i="10"/>
  <c r="L30" i="10"/>
  <c r="N30" i="10"/>
  <c r="F51" i="33"/>
  <c r="H51" i="33"/>
  <c r="I51" i="33"/>
  <c r="J51" i="33"/>
  <c r="K51" i="33"/>
  <c r="L51" i="33"/>
  <c r="M51" i="33"/>
  <c r="N51" i="33"/>
  <c r="O51" i="33"/>
  <c r="P51" i="33"/>
  <c r="Q51" i="33"/>
  <c r="R51" i="33"/>
  <c r="S51" i="33"/>
  <c r="T51" i="33"/>
  <c r="U51" i="33"/>
  <c r="H31" i="10"/>
  <c r="L31" i="10"/>
  <c r="N31" i="10"/>
  <c r="F52" i="33"/>
  <c r="H52" i="33"/>
  <c r="I52" i="33"/>
  <c r="J52" i="33"/>
  <c r="K52" i="33"/>
  <c r="L52" i="33"/>
  <c r="M52" i="33"/>
  <c r="N52" i="33"/>
  <c r="O52" i="33"/>
  <c r="P52" i="33"/>
  <c r="Q52" i="33"/>
  <c r="R52" i="33"/>
  <c r="S52" i="33"/>
  <c r="T52" i="33"/>
  <c r="U52" i="33"/>
  <c r="H32" i="10"/>
  <c r="L32" i="10"/>
  <c r="N32" i="10"/>
  <c r="F53" i="33"/>
  <c r="H53" i="33"/>
  <c r="I53" i="33"/>
  <c r="J53" i="33"/>
  <c r="K53" i="33"/>
  <c r="L53" i="33"/>
  <c r="M53" i="33"/>
  <c r="N53" i="33"/>
  <c r="O53" i="33"/>
  <c r="P53" i="33"/>
  <c r="Q53" i="33"/>
  <c r="R53" i="33"/>
  <c r="S53" i="33"/>
  <c r="T53" i="33"/>
  <c r="U53" i="33"/>
  <c r="H33" i="10"/>
  <c r="L33" i="10"/>
  <c r="N33" i="10"/>
  <c r="F56" i="33"/>
  <c r="H56" i="33"/>
  <c r="I56" i="33"/>
  <c r="J56" i="33"/>
  <c r="K56" i="33"/>
  <c r="L56" i="33"/>
  <c r="M56" i="33"/>
  <c r="N56" i="33"/>
  <c r="O56" i="33"/>
  <c r="P56" i="33"/>
  <c r="Q56" i="33"/>
  <c r="R56" i="33"/>
  <c r="S56" i="33"/>
  <c r="T56" i="33"/>
  <c r="U56" i="33"/>
  <c r="H34" i="10"/>
  <c r="L34" i="10"/>
  <c r="N34" i="10"/>
  <c r="F57" i="33"/>
  <c r="H57" i="33"/>
  <c r="I57" i="33"/>
  <c r="J57" i="33"/>
  <c r="K57" i="33"/>
  <c r="L57" i="33"/>
  <c r="M57" i="33"/>
  <c r="N57" i="33"/>
  <c r="O57" i="33"/>
  <c r="P57" i="33"/>
  <c r="Q57" i="33"/>
  <c r="R57" i="33"/>
  <c r="S57" i="33"/>
  <c r="T57" i="33"/>
  <c r="U57" i="33"/>
  <c r="H35" i="10"/>
  <c r="L35" i="10"/>
  <c r="N35" i="10"/>
  <c r="F58" i="33"/>
  <c r="H58" i="33"/>
  <c r="I58" i="33"/>
  <c r="J58" i="33"/>
  <c r="K58" i="33"/>
  <c r="L58" i="33"/>
  <c r="M58" i="33"/>
  <c r="N58" i="33"/>
  <c r="O58" i="33"/>
  <c r="P58" i="33"/>
  <c r="Q58" i="33"/>
  <c r="R58" i="33"/>
  <c r="S58" i="33"/>
  <c r="T58" i="33"/>
  <c r="U58" i="33"/>
  <c r="H36" i="10"/>
  <c r="L36" i="10"/>
  <c r="F36" i="10"/>
  <c r="N36" i="10"/>
  <c r="F59" i="33"/>
  <c r="H59" i="33"/>
  <c r="I59" i="33"/>
  <c r="J59" i="33"/>
  <c r="K59" i="33"/>
  <c r="L59" i="33"/>
  <c r="M59" i="33"/>
  <c r="N59" i="33"/>
  <c r="O59" i="33"/>
  <c r="P59" i="33"/>
  <c r="Q59" i="33"/>
  <c r="R59" i="33"/>
  <c r="S59" i="33"/>
  <c r="T59" i="33"/>
  <c r="U59" i="33"/>
  <c r="H37" i="10"/>
  <c r="L37" i="10"/>
  <c r="N37" i="10"/>
  <c r="F60" i="33"/>
  <c r="H60" i="33"/>
  <c r="I60" i="33"/>
  <c r="J60" i="33"/>
  <c r="K60" i="33"/>
  <c r="L60" i="33"/>
  <c r="M60" i="33"/>
  <c r="N60" i="33"/>
  <c r="O60" i="33"/>
  <c r="P60" i="33"/>
  <c r="Q60" i="33"/>
  <c r="R60" i="33"/>
  <c r="S60" i="33"/>
  <c r="T60" i="33"/>
  <c r="U60" i="33"/>
  <c r="H38" i="10"/>
  <c r="L38" i="10"/>
  <c r="N38" i="10"/>
  <c r="F61" i="33"/>
  <c r="H61" i="33"/>
  <c r="I61" i="33"/>
  <c r="J61" i="33"/>
  <c r="K61" i="33"/>
  <c r="L61" i="33"/>
  <c r="M61" i="33"/>
  <c r="N61" i="33"/>
  <c r="O61" i="33"/>
  <c r="P61" i="33"/>
  <c r="Q61" i="33"/>
  <c r="R61" i="33"/>
  <c r="S61" i="33"/>
  <c r="T61" i="33"/>
  <c r="U61" i="33"/>
  <c r="H39" i="10"/>
  <c r="L39" i="10"/>
  <c r="N39" i="10"/>
  <c r="F63" i="33"/>
  <c r="U63" i="33"/>
  <c r="H40" i="10"/>
  <c r="L40" i="10"/>
  <c r="N40" i="10"/>
  <c r="F64" i="33"/>
  <c r="H64" i="33"/>
  <c r="I64" i="33"/>
  <c r="J64" i="33"/>
  <c r="K64" i="33"/>
  <c r="L64" i="33"/>
  <c r="M64" i="33"/>
  <c r="N64" i="33"/>
  <c r="O64" i="33"/>
  <c r="P64" i="33"/>
  <c r="Q64" i="33"/>
  <c r="R64" i="33"/>
  <c r="S64" i="33"/>
  <c r="T64" i="33"/>
  <c r="U64" i="33"/>
  <c r="H41" i="10"/>
  <c r="L41" i="10"/>
  <c r="N41" i="10"/>
  <c r="F65" i="33"/>
  <c r="H65" i="33"/>
  <c r="I65" i="33"/>
  <c r="J65" i="33"/>
  <c r="K65" i="33"/>
  <c r="L65" i="33"/>
  <c r="M65" i="33"/>
  <c r="N65" i="33"/>
  <c r="O65" i="33"/>
  <c r="P65" i="33"/>
  <c r="Q65" i="33"/>
  <c r="R65" i="33"/>
  <c r="S65" i="33"/>
  <c r="T65" i="33"/>
  <c r="U65" i="33"/>
  <c r="H42" i="10"/>
  <c r="L42" i="10"/>
  <c r="N42" i="10"/>
  <c r="F66" i="33"/>
  <c r="H66" i="33"/>
  <c r="I66" i="33"/>
  <c r="J66" i="33"/>
  <c r="K66" i="33"/>
  <c r="L66" i="33"/>
  <c r="M66" i="33"/>
  <c r="N66" i="33"/>
  <c r="O66" i="33"/>
  <c r="P66" i="33"/>
  <c r="Q66" i="33"/>
  <c r="R66" i="33"/>
  <c r="S66" i="33"/>
  <c r="T66" i="33"/>
  <c r="U66" i="33"/>
  <c r="H43" i="10"/>
  <c r="L43" i="10"/>
  <c r="N43" i="10"/>
  <c r="F67" i="33"/>
  <c r="H67" i="33"/>
  <c r="I67" i="33"/>
  <c r="J67" i="33"/>
  <c r="K67" i="33"/>
  <c r="L67" i="33"/>
  <c r="M67" i="33"/>
  <c r="N67" i="33"/>
  <c r="O67" i="33"/>
  <c r="P67" i="33"/>
  <c r="Q67" i="33"/>
  <c r="R67" i="33"/>
  <c r="S67" i="33"/>
  <c r="T67" i="33"/>
  <c r="U67" i="33"/>
  <c r="H44" i="10"/>
  <c r="L44" i="10"/>
  <c r="N44" i="10"/>
  <c r="F68" i="33"/>
  <c r="H68" i="33"/>
  <c r="I68" i="33"/>
  <c r="J68" i="33"/>
  <c r="K68" i="33"/>
  <c r="L68" i="33"/>
  <c r="M68" i="33"/>
  <c r="N68" i="33"/>
  <c r="O68" i="33"/>
  <c r="P68" i="33"/>
  <c r="Q68" i="33"/>
  <c r="R68" i="33"/>
  <c r="S68" i="33"/>
  <c r="T68" i="33"/>
  <c r="U68" i="33"/>
  <c r="H45" i="10"/>
  <c r="L45" i="10"/>
  <c r="N45" i="10"/>
  <c r="F73" i="33"/>
  <c r="H73" i="33"/>
  <c r="I73" i="33"/>
  <c r="J73" i="33"/>
  <c r="K73" i="33"/>
  <c r="L73" i="33"/>
  <c r="M73" i="33"/>
  <c r="N73" i="33"/>
  <c r="O73" i="33"/>
  <c r="P73" i="33"/>
  <c r="Q73" i="33"/>
  <c r="R73" i="33"/>
  <c r="S73" i="33"/>
  <c r="T73" i="33"/>
  <c r="U73" i="33"/>
  <c r="H46" i="10"/>
  <c r="L46" i="10"/>
  <c r="N46" i="10"/>
  <c r="F69" i="33"/>
  <c r="H69" i="33"/>
  <c r="I69" i="33"/>
  <c r="J69" i="33"/>
  <c r="K69" i="33"/>
  <c r="L69" i="33"/>
  <c r="M69" i="33"/>
  <c r="N69" i="33"/>
  <c r="O69" i="33"/>
  <c r="P69" i="33"/>
  <c r="Q69" i="33"/>
  <c r="R69" i="33"/>
  <c r="S69" i="33"/>
  <c r="T69" i="33"/>
  <c r="U69" i="33"/>
  <c r="H47" i="10"/>
  <c r="L47" i="10"/>
  <c r="N47" i="10"/>
  <c r="F75" i="33"/>
  <c r="H75" i="33"/>
  <c r="I75" i="33"/>
  <c r="J75" i="33"/>
  <c r="K75" i="33"/>
  <c r="L75" i="33"/>
  <c r="M75" i="33"/>
  <c r="N75" i="33"/>
  <c r="O75" i="33"/>
  <c r="P75" i="33"/>
  <c r="Q75" i="33"/>
  <c r="R75" i="33"/>
  <c r="S75" i="33"/>
  <c r="T75" i="33"/>
  <c r="U75" i="33"/>
  <c r="H48" i="10"/>
  <c r="L48" i="10"/>
  <c r="N48" i="10"/>
  <c r="F77" i="33"/>
  <c r="U77" i="33"/>
  <c r="H49" i="10"/>
  <c r="L49" i="10"/>
  <c r="N49" i="10"/>
  <c r="F76" i="33"/>
  <c r="U76" i="33"/>
  <c r="H50" i="10"/>
  <c r="L50" i="10"/>
  <c r="N50" i="10"/>
  <c r="F78" i="33"/>
  <c r="H78" i="33"/>
  <c r="I78" i="33"/>
  <c r="J78" i="33"/>
  <c r="K78" i="33"/>
  <c r="L78" i="33"/>
  <c r="M78" i="33"/>
  <c r="N78" i="33"/>
  <c r="O78" i="33"/>
  <c r="P78" i="33"/>
  <c r="Q78" i="33"/>
  <c r="R78" i="33"/>
  <c r="S78" i="33"/>
  <c r="T78" i="33"/>
  <c r="U78" i="33"/>
  <c r="H51" i="10"/>
  <c r="L51" i="10"/>
  <c r="N51" i="10"/>
  <c r="F79" i="33"/>
  <c r="H79" i="33"/>
  <c r="I79" i="33"/>
  <c r="J79" i="33"/>
  <c r="K79" i="33"/>
  <c r="L79" i="33"/>
  <c r="M79" i="33"/>
  <c r="N79" i="33"/>
  <c r="O79" i="33"/>
  <c r="P79" i="33"/>
  <c r="Q79" i="33"/>
  <c r="R79" i="33"/>
  <c r="S79" i="33"/>
  <c r="T79" i="33"/>
  <c r="U79" i="33"/>
  <c r="H52" i="10"/>
  <c r="L52" i="10"/>
  <c r="N52" i="10"/>
  <c r="F80" i="33"/>
  <c r="H80" i="33"/>
  <c r="I80" i="33"/>
  <c r="J80" i="33"/>
  <c r="K80" i="33"/>
  <c r="L80" i="33"/>
  <c r="M80" i="33"/>
  <c r="N80" i="33"/>
  <c r="O80" i="33"/>
  <c r="P80" i="33"/>
  <c r="Q80" i="33"/>
  <c r="R80" i="33"/>
  <c r="S80" i="33"/>
  <c r="T80" i="33"/>
  <c r="U80" i="33"/>
  <c r="H53" i="10"/>
  <c r="L53" i="10"/>
  <c r="N53" i="10"/>
  <c r="F81" i="33"/>
  <c r="H81" i="33"/>
  <c r="I81" i="33"/>
  <c r="J81" i="33"/>
  <c r="K81" i="33"/>
  <c r="L81" i="33"/>
  <c r="M81" i="33"/>
  <c r="N81" i="33"/>
  <c r="O81" i="33"/>
  <c r="P81" i="33"/>
  <c r="Q81" i="33"/>
  <c r="R81" i="33"/>
  <c r="S81" i="33"/>
  <c r="T81" i="33"/>
  <c r="U81" i="33"/>
  <c r="H54" i="10"/>
  <c r="L54" i="10"/>
  <c r="N54" i="10"/>
  <c r="F82" i="33"/>
  <c r="H82" i="33"/>
  <c r="I82" i="33"/>
  <c r="J82" i="33"/>
  <c r="K82" i="33"/>
  <c r="L82" i="33"/>
  <c r="M82" i="33"/>
  <c r="N82" i="33"/>
  <c r="O82" i="33"/>
  <c r="P82" i="33"/>
  <c r="Q82" i="33"/>
  <c r="R82" i="33"/>
  <c r="S82" i="33"/>
  <c r="T82" i="33"/>
  <c r="U82" i="33"/>
  <c r="H55" i="10"/>
  <c r="L55" i="10"/>
  <c r="N55" i="10"/>
  <c r="F85" i="33"/>
  <c r="U85" i="33"/>
  <c r="H56" i="10"/>
  <c r="L56" i="10"/>
  <c r="N56" i="10"/>
  <c r="F86" i="33"/>
  <c r="H86" i="33"/>
  <c r="I86" i="33"/>
  <c r="J86" i="33"/>
  <c r="K86" i="33"/>
  <c r="L86" i="33"/>
  <c r="M86" i="33"/>
  <c r="N86" i="33"/>
  <c r="O86" i="33"/>
  <c r="P86" i="33"/>
  <c r="Q86" i="33"/>
  <c r="R86" i="33"/>
  <c r="S86" i="33"/>
  <c r="T86" i="33"/>
  <c r="U86" i="33"/>
  <c r="H57" i="10"/>
  <c r="L57" i="10"/>
  <c r="N57" i="10"/>
  <c r="F87" i="33"/>
  <c r="H87" i="33"/>
  <c r="I87" i="33"/>
  <c r="J87" i="33"/>
  <c r="K87" i="33"/>
  <c r="L87" i="33"/>
  <c r="M87" i="33"/>
  <c r="N87" i="33"/>
  <c r="O87" i="33"/>
  <c r="P87" i="33"/>
  <c r="Q87" i="33"/>
  <c r="R87" i="33"/>
  <c r="S87" i="33"/>
  <c r="T87" i="33"/>
  <c r="U87" i="33"/>
  <c r="H58" i="10"/>
  <c r="L58" i="10"/>
  <c r="N58" i="10"/>
  <c r="F88" i="33"/>
  <c r="H88" i="33"/>
  <c r="I88" i="33"/>
  <c r="J88" i="33"/>
  <c r="K88" i="33"/>
  <c r="L88" i="33"/>
  <c r="M88" i="33"/>
  <c r="N88" i="33"/>
  <c r="O88" i="33"/>
  <c r="P88" i="33"/>
  <c r="Q88" i="33"/>
  <c r="R88" i="33"/>
  <c r="S88" i="33"/>
  <c r="T88" i="33"/>
  <c r="U88" i="33"/>
  <c r="H59" i="10"/>
  <c r="L59" i="10"/>
  <c r="N59" i="10"/>
  <c r="F89" i="33"/>
  <c r="H89" i="33"/>
  <c r="I89" i="33"/>
  <c r="J89" i="33"/>
  <c r="K89" i="33"/>
  <c r="L89" i="33"/>
  <c r="M89" i="33"/>
  <c r="N89" i="33"/>
  <c r="O89" i="33"/>
  <c r="P89" i="33"/>
  <c r="Q89" i="33"/>
  <c r="R89" i="33"/>
  <c r="S89" i="33"/>
  <c r="T89" i="33"/>
  <c r="U89" i="33"/>
  <c r="H60" i="10"/>
  <c r="L60" i="10"/>
  <c r="N60" i="10"/>
  <c r="F90" i="33"/>
  <c r="H90" i="33"/>
  <c r="I90" i="33"/>
  <c r="J90" i="33"/>
  <c r="K90" i="33"/>
  <c r="L90" i="33"/>
  <c r="M90" i="33"/>
  <c r="N90" i="33"/>
  <c r="O90" i="33"/>
  <c r="P90" i="33"/>
  <c r="Q90" i="33"/>
  <c r="R90" i="33"/>
  <c r="S90" i="33"/>
  <c r="T90" i="33"/>
  <c r="U90" i="33"/>
  <c r="H61" i="10"/>
  <c r="L61" i="10"/>
  <c r="N61" i="10"/>
  <c r="F91" i="33"/>
  <c r="H91" i="33"/>
  <c r="I91" i="33"/>
  <c r="J91" i="33"/>
  <c r="K91" i="33"/>
  <c r="L91" i="33"/>
  <c r="M91" i="33"/>
  <c r="N91" i="33"/>
  <c r="O91" i="33"/>
  <c r="P91" i="33"/>
  <c r="Q91" i="33"/>
  <c r="R91" i="33"/>
  <c r="S91" i="33"/>
  <c r="T91" i="33"/>
  <c r="U91" i="33"/>
  <c r="H62" i="10"/>
  <c r="L62" i="10"/>
  <c r="N62" i="10"/>
  <c r="F93" i="33"/>
  <c r="U93" i="33"/>
  <c r="H63" i="10"/>
  <c r="L63" i="10"/>
  <c r="N63" i="10"/>
  <c r="F94" i="33"/>
  <c r="H94" i="33"/>
  <c r="I94" i="33"/>
  <c r="J94" i="33"/>
  <c r="K94" i="33"/>
  <c r="L94" i="33"/>
  <c r="M94" i="33"/>
  <c r="N94" i="33"/>
  <c r="O94" i="33"/>
  <c r="P94" i="33"/>
  <c r="Q94" i="33"/>
  <c r="R94" i="33"/>
  <c r="S94" i="33"/>
  <c r="T94" i="33"/>
  <c r="U94" i="33"/>
  <c r="H64" i="10"/>
  <c r="L64" i="10"/>
  <c r="N64" i="10"/>
  <c r="F95" i="33"/>
  <c r="H95" i="33"/>
  <c r="I95" i="33"/>
  <c r="J95" i="33"/>
  <c r="K95" i="33"/>
  <c r="L95" i="33"/>
  <c r="M95" i="33"/>
  <c r="N95" i="33"/>
  <c r="O95" i="33"/>
  <c r="P95" i="33"/>
  <c r="Q95" i="33"/>
  <c r="R95" i="33"/>
  <c r="S95" i="33"/>
  <c r="T95" i="33"/>
  <c r="U95" i="33"/>
  <c r="H65" i="10"/>
  <c r="L65" i="10"/>
  <c r="N65" i="10"/>
  <c r="F96" i="33"/>
  <c r="H96" i="33"/>
  <c r="I96" i="33"/>
  <c r="J96" i="33"/>
  <c r="K96" i="33"/>
  <c r="L96" i="33"/>
  <c r="M96" i="33"/>
  <c r="N96" i="33"/>
  <c r="O96" i="33"/>
  <c r="P96" i="33"/>
  <c r="Q96" i="33"/>
  <c r="R96" i="33"/>
  <c r="S96" i="33"/>
  <c r="T96" i="33"/>
  <c r="U96" i="33"/>
  <c r="H66" i="10"/>
  <c r="L66" i="10"/>
  <c r="F66" i="10"/>
  <c r="N66" i="10"/>
  <c r="F98" i="33"/>
  <c r="H98" i="33"/>
  <c r="I98" i="33"/>
  <c r="J98" i="33"/>
  <c r="K98" i="33"/>
  <c r="L98" i="33"/>
  <c r="M98" i="33"/>
  <c r="N98" i="33"/>
  <c r="O98" i="33"/>
  <c r="P98" i="33"/>
  <c r="Q98" i="33"/>
  <c r="R98" i="33"/>
  <c r="S98" i="33"/>
  <c r="T98" i="33"/>
  <c r="U98" i="33"/>
  <c r="H67" i="10"/>
  <c r="L67" i="10"/>
  <c r="N67" i="10"/>
  <c r="F97" i="33"/>
  <c r="H97" i="33"/>
  <c r="I97" i="33"/>
  <c r="J97" i="33"/>
  <c r="K97" i="33"/>
  <c r="L97" i="33"/>
  <c r="M97" i="33"/>
  <c r="N97" i="33"/>
  <c r="O97" i="33"/>
  <c r="P97" i="33"/>
  <c r="Q97" i="33"/>
  <c r="R97" i="33"/>
  <c r="S97" i="33"/>
  <c r="T97" i="33"/>
  <c r="U97" i="33"/>
  <c r="H68" i="10"/>
  <c r="L68" i="10"/>
  <c r="N68" i="10"/>
  <c r="F99" i="33"/>
  <c r="H99" i="33"/>
  <c r="I99" i="33"/>
  <c r="J99" i="33"/>
  <c r="K99" i="33"/>
  <c r="L99" i="33"/>
  <c r="M99" i="33"/>
  <c r="N99" i="33"/>
  <c r="O99" i="33"/>
  <c r="P99" i="33"/>
  <c r="Q99" i="33"/>
  <c r="R99" i="33"/>
  <c r="S99" i="33"/>
  <c r="T99" i="33"/>
  <c r="U99" i="33"/>
  <c r="H69" i="10"/>
  <c r="L69" i="10"/>
  <c r="N69" i="10"/>
  <c r="F100" i="33"/>
  <c r="H100" i="33"/>
  <c r="I100" i="33"/>
  <c r="J100" i="33"/>
  <c r="K100" i="33"/>
  <c r="L100" i="33"/>
  <c r="M100" i="33"/>
  <c r="N100" i="33"/>
  <c r="O100" i="33"/>
  <c r="P100" i="33"/>
  <c r="Q100" i="33"/>
  <c r="R100" i="33"/>
  <c r="S100" i="33"/>
  <c r="T100" i="33"/>
  <c r="U100" i="33"/>
  <c r="H70" i="10"/>
  <c r="L70" i="10"/>
  <c r="N70" i="10"/>
  <c r="F101" i="33"/>
  <c r="H101" i="33"/>
  <c r="I101" i="33"/>
  <c r="J101" i="33"/>
  <c r="K101" i="33"/>
  <c r="L101" i="33"/>
  <c r="M101" i="33"/>
  <c r="N101" i="33"/>
  <c r="O101" i="33"/>
  <c r="P101" i="33"/>
  <c r="Q101" i="33"/>
  <c r="R101" i="33"/>
  <c r="S101" i="33"/>
  <c r="T101" i="33"/>
  <c r="U101" i="33"/>
  <c r="H71" i="10"/>
  <c r="L71" i="10"/>
  <c r="N71" i="10"/>
  <c r="F102" i="33"/>
  <c r="H102" i="33"/>
  <c r="I102" i="33"/>
  <c r="J102" i="33"/>
  <c r="K102" i="33"/>
  <c r="L102" i="33"/>
  <c r="M102" i="33"/>
  <c r="N102" i="33"/>
  <c r="O102" i="33"/>
  <c r="P102" i="33"/>
  <c r="Q102" i="33"/>
  <c r="R102" i="33"/>
  <c r="S102" i="33"/>
  <c r="T102" i="33"/>
  <c r="U102" i="33"/>
  <c r="H72" i="10"/>
  <c r="L72" i="10"/>
  <c r="N72" i="10"/>
  <c r="F105" i="33"/>
  <c r="U105" i="33"/>
  <c r="H73" i="10"/>
  <c r="L73" i="10"/>
  <c r="N73" i="10"/>
  <c r="F106" i="33"/>
  <c r="H106" i="33"/>
  <c r="I106" i="33"/>
  <c r="J106" i="33"/>
  <c r="K106" i="33"/>
  <c r="L106" i="33"/>
  <c r="M106" i="33"/>
  <c r="N106" i="33"/>
  <c r="O106" i="33"/>
  <c r="P106" i="33"/>
  <c r="Q106" i="33"/>
  <c r="R106" i="33"/>
  <c r="S106" i="33"/>
  <c r="T106" i="33"/>
  <c r="U106" i="33"/>
  <c r="H74" i="10"/>
  <c r="L74" i="10"/>
  <c r="N74" i="10"/>
  <c r="F107" i="33"/>
  <c r="H107" i="33"/>
  <c r="I107" i="33"/>
  <c r="J107" i="33"/>
  <c r="K107" i="33"/>
  <c r="L107" i="33"/>
  <c r="M107" i="33"/>
  <c r="N107" i="33"/>
  <c r="O107" i="33"/>
  <c r="P107" i="33"/>
  <c r="Q107" i="33"/>
  <c r="R107" i="33"/>
  <c r="S107" i="33"/>
  <c r="T107" i="33"/>
  <c r="U107" i="33"/>
  <c r="H75" i="10"/>
  <c r="L75" i="10"/>
  <c r="N75" i="10"/>
  <c r="F111" i="33"/>
  <c r="U111" i="33"/>
  <c r="H76" i="10"/>
  <c r="L76" i="10"/>
  <c r="N76" i="10"/>
  <c r="F112" i="33"/>
  <c r="U112" i="33"/>
  <c r="H77" i="10"/>
  <c r="L77" i="10"/>
  <c r="N77" i="10"/>
  <c r="F117" i="33"/>
  <c r="H117" i="33"/>
  <c r="I117" i="33"/>
  <c r="J117" i="33"/>
  <c r="K117" i="33"/>
  <c r="L117" i="33"/>
  <c r="M117" i="33"/>
  <c r="N117" i="33"/>
  <c r="O117" i="33"/>
  <c r="P117" i="33"/>
  <c r="Q117" i="33"/>
  <c r="R117" i="33"/>
  <c r="S117" i="33"/>
  <c r="T117" i="33"/>
  <c r="U117" i="33"/>
  <c r="H78" i="10"/>
  <c r="L78" i="10"/>
  <c r="N78" i="10"/>
  <c r="F352" i="33"/>
  <c r="H352" i="33"/>
  <c r="I352" i="33"/>
  <c r="J352" i="33"/>
  <c r="K352" i="33"/>
  <c r="L352" i="33"/>
  <c r="M352" i="33"/>
  <c r="N352" i="33"/>
  <c r="O352" i="33"/>
  <c r="P352" i="33"/>
  <c r="Q352" i="33"/>
  <c r="R352" i="33"/>
  <c r="S352" i="33"/>
  <c r="T352" i="33"/>
  <c r="U352" i="33"/>
  <c r="H79" i="10"/>
  <c r="L79" i="10"/>
  <c r="N79" i="10"/>
  <c r="F118" i="33"/>
  <c r="H118" i="33"/>
  <c r="I118" i="33"/>
  <c r="J118" i="33"/>
  <c r="K118" i="33"/>
  <c r="L118" i="33"/>
  <c r="M118" i="33"/>
  <c r="N118" i="33"/>
  <c r="O118" i="33"/>
  <c r="P118" i="33"/>
  <c r="Q118" i="33"/>
  <c r="R118" i="33"/>
  <c r="S118" i="33"/>
  <c r="T118" i="33"/>
  <c r="U118" i="33"/>
  <c r="H80" i="10"/>
  <c r="L80" i="10"/>
  <c r="N80" i="10"/>
  <c r="F120" i="33"/>
  <c r="H120" i="33"/>
  <c r="I120" i="33"/>
  <c r="J120" i="33"/>
  <c r="K120" i="33"/>
  <c r="L120" i="33"/>
  <c r="M120" i="33"/>
  <c r="N120" i="33"/>
  <c r="O120" i="33"/>
  <c r="P120" i="33"/>
  <c r="Q120" i="33"/>
  <c r="R120" i="33"/>
  <c r="S120" i="33"/>
  <c r="T120" i="33"/>
  <c r="U120" i="33"/>
  <c r="H81" i="10"/>
  <c r="L81" i="10"/>
  <c r="N81" i="10"/>
  <c r="F121" i="33"/>
  <c r="H121" i="33"/>
  <c r="I121" i="33"/>
  <c r="J121" i="33"/>
  <c r="K121" i="33"/>
  <c r="L121" i="33"/>
  <c r="M121" i="33"/>
  <c r="N121" i="33"/>
  <c r="O121" i="33"/>
  <c r="P121" i="33"/>
  <c r="Q121" i="33"/>
  <c r="R121" i="33"/>
  <c r="S121" i="33"/>
  <c r="T121" i="33"/>
  <c r="U121" i="33"/>
  <c r="H82" i="10"/>
  <c r="L82" i="10"/>
  <c r="N82" i="10"/>
  <c r="F122" i="33"/>
  <c r="H122" i="33"/>
  <c r="I122" i="33"/>
  <c r="J122" i="33"/>
  <c r="K122" i="33"/>
  <c r="L122" i="33"/>
  <c r="M122" i="33"/>
  <c r="N122" i="33"/>
  <c r="O122" i="33"/>
  <c r="P122" i="33"/>
  <c r="Q122" i="33"/>
  <c r="R122" i="33"/>
  <c r="S122" i="33"/>
  <c r="T122" i="33"/>
  <c r="U122" i="33"/>
  <c r="H83" i="10"/>
  <c r="L83" i="10"/>
  <c r="N83" i="10"/>
  <c r="F123" i="33"/>
  <c r="H123" i="33"/>
  <c r="I123" i="33"/>
  <c r="J123" i="33"/>
  <c r="K123" i="33"/>
  <c r="L123" i="33"/>
  <c r="M123" i="33"/>
  <c r="N123" i="33"/>
  <c r="O123" i="33"/>
  <c r="P123" i="33"/>
  <c r="Q123" i="33"/>
  <c r="R123" i="33"/>
  <c r="S123" i="33"/>
  <c r="T123" i="33"/>
  <c r="U123" i="33"/>
  <c r="H84" i="10"/>
  <c r="L84" i="10"/>
  <c r="N84" i="10"/>
  <c r="F124" i="33"/>
  <c r="U124" i="33"/>
  <c r="H85" i="10"/>
  <c r="L85" i="10"/>
  <c r="N85" i="10"/>
  <c r="F125" i="33"/>
  <c r="H125" i="33"/>
  <c r="I125" i="33"/>
  <c r="J125" i="33"/>
  <c r="K125" i="33"/>
  <c r="L125" i="33"/>
  <c r="M125" i="33"/>
  <c r="N125" i="33"/>
  <c r="O125" i="33"/>
  <c r="P125" i="33"/>
  <c r="Q125" i="33"/>
  <c r="R125" i="33"/>
  <c r="S125" i="33"/>
  <c r="T125" i="33"/>
  <c r="U125" i="33"/>
  <c r="H86" i="10"/>
  <c r="L86" i="10"/>
  <c r="N86" i="10"/>
  <c r="F127" i="33"/>
  <c r="H127" i="33"/>
  <c r="I127" i="33"/>
  <c r="J127" i="33"/>
  <c r="K127" i="33"/>
  <c r="L127" i="33"/>
  <c r="M127" i="33"/>
  <c r="N127" i="33"/>
  <c r="O127" i="33"/>
  <c r="P127" i="33"/>
  <c r="Q127" i="33"/>
  <c r="R127" i="33"/>
  <c r="S127" i="33"/>
  <c r="T127" i="33"/>
  <c r="U127" i="33"/>
  <c r="H87" i="10"/>
  <c r="L87" i="10"/>
  <c r="N87" i="10"/>
  <c r="F128" i="33"/>
  <c r="H128" i="33"/>
  <c r="I128" i="33"/>
  <c r="J128" i="33"/>
  <c r="K128" i="33"/>
  <c r="L128" i="33"/>
  <c r="M128" i="33"/>
  <c r="N128" i="33"/>
  <c r="O128" i="33"/>
  <c r="P128" i="33"/>
  <c r="Q128" i="33"/>
  <c r="R128" i="33"/>
  <c r="S128" i="33"/>
  <c r="T128" i="33"/>
  <c r="U128" i="33"/>
  <c r="H88" i="10"/>
  <c r="L88" i="10"/>
  <c r="N88" i="10"/>
  <c r="F133" i="33"/>
  <c r="H133" i="33"/>
  <c r="I133" i="33"/>
  <c r="J133" i="33"/>
  <c r="K133" i="33"/>
  <c r="L133" i="33"/>
  <c r="M133" i="33"/>
  <c r="N133" i="33"/>
  <c r="O133" i="33"/>
  <c r="P133" i="33"/>
  <c r="Q133" i="33"/>
  <c r="R133" i="33"/>
  <c r="S133" i="33"/>
  <c r="T133" i="33"/>
  <c r="U133" i="33"/>
  <c r="H89" i="10"/>
  <c r="L89" i="10"/>
  <c r="N89" i="10"/>
  <c r="F134" i="33"/>
  <c r="H134" i="33"/>
  <c r="I134" i="33"/>
  <c r="J134" i="33"/>
  <c r="K134" i="33"/>
  <c r="L134" i="33"/>
  <c r="M134" i="33"/>
  <c r="N134" i="33"/>
  <c r="O134" i="33"/>
  <c r="P134" i="33"/>
  <c r="Q134" i="33"/>
  <c r="R134" i="33"/>
  <c r="S134" i="33"/>
  <c r="T134" i="33"/>
  <c r="U134" i="33"/>
  <c r="H90" i="10"/>
  <c r="L90" i="10"/>
  <c r="N90" i="10"/>
  <c r="H91" i="10"/>
  <c r="L91" i="10"/>
  <c r="N91" i="10"/>
  <c r="F136" i="33"/>
  <c r="H136" i="33"/>
  <c r="I136" i="33"/>
  <c r="J136" i="33"/>
  <c r="K136" i="33"/>
  <c r="L136" i="33"/>
  <c r="M136" i="33"/>
  <c r="N136" i="33"/>
  <c r="O136" i="33"/>
  <c r="P136" i="33"/>
  <c r="Q136" i="33"/>
  <c r="R136" i="33"/>
  <c r="S136" i="33"/>
  <c r="T136" i="33"/>
  <c r="U136" i="33"/>
  <c r="H92" i="10"/>
  <c r="L92" i="10"/>
  <c r="N92" i="10"/>
  <c r="F137" i="33"/>
  <c r="H137" i="33"/>
  <c r="I137" i="33"/>
  <c r="J137" i="33"/>
  <c r="K137" i="33"/>
  <c r="L137" i="33"/>
  <c r="M137" i="33"/>
  <c r="N137" i="33"/>
  <c r="O137" i="33"/>
  <c r="P137" i="33"/>
  <c r="Q137" i="33"/>
  <c r="R137" i="33"/>
  <c r="S137" i="33"/>
  <c r="T137" i="33"/>
  <c r="U137" i="33"/>
  <c r="H93" i="10"/>
  <c r="L93" i="10"/>
  <c r="N93" i="10"/>
  <c r="F139" i="33"/>
  <c r="H139" i="33"/>
  <c r="I139" i="33"/>
  <c r="J139" i="33"/>
  <c r="K139" i="33"/>
  <c r="L139" i="33"/>
  <c r="M139" i="33"/>
  <c r="N139" i="33"/>
  <c r="O139" i="33"/>
  <c r="P139" i="33"/>
  <c r="Q139" i="33"/>
  <c r="R139" i="33"/>
  <c r="S139" i="33"/>
  <c r="T139" i="33"/>
  <c r="U139" i="33"/>
  <c r="H94" i="10"/>
  <c r="L94" i="10"/>
  <c r="N94" i="10"/>
  <c r="F140" i="33"/>
  <c r="U140" i="33"/>
  <c r="H95" i="10"/>
  <c r="L95" i="10"/>
  <c r="N95" i="10"/>
  <c r="F142" i="33"/>
  <c r="H142" i="33"/>
  <c r="I142" i="33"/>
  <c r="J142" i="33"/>
  <c r="K142" i="33"/>
  <c r="L142" i="33"/>
  <c r="M142" i="33"/>
  <c r="N142" i="33"/>
  <c r="O142" i="33"/>
  <c r="P142" i="33"/>
  <c r="Q142" i="33"/>
  <c r="R142" i="33"/>
  <c r="S142" i="33"/>
  <c r="T142" i="33"/>
  <c r="U142" i="33"/>
  <c r="H96" i="10"/>
  <c r="L96" i="10"/>
  <c r="N96" i="10"/>
  <c r="F143" i="33"/>
  <c r="H143" i="33"/>
  <c r="I143" i="33"/>
  <c r="J143" i="33"/>
  <c r="K143" i="33"/>
  <c r="L143" i="33"/>
  <c r="M143" i="33"/>
  <c r="N143" i="33"/>
  <c r="O143" i="33"/>
  <c r="P143" i="33"/>
  <c r="Q143" i="33"/>
  <c r="R143" i="33"/>
  <c r="S143" i="33"/>
  <c r="T143" i="33"/>
  <c r="U143" i="33"/>
  <c r="H97" i="10"/>
  <c r="L97" i="10"/>
  <c r="N97" i="10"/>
  <c r="F144" i="33"/>
  <c r="H144" i="33"/>
  <c r="I144" i="33"/>
  <c r="J144" i="33"/>
  <c r="K144" i="33"/>
  <c r="L144" i="33"/>
  <c r="M144" i="33"/>
  <c r="N144" i="33"/>
  <c r="O144" i="33"/>
  <c r="P144" i="33"/>
  <c r="Q144" i="33"/>
  <c r="R144" i="33"/>
  <c r="S144" i="33"/>
  <c r="T144" i="33"/>
  <c r="U144" i="33"/>
  <c r="H98" i="10"/>
  <c r="L98" i="10"/>
  <c r="N98" i="10"/>
  <c r="F145" i="33"/>
  <c r="H145" i="33"/>
  <c r="I145" i="33"/>
  <c r="J145" i="33"/>
  <c r="K145" i="33"/>
  <c r="L145" i="33"/>
  <c r="M145" i="33"/>
  <c r="N145" i="33"/>
  <c r="O145" i="33"/>
  <c r="P145" i="33"/>
  <c r="Q145" i="33"/>
  <c r="R145" i="33"/>
  <c r="S145" i="33"/>
  <c r="T145" i="33"/>
  <c r="U145" i="33"/>
  <c r="H99" i="10"/>
  <c r="L99" i="10"/>
  <c r="N99" i="10"/>
  <c r="F146" i="33"/>
  <c r="H146" i="33"/>
  <c r="I146" i="33"/>
  <c r="J146" i="33"/>
  <c r="K146" i="33"/>
  <c r="L146" i="33"/>
  <c r="M146" i="33"/>
  <c r="N146" i="33"/>
  <c r="O146" i="33"/>
  <c r="P146" i="33"/>
  <c r="Q146" i="33"/>
  <c r="R146" i="33"/>
  <c r="S146" i="33"/>
  <c r="T146" i="33"/>
  <c r="U146" i="33"/>
  <c r="H100" i="10"/>
  <c r="L100" i="10"/>
  <c r="N100" i="10"/>
  <c r="F147" i="33"/>
  <c r="H147" i="33"/>
  <c r="I147" i="33"/>
  <c r="J147" i="33"/>
  <c r="K147" i="33"/>
  <c r="L147" i="33"/>
  <c r="M147" i="33"/>
  <c r="N147" i="33"/>
  <c r="O147" i="33"/>
  <c r="P147" i="33"/>
  <c r="Q147" i="33"/>
  <c r="R147" i="33"/>
  <c r="S147" i="33"/>
  <c r="T147" i="33"/>
  <c r="U147" i="33"/>
  <c r="H101" i="10"/>
  <c r="L101" i="10"/>
  <c r="N101" i="10"/>
  <c r="F148" i="33"/>
  <c r="H148" i="33"/>
  <c r="I148" i="33"/>
  <c r="J148" i="33"/>
  <c r="K148" i="33"/>
  <c r="L148" i="33"/>
  <c r="M148" i="33"/>
  <c r="N148" i="33"/>
  <c r="O148" i="33"/>
  <c r="P148" i="33"/>
  <c r="Q148" i="33"/>
  <c r="R148" i="33"/>
  <c r="S148" i="33"/>
  <c r="T148" i="33"/>
  <c r="U148" i="33"/>
  <c r="H102" i="10"/>
  <c r="L102" i="10"/>
  <c r="N102" i="10"/>
  <c r="F149" i="33"/>
  <c r="H149" i="33"/>
  <c r="I149" i="33"/>
  <c r="J149" i="33"/>
  <c r="K149" i="33"/>
  <c r="L149" i="33"/>
  <c r="M149" i="33"/>
  <c r="N149" i="33"/>
  <c r="O149" i="33"/>
  <c r="P149" i="33"/>
  <c r="Q149" i="33"/>
  <c r="R149" i="33"/>
  <c r="S149" i="33"/>
  <c r="T149" i="33"/>
  <c r="U149" i="33"/>
  <c r="H103" i="10"/>
  <c r="L103" i="10"/>
  <c r="N103" i="10"/>
  <c r="F154" i="33"/>
  <c r="H154" i="33"/>
  <c r="I154" i="33"/>
  <c r="J154" i="33"/>
  <c r="K154" i="33"/>
  <c r="L154" i="33"/>
  <c r="M154" i="33"/>
  <c r="N154" i="33"/>
  <c r="O154" i="33"/>
  <c r="P154" i="33"/>
  <c r="Q154" i="33"/>
  <c r="R154" i="33"/>
  <c r="S154" i="33"/>
  <c r="T154" i="33"/>
  <c r="U154" i="33"/>
  <c r="H104" i="10"/>
  <c r="L104" i="10"/>
  <c r="N104" i="10"/>
  <c r="F155" i="33"/>
  <c r="H155" i="33"/>
  <c r="I155" i="33"/>
  <c r="J155" i="33"/>
  <c r="K155" i="33"/>
  <c r="L155" i="33"/>
  <c r="M155" i="33"/>
  <c r="N155" i="33"/>
  <c r="O155" i="33"/>
  <c r="P155" i="33"/>
  <c r="Q155" i="33"/>
  <c r="R155" i="33"/>
  <c r="S155" i="33"/>
  <c r="T155" i="33"/>
  <c r="U155" i="33"/>
  <c r="H105" i="10"/>
  <c r="L105" i="10"/>
  <c r="N105" i="10"/>
  <c r="F157" i="33"/>
  <c r="H157" i="33"/>
  <c r="I157" i="33"/>
  <c r="J157" i="33"/>
  <c r="K157" i="33"/>
  <c r="L157" i="33"/>
  <c r="M157" i="33"/>
  <c r="N157" i="33"/>
  <c r="O157" i="33"/>
  <c r="P157" i="33"/>
  <c r="Q157" i="33"/>
  <c r="R157" i="33"/>
  <c r="S157" i="33"/>
  <c r="T157" i="33"/>
  <c r="U157" i="33"/>
  <c r="H106" i="10"/>
  <c r="L106" i="10"/>
  <c r="N106" i="10"/>
  <c r="F159" i="33"/>
  <c r="H159" i="33"/>
  <c r="I159" i="33"/>
  <c r="J159" i="33"/>
  <c r="K159" i="33"/>
  <c r="L159" i="33"/>
  <c r="M159" i="33"/>
  <c r="N159" i="33"/>
  <c r="O159" i="33"/>
  <c r="P159" i="33"/>
  <c r="Q159" i="33"/>
  <c r="R159" i="33"/>
  <c r="S159" i="33"/>
  <c r="T159" i="33"/>
  <c r="U159" i="33"/>
  <c r="H107" i="10"/>
  <c r="L107" i="10"/>
  <c r="N107" i="10"/>
  <c r="F160" i="33"/>
  <c r="H160" i="33"/>
  <c r="I160" i="33"/>
  <c r="J160" i="33"/>
  <c r="K160" i="33"/>
  <c r="L160" i="33"/>
  <c r="M160" i="33"/>
  <c r="N160" i="33"/>
  <c r="O160" i="33"/>
  <c r="P160" i="33"/>
  <c r="Q160" i="33"/>
  <c r="R160" i="33"/>
  <c r="S160" i="33"/>
  <c r="T160" i="33"/>
  <c r="U160" i="33"/>
  <c r="H108" i="10"/>
  <c r="L108" i="10"/>
  <c r="N108" i="10"/>
  <c r="F161" i="33"/>
  <c r="H161" i="33"/>
  <c r="I161" i="33"/>
  <c r="J161" i="33"/>
  <c r="K161" i="33"/>
  <c r="L161" i="33"/>
  <c r="M161" i="33"/>
  <c r="N161" i="33"/>
  <c r="O161" i="33"/>
  <c r="P161" i="33"/>
  <c r="Q161" i="33"/>
  <c r="R161" i="33"/>
  <c r="S161" i="33"/>
  <c r="T161" i="33"/>
  <c r="U161" i="33"/>
  <c r="H109" i="10"/>
  <c r="L109" i="10"/>
  <c r="N109" i="10"/>
  <c r="F162" i="33"/>
  <c r="U162" i="33"/>
  <c r="H110" i="10"/>
  <c r="L110" i="10"/>
  <c r="N110" i="10"/>
  <c r="F126" i="33"/>
  <c r="U126" i="33"/>
  <c r="H111" i="10"/>
  <c r="L111" i="10"/>
  <c r="N111" i="10"/>
  <c r="N113" i="10"/>
  <c r="E39" i="42"/>
  <c r="L7" i="18"/>
  <c r="L8" i="18"/>
  <c r="L10" i="18"/>
  <c r="E38" i="42"/>
  <c r="E37" i="42"/>
  <c r="F8" i="17"/>
  <c r="H8" i="17"/>
  <c r="I8" i="17"/>
  <c r="J8" i="17"/>
  <c r="K8" i="17"/>
  <c r="L8" i="17"/>
  <c r="N8" i="17"/>
  <c r="O8" i="17"/>
  <c r="E36" i="42"/>
  <c r="F7" i="17"/>
  <c r="H7" i="17"/>
  <c r="I7" i="17"/>
  <c r="J7" i="17"/>
  <c r="K7" i="17"/>
  <c r="L7" i="17"/>
  <c r="N7" i="17"/>
  <c r="O7" i="17"/>
  <c r="E35" i="42"/>
  <c r="F5" i="33"/>
  <c r="U5" i="33"/>
  <c r="I7" i="28"/>
  <c r="M7" i="28"/>
  <c r="O7" i="28"/>
  <c r="F7" i="33"/>
  <c r="U7" i="33"/>
  <c r="I8" i="28"/>
  <c r="M8" i="28"/>
  <c r="O8" i="28"/>
  <c r="F10" i="33"/>
  <c r="U10" i="33"/>
  <c r="I9" i="28"/>
  <c r="M9" i="28"/>
  <c r="O9" i="28"/>
  <c r="F11" i="33"/>
  <c r="U11" i="33"/>
  <c r="I10" i="28"/>
  <c r="M10" i="28"/>
  <c r="O10" i="28"/>
  <c r="F15" i="33"/>
  <c r="U15" i="33"/>
  <c r="I11" i="28"/>
  <c r="M11" i="28"/>
  <c r="O11" i="28"/>
  <c r="F16" i="33"/>
  <c r="H16" i="33"/>
  <c r="I16" i="33"/>
  <c r="J16" i="33"/>
  <c r="K16" i="33"/>
  <c r="L16" i="33"/>
  <c r="M16" i="33"/>
  <c r="N16" i="33"/>
  <c r="O16" i="33"/>
  <c r="P16" i="33"/>
  <c r="Q16" i="33"/>
  <c r="R16" i="33"/>
  <c r="S16" i="33"/>
  <c r="T16" i="33"/>
  <c r="U16" i="33"/>
  <c r="I12" i="28"/>
  <c r="M12" i="28"/>
  <c r="O12" i="28"/>
  <c r="F13" i="33"/>
  <c r="H13" i="33"/>
  <c r="I13" i="33"/>
  <c r="J13" i="33"/>
  <c r="K13" i="33"/>
  <c r="L13" i="33"/>
  <c r="M13" i="33"/>
  <c r="N13" i="33"/>
  <c r="O13" i="33"/>
  <c r="P13" i="33"/>
  <c r="Q13" i="33"/>
  <c r="R13" i="33"/>
  <c r="S13" i="33"/>
  <c r="T13" i="33"/>
  <c r="U13" i="33"/>
  <c r="I13" i="28"/>
  <c r="M13" i="28"/>
  <c r="O13" i="28"/>
  <c r="F14" i="33"/>
  <c r="H14" i="33"/>
  <c r="I14" i="33"/>
  <c r="J14" i="33"/>
  <c r="K14" i="33"/>
  <c r="L14" i="33"/>
  <c r="M14" i="33"/>
  <c r="N14" i="33"/>
  <c r="O14" i="33"/>
  <c r="P14" i="33"/>
  <c r="Q14" i="33"/>
  <c r="R14" i="33"/>
  <c r="S14" i="33"/>
  <c r="T14" i="33"/>
  <c r="U14" i="33"/>
  <c r="I14" i="28"/>
  <c r="M14" i="28"/>
  <c r="O14" i="28"/>
  <c r="I15" i="28"/>
  <c r="M15" i="28"/>
  <c r="O15" i="28"/>
  <c r="F17" i="33"/>
  <c r="H17" i="33"/>
  <c r="I17" i="33"/>
  <c r="J17" i="33"/>
  <c r="K17" i="33"/>
  <c r="L17" i="33"/>
  <c r="M17" i="33"/>
  <c r="N17" i="33"/>
  <c r="O17" i="33"/>
  <c r="P17" i="33"/>
  <c r="Q17" i="33"/>
  <c r="R17" i="33"/>
  <c r="S17" i="33"/>
  <c r="T17" i="33"/>
  <c r="U17" i="33"/>
  <c r="I16" i="28"/>
  <c r="M16" i="28"/>
  <c r="O16" i="28"/>
  <c r="F18" i="33"/>
  <c r="H18" i="33"/>
  <c r="I18" i="33"/>
  <c r="J18" i="33"/>
  <c r="K18" i="33"/>
  <c r="L18" i="33"/>
  <c r="M18" i="33"/>
  <c r="N18" i="33"/>
  <c r="O18" i="33"/>
  <c r="P18" i="33"/>
  <c r="Q18" i="33"/>
  <c r="R18" i="33"/>
  <c r="S18" i="33"/>
  <c r="T18" i="33"/>
  <c r="U18" i="33"/>
  <c r="I17" i="28"/>
  <c r="M17" i="28"/>
  <c r="O17" i="28"/>
  <c r="O19" i="28"/>
  <c r="E34" i="42"/>
  <c r="E33" i="42"/>
  <c r="G25" i="1"/>
  <c r="C33" i="42"/>
  <c r="E32" i="42"/>
  <c r="G27" i="1"/>
  <c r="C32" i="42"/>
  <c r="E31" i="42"/>
  <c r="C31" i="42"/>
  <c r="E30" i="42"/>
  <c r="G22" i="1"/>
  <c r="C30" i="42"/>
  <c r="E29" i="42"/>
  <c r="C29" i="42"/>
  <c r="E28" i="42"/>
  <c r="G17" i="1"/>
  <c r="C28" i="42"/>
  <c r="E27" i="42"/>
  <c r="G18" i="1"/>
  <c r="C27" i="42"/>
  <c r="E26" i="42"/>
  <c r="C26" i="42"/>
  <c r="E25" i="42"/>
  <c r="C25" i="42"/>
  <c r="E24" i="42"/>
  <c r="C24" i="42"/>
  <c r="E23" i="42"/>
  <c r="C23" i="42"/>
  <c r="E22" i="42"/>
  <c r="G19" i="1"/>
  <c r="C22" i="42"/>
  <c r="E21" i="42"/>
  <c r="G14" i="1"/>
  <c r="C21" i="42"/>
  <c r="E20" i="42"/>
  <c r="G13" i="1"/>
  <c r="C20" i="42"/>
  <c r="E19" i="42"/>
  <c r="G11" i="1"/>
  <c r="C19" i="42"/>
  <c r="E18" i="42"/>
  <c r="G9" i="1"/>
  <c r="C18" i="42"/>
  <c r="E17" i="42"/>
  <c r="G15" i="1"/>
  <c r="C17" i="42"/>
  <c r="E16" i="42"/>
  <c r="C16" i="42"/>
  <c r="E15" i="42"/>
  <c r="C15" i="42"/>
  <c r="E14" i="42"/>
  <c r="E50" i="42"/>
  <c r="C14" i="42"/>
  <c r="E55" i="32"/>
  <c r="J55" i="32"/>
  <c r="K55" i="32"/>
  <c r="E54" i="32"/>
  <c r="J54" i="32"/>
  <c r="K54" i="32"/>
  <c r="E53" i="32"/>
  <c r="J53" i="32"/>
  <c r="K53" i="32"/>
  <c r="E52" i="32"/>
  <c r="J52" i="32"/>
  <c r="K52" i="32"/>
  <c r="F55" i="32"/>
  <c r="F54" i="32"/>
  <c r="F53" i="32"/>
  <c r="F52" i="32"/>
  <c r="E36" i="32"/>
  <c r="J36" i="32"/>
  <c r="K36" i="32"/>
  <c r="E35" i="32"/>
  <c r="J35" i="32"/>
  <c r="K35" i="32"/>
  <c r="F36" i="32"/>
  <c r="F35" i="32"/>
  <c r="J15" i="42"/>
  <c r="F15" i="42"/>
  <c r="J16" i="42"/>
  <c r="K16" i="42"/>
  <c r="M16" i="42"/>
  <c r="P16" i="42"/>
  <c r="F16" i="42"/>
  <c r="H16" i="42"/>
  <c r="O16" i="42"/>
  <c r="Q16" i="42"/>
  <c r="J17" i="42"/>
  <c r="K17" i="42"/>
  <c r="M17" i="42"/>
  <c r="P17" i="42"/>
  <c r="F17" i="42"/>
  <c r="H17" i="42"/>
  <c r="O17" i="42"/>
  <c r="Q17" i="42"/>
  <c r="J18" i="42"/>
  <c r="K18" i="42"/>
  <c r="M18" i="42"/>
  <c r="P18" i="42"/>
  <c r="F18" i="42"/>
  <c r="H18" i="42"/>
  <c r="O18" i="42"/>
  <c r="Q18" i="42"/>
  <c r="J19" i="42"/>
  <c r="K19" i="42"/>
  <c r="M19" i="42"/>
  <c r="P19" i="42"/>
  <c r="F19" i="42"/>
  <c r="H19" i="42"/>
  <c r="O19" i="42"/>
  <c r="Q19" i="42"/>
  <c r="J20" i="42"/>
  <c r="K20" i="42"/>
  <c r="M20" i="42"/>
  <c r="P20" i="42"/>
  <c r="F20" i="42"/>
  <c r="H20" i="42"/>
  <c r="O20" i="42"/>
  <c r="Q20" i="42"/>
  <c r="J21" i="42"/>
  <c r="K21" i="42"/>
  <c r="M21" i="42"/>
  <c r="P21" i="42"/>
  <c r="F21" i="42"/>
  <c r="H21" i="42"/>
  <c r="O21" i="42"/>
  <c r="Q21" i="42"/>
  <c r="J22" i="42"/>
  <c r="K22" i="42"/>
  <c r="M22" i="42"/>
  <c r="P22" i="42"/>
  <c r="F22" i="42"/>
  <c r="H22" i="42"/>
  <c r="O22" i="42"/>
  <c r="Q22" i="42"/>
  <c r="J23" i="42"/>
  <c r="K23" i="42"/>
  <c r="M23" i="42"/>
  <c r="P23" i="42"/>
  <c r="F23" i="42"/>
  <c r="H23" i="42"/>
  <c r="O23" i="42"/>
  <c r="Q23" i="42"/>
  <c r="J24" i="42"/>
  <c r="K24" i="42"/>
  <c r="M24" i="42"/>
  <c r="P24" i="42"/>
  <c r="F24" i="42"/>
  <c r="H24" i="42"/>
  <c r="O24" i="42"/>
  <c r="Q24" i="42"/>
  <c r="J25" i="42"/>
  <c r="K25" i="42"/>
  <c r="M25" i="42"/>
  <c r="P25" i="42"/>
  <c r="F25" i="42"/>
  <c r="H25" i="42"/>
  <c r="O25" i="42"/>
  <c r="Q25" i="42"/>
  <c r="J26" i="42"/>
  <c r="K26" i="42"/>
  <c r="M26" i="42"/>
  <c r="P26" i="42"/>
  <c r="F26" i="42"/>
  <c r="H26" i="42"/>
  <c r="O26" i="42"/>
  <c r="Q26" i="42"/>
  <c r="J27" i="42"/>
  <c r="K27" i="42"/>
  <c r="M27" i="42"/>
  <c r="P27" i="42"/>
  <c r="F27" i="42"/>
  <c r="H27" i="42"/>
  <c r="O27" i="42"/>
  <c r="Q27" i="42"/>
  <c r="J28" i="42"/>
  <c r="K28" i="42"/>
  <c r="M28" i="42"/>
  <c r="P28" i="42"/>
  <c r="F28" i="42"/>
  <c r="H28" i="42"/>
  <c r="O28" i="42"/>
  <c r="Q28" i="42"/>
  <c r="J29" i="42"/>
  <c r="K29" i="42"/>
  <c r="M29" i="42"/>
  <c r="P29" i="42"/>
  <c r="F29" i="42"/>
  <c r="H29" i="42"/>
  <c r="O29" i="42"/>
  <c r="Q29" i="42"/>
  <c r="J30" i="42"/>
  <c r="K30" i="42"/>
  <c r="M30" i="42"/>
  <c r="P30" i="42"/>
  <c r="F30" i="42"/>
  <c r="H30" i="42"/>
  <c r="O30" i="42"/>
  <c r="Q30" i="42"/>
  <c r="J31" i="42"/>
  <c r="K31" i="42"/>
  <c r="M31" i="42"/>
  <c r="P31" i="42"/>
  <c r="F31" i="42"/>
  <c r="H31" i="42"/>
  <c r="O31" i="42"/>
  <c r="Q31" i="42"/>
  <c r="J32" i="42"/>
  <c r="K32" i="42"/>
  <c r="M32" i="42"/>
  <c r="P32" i="42"/>
  <c r="F32" i="42"/>
  <c r="H32" i="42"/>
  <c r="O32" i="42"/>
  <c r="Q32" i="42"/>
  <c r="J33" i="42"/>
  <c r="K33" i="42"/>
  <c r="M33" i="42"/>
  <c r="P33" i="42"/>
  <c r="F33" i="42"/>
  <c r="H33" i="42"/>
  <c r="O33" i="42"/>
  <c r="Q33" i="42"/>
  <c r="J34" i="42"/>
  <c r="K34" i="42"/>
  <c r="M34" i="42"/>
  <c r="P34" i="42"/>
  <c r="F34" i="42"/>
  <c r="H34" i="42"/>
  <c r="O34" i="42"/>
  <c r="Q34" i="42"/>
  <c r="J35" i="42"/>
  <c r="H35" i="42"/>
  <c r="O35" i="42"/>
  <c r="F35" i="42"/>
  <c r="J36" i="42"/>
  <c r="H36" i="42"/>
  <c r="O36" i="42"/>
  <c r="F36" i="42"/>
  <c r="J37" i="42"/>
  <c r="K37" i="42"/>
  <c r="M37" i="42"/>
  <c r="P37" i="42"/>
  <c r="F37" i="42"/>
  <c r="H37" i="42"/>
  <c r="O37" i="42"/>
  <c r="Q37" i="42"/>
  <c r="J38" i="42"/>
  <c r="K38" i="42"/>
  <c r="M38" i="42"/>
  <c r="P38" i="42"/>
  <c r="F38" i="42"/>
  <c r="H38" i="42"/>
  <c r="O38" i="42"/>
  <c r="Q38" i="42"/>
  <c r="J39" i="42"/>
  <c r="K39" i="42"/>
  <c r="M39" i="42"/>
  <c r="P39" i="42"/>
  <c r="F39" i="42"/>
  <c r="H39" i="42"/>
  <c r="O39" i="42"/>
  <c r="Q39" i="42"/>
  <c r="J40" i="42"/>
  <c r="K40" i="42"/>
  <c r="M40" i="42"/>
  <c r="P40" i="42"/>
  <c r="F40" i="42"/>
  <c r="H40" i="42"/>
  <c r="O40" i="42"/>
  <c r="Q40" i="42"/>
  <c r="J41" i="42"/>
  <c r="K41" i="42"/>
  <c r="M41" i="42"/>
  <c r="P41" i="42"/>
  <c r="F41" i="42"/>
  <c r="H41" i="42"/>
  <c r="O41" i="42"/>
  <c r="Q41" i="42"/>
  <c r="J43" i="42"/>
  <c r="F43" i="42"/>
  <c r="J44" i="42"/>
  <c r="K44" i="42"/>
  <c r="M44" i="42"/>
  <c r="P44" i="42"/>
  <c r="F44" i="42"/>
  <c r="H44" i="42"/>
  <c r="O44" i="42"/>
  <c r="Q44" i="42"/>
  <c r="J45" i="42"/>
  <c r="K45" i="42"/>
  <c r="M45" i="42"/>
  <c r="P45" i="42"/>
  <c r="F45" i="42"/>
  <c r="H45" i="42"/>
  <c r="O45" i="42"/>
  <c r="Q45" i="42"/>
  <c r="J46" i="42"/>
  <c r="K46" i="42"/>
  <c r="M46" i="42"/>
  <c r="P46" i="42"/>
  <c r="F46" i="42"/>
  <c r="H46" i="42"/>
  <c r="O46" i="42"/>
  <c r="Q46" i="42"/>
  <c r="J47" i="42"/>
  <c r="K47" i="42"/>
  <c r="M47" i="42"/>
  <c r="P47" i="42"/>
  <c r="F47" i="42"/>
  <c r="H47" i="42"/>
  <c r="O47" i="42"/>
  <c r="Q47" i="42"/>
  <c r="J48" i="42"/>
  <c r="K48" i="42"/>
  <c r="M48" i="42"/>
  <c r="P48" i="42"/>
  <c r="F48" i="42"/>
  <c r="H48" i="42"/>
  <c r="O48" i="42"/>
  <c r="Q48" i="42"/>
  <c r="J49" i="42"/>
  <c r="K49" i="42"/>
  <c r="M49" i="42"/>
  <c r="P49" i="42"/>
  <c r="F49" i="42"/>
  <c r="H49" i="42"/>
  <c r="O49" i="42"/>
  <c r="Q49" i="42"/>
  <c r="E56" i="42"/>
  <c r="E58" i="42"/>
  <c r="J52" i="42"/>
  <c r="H52" i="42"/>
  <c r="F52" i="42"/>
  <c r="J53" i="42"/>
  <c r="H53" i="42"/>
  <c r="O53" i="42"/>
  <c r="F53" i="42"/>
  <c r="J54" i="42"/>
  <c r="H54" i="42"/>
  <c r="O54" i="42"/>
  <c r="F54" i="42"/>
  <c r="J55" i="42"/>
  <c r="H55" i="42"/>
  <c r="O55" i="42"/>
  <c r="F55" i="42"/>
  <c r="M55" i="42"/>
  <c r="P55" i="42"/>
  <c r="Q55" i="42"/>
  <c r="K55" i="42"/>
  <c r="M54" i="42"/>
  <c r="P54" i="42"/>
  <c r="Q54" i="42"/>
  <c r="K54" i="42"/>
  <c r="M53" i="42"/>
  <c r="P53" i="42"/>
  <c r="Q53" i="42"/>
  <c r="K53" i="42"/>
  <c r="H56" i="42"/>
  <c r="O52" i="42"/>
  <c r="J56" i="42"/>
  <c r="M52" i="42"/>
  <c r="K52" i="42"/>
  <c r="H43" i="42"/>
  <c r="F42" i="42"/>
  <c r="K43" i="42"/>
  <c r="J42" i="42"/>
  <c r="M36" i="42"/>
  <c r="P36" i="42"/>
  <c r="Q36" i="42"/>
  <c r="K36" i="42"/>
  <c r="M35" i="42"/>
  <c r="P35" i="42"/>
  <c r="Q35" i="42"/>
  <c r="K35" i="42"/>
  <c r="H15" i="42"/>
  <c r="F14" i="42"/>
  <c r="K15" i="42"/>
  <c r="J14" i="42"/>
  <c r="J50" i="42"/>
  <c r="J58" i="42"/>
  <c r="M15" i="42"/>
  <c r="K14" i="42"/>
  <c r="O15" i="42"/>
  <c r="H14" i="42"/>
  <c r="M43" i="42"/>
  <c r="K42" i="42"/>
  <c r="O43" i="42"/>
  <c r="H42" i="42"/>
  <c r="O42" i="42"/>
  <c r="M56" i="42"/>
  <c r="P52" i="42"/>
  <c r="P56" i="42"/>
  <c r="O56" i="42"/>
  <c r="Q52" i="42"/>
  <c r="Q56" i="42"/>
  <c r="P43" i="42"/>
  <c r="M42" i="42"/>
  <c r="H50" i="42"/>
  <c r="H58" i="42"/>
  <c r="O14" i="42"/>
  <c r="O50" i="42"/>
  <c r="O58" i="42"/>
  <c r="P15" i="42"/>
  <c r="M14" i="42"/>
  <c r="M50" i="42"/>
  <c r="M58" i="42"/>
  <c r="P14" i="42"/>
  <c r="Q15" i="42"/>
  <c r="Q14" i="42"/>
  <c r="P42" i="42"/>
  <c r="Q42" i="42"/>
  <c r="Q43" i="42"/>
  <c r="Q50" i="42"/>
  <c r="Q58" i="42"/>
  <c r="P50" i="42"/>
  <c r="P58" i="42"/>
  <c r="E15" i="32"/>
  <c r="C15" i="32"/>
  <c r="F15" i="32"/>
  <c r="H15" i="32"/>
  <c r="O15" i="32"/>
  <c r="E16" i="32"/>
  <c r="C16" i="32"/>
  <c r="F16" i="32"/>
  <c r="H16" i="32"/>
  <c r="O16" i="32"/>
  <c r="E17" i="32"/>
  <c r="C17" i="32"/>
  <c r="F17" i="32"/>
  <c r="H17" i="32"/>
  <c r="O17" i="32"/>
  <c r="E18" i="32"/>
  <c r="C18" i="32"/>
  <c r="F18" i="32"/>
  <c r="H18" i="32"/>
  <c r="O18" i="32"/>
  <c r="E19" i="32"/>
  <c r="C19" i="32"/>
  <c r="F19" i="32"/>
  <c r="H19" i="32"/>
  <c r="O19" i="32"/>
  <c r="E20" i="32"/>
  <c r="C20" i="32"/>
  <c r="F20" i="32"/>
  <c r="H20" i="32"/>
  <c r="O20" i="32"/>
  <c r="E21" i="32"/>
  <c r="C21" i="32"/>
  <c r="F21" i="32"/>
  <c r="H21" i="32"/>
  <c r="O21" i="32"/>
  <c r="E22" i="32"/>
  <c r="C22" i="32"/>
  <c r="F22" i="32"/>
  <c r="H22" i="32"/>
  <c r="O22" i="32"/>
  <c r="E23" i="32"/>
  <c r="C23" i="32"/>
  <c r="F23" i="32"/>
  <c r="H23" i="32"/>
  <c r="O23" i="32"/>
  <c r="E24" i="32"/>
  <c r="C24" i="32"/>
  <c r="F24" i="32"/>
  <c r="H24" i="32"/>
  <c r="O24" i="32"/>
  <c r="E25" i="32"/>
  <c r="C25" i="32"/>
  <c r="F25" i="32"/>
  <c r="H25" i="32"/>
  <c r="O25" i="32"/>
  <c r="E26" i="32"/>
  <c r="C26" i="32"/>
  <c r="F26" i="32"/>
  <c r="H26" i="32"/>
  <c r="O26" i="32"/>
  <c r="E27" i="32"/>
  <c r="C27" i="32"/>
  <c r="F27" i="32"/>
  <c r="H27" i="32"/>
  <c r="O27" i="32"/>
  <c r="E28" i="32"/>
  <c r="C28" i="32"/>
  <c r="F28" i="32"/>
  <c r="H28" i="32"/>
  <c r="O28" i="32"/>
  <c r="E29" i="32"/>
  <c r="C29" i="32"/>
  <c r="F29" i="32"/>
  <c r="H29" i="32"/>
  <c r="O29" i="32"/>
  <c r="E30" i="32"/>
  <c r="C30" i="32"/>
  <c r="F30" i="32"/>
  <c r="H30" i="32"/>
  <c r="O30" i="32"/>
  <c r="E31" i="32"/>
  <c r="C31" i="32"/>
  <c r="F31" i="32"/>
  <c r="H31" i="32"/>
  <c r="O31" i="32"/>
  <c r="E32" i="32"/>
  <c r="C32" i="32"/>
  <c r="F32" i="32"/>
  <c r="H32" i="32"/>
  <c r="O32" i="32"/>
  <c r="E33" i="32"/>
  <c r="C33" i="32"/>
  <c r="F33" i="32"/>
  <c r="H33" i="32"/>
  <c r="O33" i="32"/>
  <c r="O14" i="32"/>
  <c r="E34" i="32"/>
  <c r="F34" i="32"/>
  <c r="H34" i="32"/>
  <c r="O34" i="32"/>
  <c r="H35" i="32"/>
  <c r="O35" i="32"/>
  <c r="H36" i="32"/>
  <c r="O36" i="32"/>
  <c r="E37" i="32"/>
  <c r="F37" i="32"/>
  <c r="H37" i="32"/>
  <c r="O37" i="32"/>
  <c r="E38" i="32"/>
  <c r="F38" i="32"/>
  <c r="H38" i="32"/>
  <c r="O38" i="32"/>
  <c r="E39" i="32"/>
  <c r="F39" i="32"/>
  <c r="H39" i="32"/>
  <c r="O39" i="32"/>
  <c r="E40" i="32"/>
  <c r="F40" i="32"/>
  <c r="H40" i="32"/>
  <c r="O40" i="32"/>
  <c r="E41" i="32"/>
  <c r="F41" i="32"/>
  <c r="H41" i="32"/>
  <c r="O41" i="32"/>
  <c r="E43" i="32"/>
  <c r="F43" i="32"/>
  <c r="H43" i="32"/>
  <c r="E44" i="32"/>
  <c r="F44" i="32"/>
  <c r="H44" i="32"/>
  <c r="E45" i="32"/>
  <c r="F45" i="32"/>
  <c r="H45" i="32"/>
  <c r="H42" i="32"/>
  <c r="O42" i="32"/>
  <c r="E46" i="32"/>
  <c r="F46" i="32"/>
  <c r="H46" i="32"/>
  <c r="O46" i="32"/>
  <c r="E47" i="32"/>
  <c r="F47" i="32"/>
  <c r="H47" i="32"/>
  <c r="O47" i="32"/>
  <c r="E48" i="32"/>
  <c r="F48" i="32"/>
  <c r="H48" i="32"/>
  <c r="O48" i="32"/>
  <c r="E49" i="32"/>
  <c r="F49" i="32"/>
  <c r="H49" i="32"/>
  <c r="O49" i="32"/>
  <c r="O50" i="32"/>
  <c r="H52" i="32"/>
  <c r="O52" i="32"/>
  <c r="H53" i="32"/>
  <c r="O53" i="32"/>
  <c r="H54" i="32"/>
  <c r="O54" i="32"/>
  <c r="H55" i="32"/>
  <c r="O55" i="32"/>
  <c r="O56" i="32"/>
  <c r="O58" i="32"/>
  <c r="B6" i="40"/>
  <c r="J15" i="32"/>
  <c r="K15" i="32"/>
  <c r="M15" i="32"/>
  <c r="P15" i="32"/>
  <c r="J16" i="32"/>
  <c r="K16" i="32"/>
  <c r="M16" i="32"/>
  <c r="P16" i="32"/>
  <c r="J17" i="32"/>
  <c r="K17" i="32"/>
  <c r="M17" i="32"/>
  <c r="P17" i="32"/>
  <c r="J18" i="32"/>
  <c r="K18" i="32"/>
  <c r="M18" i="32"/>
  <c r="P18" i="32"/>
  <c r="J19" i="32"/>
  <c r="K19" i="32"/>
  <c r="M19" i="32"/>
  <c r="P19" i="32"/>
  <c r="J20" i="32"/>
  <c r="K20" i="32"/>
  <c r="M20" i="32"/>
  <c r="P20" i="32"/>
  <c r="J21" i="32"/>
  <c r="K21" i="32"/>
  <c r="M21" i="32"/>
  <c r="P21" i="32"/>
  <c r="J22" i="32"/>
  <c r="K22" i="32"/>
  <c r="M22" i="32"/>
  <c r="P22" i="32"/>
  <c r="J23" i="32"/>
  <c r="K23" i="32"/>
  <c r="M23" i="32"/>
  <c r="P23" i="32"/>
  <c r="J24" i="32"/>
  <c r="K24" i="32"/>
  <c r="M24" i="32"/>
  <c r="P24" i="32"/>
  <c r="J25" i="32"/>
  <c r="K25" i="32"/>
  <c r="M25" i="32"/>
  <c r="P25" i="32"/>
  <c r="J26" i="32"/>
  <c r="K26" i="32"/>
  <c r="M26" i="32"/>
  <c r="P26" i="32"/>
  <c r="J27" i="32"/>
  <c r="K27" i="32"/>
  <c r="M27" i="32"/>
  <c r="P27" i="32"/>
  <c r="J28" i="32"/>
  <c r="K28" i="32"/>
  <c r="M28" i="32"/>
  <c r="P28" i="32"/>
  <c r="J29" i="32"/>
  <c r="K29" i="32"/>
  <c r="M29" i="32"/>
  <c r="P29" i="32"/>
  <c r="J30" i="32"/>
  <c r="K30" i="32"/>
  <c r="M30" i="32"/>
  <c r="P30" i="32"/>
  <c r="J31" i="32"/>
  <c r="K31" i="32"/>
  <c r="M31" i="32"/>
  <c r="P31" i="32"/>
  <c r="J32" i="32"/>
  <c r="K32" i="32"/>
  <c r="M32" i="32"/>
  <c r="P32" i="32"/>
  <c r="J33" i="32"/>
  <c r="K33" i="32"/>
  <c r="M33" i="32"/>
  <c r="P33" i="32"/>
  <c r="P14" i="32"/>
  <c r="J34" i="32"/>
  <c r="K34" i="32"/>
  <c r="M34" i="32"/>
  <c r="P34" i="32"/>
  <c r="M35" i="32"/>
  <c r="P35" i="32"/>
  <c r="M36" i="32"/>
  <c r="P36" i="32"/>
  <c r="J37" i="32"/>
  <c r="K37" i="32"/>
  <c r="M37" i="32"/>
  <c r="P37" i="32"/>
  <c r="J38" i="32"/>
  <c r="K38" i="32"/>
  <c r="M38" i="32"/>
  <c r="P38" i="32"/>
  <c r="J39" i="32"/>
  <c r="K39" i="32"/>
  <c r="M39" i="32"/>
  <c r="P39" i="32"/>
  <c r="J40" i="32"/>
  <c r="K40" i="32"/>
  <c r="M40" i="32"/>
  <c r="P40" i="32"/>
  <c r="J41" i="32"/>
  <c r="K41" i="32"/>
  <c r="M41" i="32"/>
  <c r="P41" i="32"/>
  <c r="J43" i="32"/>
  <c r="K43" i="32"/>
  <c r="M43" i="32"/>
  <c r="P43" i="32"/>
  <c r="J44" i="32"/>
  <c r="K44" i="32"/>
  <c r="M44" i="32"/>
  <c r="P44" i="32"/>
  <c r="J45" i="32"/>
  <c r="K45" i="32"/>
  <c r="M45" i="32"/>
  <c r="P45" i="32"/>
  <c r="P42" i="32"/>
  <c r="J46" i="32"/>
  <c r="K46" i="32"/>
  <c r="M46" i="32"/>
  <c r="P46" i="32"/>
  <c r="J47" i="32"/>
  <c r="K47" i="32"/>
  <c r="M47" i="32"/>
  <c r="P47" i="32"/>
  <c r="J48" i="32"/>
  <c r="K48" i="32"/>
  <c r="M48" i="32"/>
  <c r="P48" i="32"/>
  <c r="J49" i="32"/>
  <c r="K49" i="32"/>
  <c r="M49" i="32"/>
  <c r="P49" i="32"/>
  <c r="P50" i="32"/>
  <c r="M52" i="32"/>
  <c r="P52" i="32"/>
  <c r="M53" i="32"/>
  <c r="P53" i="32"/>
  <c r="M54" i="32"/>
  <c r="P54" i="32"/>
  <c r="M55" i="32"/>
  <c r="P55" i="32"/>
  <c r="P56" i="32"/>
  <c r="P58" i="32"/>
  <c r="C6" i="40"/>
  <c r="D6" i="40"/>
  <c r="H6" i="40"/>
  <c r="B11" i="40"/>
  <c r="C11" i="40"/>
  <c r="D11" i="40"/>
  <c r="H11" i="40"/>
  <c r="E15" i="37"/>
  <c r="C15" i="37"/>
  <c r="F15" i="37"/>
  <c r="H15" i="37"/>
  <c r="O15" i="37"/>
  <c r="E16" i="37"/>
  <c r="C16" i="37"/>
  <c r="F16" i="37"/>
  <c r="H16" i="37"/>
  <c r="O16" i="37"/>
  <c r="E17" i="37"/>
  <c r="F15" i="1"/>
  <c r="C17" i="37"/>
  <c r="F17" i="37"/>
  <c r="H17" i="37"/>
  <c r="O17" i="37"/>
  <c r="E18" i="37"/>
  <c r="F9" i="1"/>
  <c r="C18" i="37"/>
  <c r="F18" i="37"/>
  <c r="H18" i="37"/>
  <c r="O18" i="37"/>
  <c r="E19" i="37"/>
  <c r="F11" i="1"/>
  <c r="C19" i="37"/>
  <c r="F19" i="37"/>
  <c r="H19" i="37"/>
  <c r="O19" i="37"/>
  <c r="E20" i="37"/>
  <c r="F13" i="1"/>
  <c r="C20" i="37"/>
  <c r="F20" i="37"/>
  <c r="H20" i="37"/>
  <c r="O20" i="37"/>
  <c r="E21" i="37"/>
  <c r="F14" i="1"/>
  <c r="C21" i="37"/>
  <c r="F21" i="37"/>
  <c r="H21" i="37"/>
  <c r="O21" i="37"/>
  <c r="E22" i="37"/>
  <c r="F19" i="1"/>
  <c r="C22" i="37"/>
  <c r="F22" i="37"/>
  <c r="H22" i="37"/>
  <c r="O22" i="37"/>
  <c r="E23" i="37"/>
  <c r="C23" i="37"/>
  <c r="F23" i="37"/>
  <c r="H23" i="37"/>
  <c r="O23" i="37"/>
  <c r="E24" i="37"/>
  <c r="C24" i="37"/>
  <c r="F24" i="37"/>
  <c r="H24" i="37"/>
  <c r="O24" i="37"/>
  <c r="E25" i="37"/>
  <c r="C25" i="37"/>
  <c r="F25" i="37"/>
  <c r="H25" i="37"/>
  <c r="O25" i="37"/>
  <c r="E26" i="37"/>
  <c r="C26" i="37"/>
  <c r="F26" i="37"/>
  <c r="H26" i="37"/>
  <c r="O26" i="37"/>
  <c r="E27" i="37"/>
  <c r="F18" i="1"/>
  <c r="C27" i="37"/>
  <c r="F27" i="37"/>
  <c r="H27" i="37"/>
  <c r="O27" i="37"/>
  <c r="E28" i="37"/>
  <c r="F17" i="1"/>
  <c r="C28" i="37"/>
  <c r="F28" i="37"/>
  <c r="H28" i="37"/>
  <c r="O28" i="37"/>
  <c r="E29" i="37"/>
  <c r="C29" i="37"/>
  <c r="F29" i="37"/>
  <c r="H29" i="37"/>
  <c r="O29" i="37"/>
  <c r="E30" i="37"/>
  <c r="F22" i="1"/>
  <c r="C30" i="37"/>
  <c r="F30" i="37"/>
  <c r="H30" i="37"/>
  <c r="O30" i="37"/>
  <c r="E31" i="37"/>
  <c r="C31" i="37"/>
  <c r="F31" i="37"/>
  <c r="H31" i="37"/>
  <c r="O31" i="37"/>
  <c r="E32" i="37"/>
  <c r="F27" i="1"/>
  <c r="C32" i="37"/>
  <c r="F32" i="37"/>
  <c r="H32" i="37"/>
  <c r="O32" i="37"/>
  <c r="E33" i="37"/>
  <c r="F25" i="1"/>
  <c r="C33" i="37"/>
  <c r="F33" i="37"/>
  <c r="H33" i="37"/>
  <c r="O33" i="37"/>
  <c r="O14" i="37"/>
  <c r="N7" i="28"/>
  <c r="N8" i="28"/>
  <c r="N9" i="28"/>
  <c r="N10" i="28"/>
  <c r="N11" i="28"/>
  <c r="N12" i="28"/>
  <c r="N13" i="28"/>
  <c r="N14" i="28"/>
  <c r="N15" i="28"/>
  <c r="N16" i="28"/>
  <c r="N17" i="28"/>
  <c r="N19" i="28"/>
  <c r="E34" i="37"/>
  <c r="F34" i="37"/>
  <c r="H34" i="37"/>
  <c r="O34" i="37"/>
  <c r="E35" i="37"/>
  <c r="F35" i="37"/>
  <c r="H35" i="37"/>
  <c r="O35" i="37"/>
  <c r="E36" i="37"/>
  <c r="H36" i="37"/>
  <c r="O36" i="37"/>
  <c r="E37" i="37"/>
  <c r="F37" i="37"/>
  <c r="H37" i="37"/>
  <c r="O37" i="37"/>
  <c r="E38" i="37"/>
  <c r="F38" i="37"/>
  <c r="H38" i="37"/>
  <c r="O38" i="37"/>
  <c r="M7" i="10"/>
  <c r="M8" i="10"/>
  <c r="M9" i="10"/>
  <c r="M10" i="10"/>
  <c r="M11" i="10"/>
  <c r="M12" i="10"/>
  <c r="M13" i="10"/>
  <c r="M14" i="10"/>
  <c r="M15" i="10"/>
  <c r="M16" i="10"/>
  <c r="M17" i="10"/>
  <c r="M18" i="10"/>
  <c r="M19" i="10"/>
  <c r="M20" i="10"/>
  <c r="M21" i="10"/>
  <c r="M22" i="10"/>
  <c r="M23" i="10"/>
  <c r="M24" i="10"/>
  <c r="M25" i="10"/>
  <c r="M26" i="10"/>
  <c r="M27" i="10"/>
  <c r="M28" i="10"/>
  <c r="M29" i="10"/>
  <c r="M30" i="10"/>
  <c r="M31" i="10"/>
  <c r="M32" i="10"/>
  <c r="M33" i="10"/>
  <c r="M34" i="10"/>
  <c r="M35" i="10"/>
  <c r="M36" i="10"/>
  <c r="M37" i="10"/>
  <c r="M38" i="10"/>
  <c r="M39" i="10"/>
  <c r="M40" i="10"/>
  <c r="M41" i="10"/>
  <c r="M42" i="10"/>
  <c r="M43" i="10"/>
  <c r="M44" i="10"/>
  <c r="M45" i="10"/>
  <c r="M46" i="10"/>
  <c r="M47" i="10"/>
  <c r="M48" i="10"/>
  <c r="M49" i="10"/>
  <c r="M50" i="10"/>
  <c r="M51" i="10"/>
  <c r="M52" i="10"/>
  <c r="M53" i="10"/>
  <c r="M54" i="10"/>
  <c r="M55" i="10"/>
  <c r="M56" i="10"/>
  <c r="M57" i="10"/>
  <c r="M58" i="10"/>
  <c r="M59" i="10"/>
  <c r="M60" i="10"/>
  <c r="M61" i="10"/>
  <c r="M62" i="10"/>
  <c r="M63" i="10"/>
  <c r="M64" i="10"/>
  <c r="M65" i="10"/>
  <c r="M66" i="10"/>
  <c r="M67" i="10"/>
  <c r="M68" i="10"/>
  <c r="M69" i="10"/>
  <c r="M70" i="10"/>
  <c r="M71" i="10"/>
  <c r="M72" i="10"/>
  <c r="M73" i="10"/>
  <c r="M74" i="10"/>
  <c r="M75" i="10"/>
  <c r="M76" i="10"/>
  <c r="M77" i="10"/>
  <c r="M78" i="10"/>
  <c r="M79" i="10"/>
  <c r="M80" i="10"/>
  <c r="M81" i="10"/>
  <c r="M82" i="10"/>
  <c r="M83" i="10"/>
  <c r="M84" i="10"/>
  <c r="M85" i="10"/>
  <c r="M86" i="10"/>
  <c r="M87" i="10"/>
  <c r="M88" i="10"/>
  <c r="M89" i="10"/>
  <c r="M90" i="10"/>
  <c r="M91" i="10"/>
  <c r="M92" i="10"/>
  <c r="M93" i="10"/>
  <c r="E94" i="10"/>
  <c r="M94" i="10"/>
  <c r="M95" i="10"/>
  <c r="M96" i="10"/>
  <c r="M97" i="10"/>
  <c r="M98" i="10"/>
  <c r="M99" i="10"/>
  <c r="M100" i="10"/>
  <c r="M101" i="10"/>
  <c r="M102" i="10"/>
  <c r="M103" i="10"/>
  <c r="M104" i="10"/>
  <c r="M105" i="10"/>
  <c r="M106" i="10"/>
  <c r="M107" i="10"/>
  <c r="M108" i="10"/>
  <c r="M109" i="10"/>
  <c r="M110" i="10"/>
  <c r="M111" i="10"/>
  <c r="M113" i="10"/>
  <c r="E39" i="37"/>
  <c r="F39" i="37"/>
  <c r="H39" i="37"/>
  <c r="O39" i="37"/>
  <c r="D7" i="20"/>
  <c r="M7" i="20"/>
  <c r="D8" i="20"/>
  <c r="M8" i="20"/>
  <c r="D9" i="20"/>
  <c r="M9" i="20"/>
  <c r="D10" i="20"/>
  <c r="M10" i="20"/>
  <c r="M11" i="20"/>
  <c r="M12" i="20"/>
  <c r="E40" i="37"/>
  <c r="F40" i="37"/>
  <c r="H40" i="37"/>
  <c r="O40" i="37"/>
  <c r="D7" i="24"/>
  <c r="M7" i="24"/>
  <c r="D8" i="24"/>
  <c r="M8" i="24"/>
  <c r="D9" i="24"/>
  <c r="M9" i="24"/>
  <c r="D10" i="24"/>
  <c r="M10" i="24"/>
  <c r="D11" i="24"/>
  <c r="M11" i="24"/>
  <c r="D12" i="24"/>
  <c r="M12" i="24"/>
  <c r="C13" i="24"/>
  <c r="D13" i="24"/>
  <c r="M13" i="24"/>
  <c r="D14" i="24"/>
  <c r="M14" i="24"/>
  <c r="C15" i="24"/>
  <c r="D15" i="24"/>
  <c r="M15" i="24"/>
  <c r="D16" i="24"/>
  <c r="M16" i="24"/>
  <c r="D17" i="24"/>
  <c r="M17" i="24"/>
  <c r="D18" i="24"/>
  <c r="M18" i="24"/>
  <c r="D19" i="24"/>
  <c r="M19" i="24"/>
  <c r="D20" i="24"/>
  <c r="M20" i="24"/>
  <c r="D21" i="24"/>
  <c r="M21" i="24"/>
  <c r="D22" i="24"/>
  <c r="M22" i="24"/>
  <c r="C23" i="24"/>
  <c r="D23" i="24"/>
  <c r="M23" i="24"/>
  <c r="D24" i="24"/>
  <c r="M24" i="24"/>
  <c r="D25" i="24"/>
  <c r="M25" i="24"/>
  <c r="D26" i="24"/>
  <c r="M26" i="24"/>
  <c r="D27" i="24"/>
  <c r="M27" i="24"/>
  <c r="D28" i="24"/>
  <c r="M28" i="24"/>
  <c r="C29" i="24"/>
  <c r="D29" i="24"/>
  <c r="M29" i="24"/>
  <c r="D30" i="24"/>
  <c r="M30" i="24"/>
  <c r="D31" i="24"/>
  <c r="M31" i="24"/>
  <c r="C32" i="24"/>
  <c r="D32" i="24"/>
  <c r="M32" i="24"/>
  <c r="D33" i="24"/>
  <c r="M33" i="24"/>
  <c r="M35" i="24"/>
  <c r="E41" i="37"/>
  <c r="F41" i="37"/>
  <c r="H41" i="37"/>
  <c r="O41" i="37"/>
  <c r="M7" i="19"/>
  <c r="M8" i="19"/>
  <c r="M9" i="19"/>
  <c r="M10" i="19"/>
  <c r="M11" i="19"/>
  <c r="M12" i="19"/>
  <c r="M13" i="19"/>
  <c r="M14" i="19"/>
  <c r="M15" i="19"/>
  <c r="M16" i="19"/>
  <c r="M17" i="19"/>
  <c r="M18" i="19"/>
  <c r="M19" i="19"/>
  <c r="M20" i="19"/>
  <c r="M21" i="19"/>
  <c r="M22" i="19"/>
  <c r="M23" i="19"/>
  <c r="M24" i="19"/>
  <c r="M25" i="19"/>
  <c r="M26" i="19"/>
  <c r="M27" i="19"/>
  <c r="M28" i="19"/>
  <c r="M29" i="19"/>
  <c r="M30" i="19"/>
  <c r="M31" i="19"/>
  <c r="M32" i="19"/>
  <c r="M33" i="19"/>
  <c r="M34" i="19"/>
  <c r="M35" i="19"/>
  <c r="M36" i="19"/>
  <c r="M37" i="19"/>
  <c r="M38" i="19"/>
  <c r="M39" i="19"/>
  <c r="M40" i="19"/>
  <c r="M41" i="19"/>
  <c r="M43" i="19"/>
  <c r="E43" i="37"/>
  <c r="F43" i="37"/>
  <c r="H43" i="37"/>
  <c r="M8" i="21"/>
  <c r="M9" i="21"/>
  <c r="M10" i="21"/>
  <c r="M11" i="21"/>
  <c r="M12" i="21"/>
  <c r="M13" i="21"/>
  <c r="M14" i="21"/>
  <c r="M15" i="21"/>
  <c r="M16" i="21"/>
  <c r="M17" i="21"/>
  <c r="M18" i="21"/>
  <c r="M19" i="21"/>
  <c r="M20" i="21"/>
  <c r="M21" i="21"/>
  <c r="M22" i="21"/>
  <c r="M23" i="21"/>
  <c r="M24" i="21"/>
  <c r="M25" i="21"/>
  <c r="M26" i="21"/>
  <c r="M27" i="21"/>
  <c r="M28" i="21"/>
  <c r="M29" i="21"/>
  <c r="M32" i="21"/>
  <c r="E44" i="37"/>
  <c r="F44" i="37"/>
  <c r="H44" i="37"/>
  <c r="N8" i="22"/>
  <c r="N9" i="22"/>
  <c r="N10" i="22"/>
  <c r="N11" i="22"/>
  <c r="N12" i="22"/>
  <c r="N13" i="22"/>
  <c r="N14" i="22"/>
  <c r="N15" i="22"/>
  <c r="N16" i="22"/>
  <c r="N17" i="22"/>
  <c r="N18" i="22"/>
  <c r="N19" i="22"/>
  <c r="N20" i="22"/>
  <c r="N21" i="22"/>
  <c r="N22" i="22"/>
  <c r="N23" i="22"/>
  <c r="N24" i="22"/>
  <c r="N25" i="22"/>
  <c r="N26" i="22"/>
  <c r="N27" i="22"/>
  <c r="N28" i="22"/>
  <c r="N29" i="22"/>
  <c r="N30" i="22"/>
  <c r="N31" i="22"/>
  <c r="N32" i="22"/>
  <c r="N33" i="22"/>
  <c r="N34" i="22"/>
  <c r="N35" i="22"/>
  <c r="N36" i="22"/>
  <c r="N37" i="22"/>
  <c r="N38" i="22"/>
  <c r="N39" i="22"/>
  <c r="N40" i="22"/>
  <c r="N41" i="22"/>
  <c r="N42" i="22"/>
  <c r="N43" i="22"/>
  <c r="N44" i="22"/>
  <c r="N45" i="22"/>
  <c r="N46" i="22"/>
  <c r="N47" i="22"/>
  <c r="N53" i="22"/>
  <c r="N54" i="22"/>
  <c r="N55" i="22"/>
  <c r="N56" i="22"/>
  <c r="N57" i="22"/>
  <c r="N58" i="22"/>
  <c r="N59" i="22"/>
  <c r="N60" i="22"/>
  <c r="N61" i="22"/>
  <c r="N64" i="22"/>
  <c r="E45" i="37"/>
  <c r="F45" i="37"/>
  <c r="H45" i="37"/>
  <c r="H42" i="37"/>
  <c r="O42" i="37"/>
  <c r="M8" i="15"/>
  <c r="M9" i="15"/>
  <c r="M10" i="15"/>
  <c r="M11" i="15"/>
  <c r="M12" i="15"/>
  <c r="M13" i="15"/>
  <c r="M14" i="15"/>
  <c r="M15" i="15"/>
  <c r="M16" i="15"/>
  <c r="M17" i="15"/>
  <c r="M18" i="15"/>
  <c r="M19" i="15"/>
  <c r="M20" i="15"/>
  <c r="E46" i="37"/>
  <c r="F46" i="37"/>
  <c r="H46" i="37"/>
  <c r="O46" i="37"/>
  <c r="E47" i="37"/>
  <c r="F47" i="37"/>
  <c r="H47" i="37"/>
  <c r="O47" i="37"/>
  <c r="E48" i="37"/>
  <c r="F48" i="37"/>
  <c r="H48" i="37"/>
  <c r="O48" i="37"/>
  <c r="E49" i="37"/>
  <c r="F49" i="37"/>
  <c r="H49" i="37"/>
  <c r="O49" i="37"/>
  <c r="O50" i="37"/>
  <c r="E21" i="25"/>
  <c r="F21" i="25"/>
  <c r="E52" i="37"/>
  <c r="H52" i="37"/>
  <c r="O52" i="37"/>
  <c r="D7" i="23"/>
  <c r="F7" i="23"/>
  <c r="N7" i="23"/>
  <c r="D8" i="23"/>
  <c r="F8" i="23"/>
  <c r="N8" i="23"/>
  <c r="D9" i="23"/>
  <c r="F9" i="23"/>
  <c r="N9" i="23"/>
  <c r="D10" i="23"/>
  <c r="F10" i="23"/>
  <c r="N10" i="23"/>
  <c r="D11" i="23"/>
  <c r="F11" i="23"/>
  <c r="N11" i="23"/>
  <c r="D12" i="23"/>
  <c r="F12" i="23"/>
  <c r="N12" i="23"/>
  <c r="D13" i="23"/>
  <c r="F13" i="23"/>
  <c r="N13" i="23"/>
  <c r="D14" i="23"/>
  <c r="F14" i="23"/>
  <c r="N14" i="23"/>
  <c r="F15" i="23"/>
  <c r="N15" i="23"/>
  <c r="D16" i="23"/>
  <c r="F16" i="23"/>
  <c r="N16" i="23"/>
  <c r="D17" i="23"/>
  <c r="F17" i="23"/>
  <c r="N17" i="23"/>
  <c r="D18" i="23"/>
  <c r="F18" i="23"/>
  <c r="N18" i="23"/>
  <c r="D19" i="23"/>
  <c r="F19" i="23"/>
  <c r="N19" i="23"/>
  <c r="D20" i="23"/>
  <c r="F20" i="23"/>
  <c r="N20" i="23"/>
  <c r="D21" i="23"/>
  <c r="F21" i="23"/>
  <c r="N21" i="23"/>
  <c r="D22" i="23"/>
  <c r="F22" i="23"/>
  <c r="N22" i="23"/>
  <c r="F23" i="23"/>
  <c r="N23" i="23"/>
  <c r="D24" i="23"/>
  <c r="F24" i="23"/>
  <c r="N24" i="23"/>
  <c r="D25" i="23"/>
  <c r="F25" i="23"/>
  <c r="N25" i="23"/>
  <c r="N29" i="23"/>
  <c r="N30" i="23"/>
  <c r="E53" i="37"/>
  <c r="H53" i="37"/>
  <c r="O53" i="37"/>
  <c r="N7" i="14"/>
  <c r="N8" i="14"/>
  <c r="N9" i="14"/>
  <c r="N10" i="14"/>
  <c r="N11" i="14"/>
  <c r="N12" i="14"/>
  <c r="N13" i="14"/>
  <c r="N14" i="14"/>
  <c r="N15" i="14"/>
  <c r="N16" i="14"/>
  <c r="N17" i="14"/>
  <c r="N18" i="14"/>
  <c r="N19" i="14"/>
  <c r="N20" i="14"/>
  <c r="N21" i="14"/>
  <c r="N22" i="14"/>
  <c r="N23" i="14"/>
  <c r="N25" i="14"/>
  <c r="N26" i="14"/>
  <c r="E54" i="37"/>
  <c r="H54" i="37"/>
  <c r="O54" i="37"/>
  <c r="I132" i="26"/>
  <c r="I133" i="26"/>
  <c r="I134" i="26" s="1"/>
  <c r="I135" i="26" s="1"/>
  <c r="E55" i="37"/>
  <c r="H55" i="37"/>
  <c r="O55" i="37"/>
  <c r="O56" i="37"/>
  <c r="O58" i="37"/>
  <c r="B16" i="40"/>
  <c r="J15" i="37"/>
  <c r="K15" i="37"/>
  <c r="M15" i="37"/>
  <c r="J16" i="37"/>
  <c r="K16" i="37"/>
  <c r="M16" i="37"/>
  <c r="J17" i="37"/>
  <c r="K17" i="37"/>
  <c r="M17" i="37"/>
  <c r="J18" i="37"/>
  <c r="K18" i="37"/>
  <c r="M18" i="37"/>
  <c r="J19" i="37"/>
  <c r="K19" i="37"/>
  <c r="M19" i="37"/>
  <c r="J20" i="37"/>
  <c r="K20" i="37"/>
  <c r="M20" i="37"/>
  <c r="J21" i="37"/>
  <c r="K21" i="37"/>
  <c r="M21" i="37"/>
  <c r="J22" i="37"/>
  <c r="K22" i="37"/>
  <c r="M22" i="37"/>
  <c r="J23" i="37"/>
  <c r="K23" i="37"/>
  <c r="M23" i="37"/>
  <c r="J24" i="37"/>
  <c r="K24" i="37"/>
  <c r="M24" i="37"/>
  <c r="J25" i="37"/>
  <c r="K25" i="37"/>
  <c r="M25" i="37"/>
  <c r="J26" i="37"/>
  <c r="K26" i="37"/>
  <c r="M26" i="37"/>
  <c r="J27" i="37"/>
  <c r="K27" i="37"/>
  <c r="M27" i="37"/>
  <c r="J28" i="37"/>
  <c r="K28" i="37"/>
  <c r="M28" i="37"/>
  <c r="J29" i="37"/>
  <c r="K29" i="37"/>
  <c r="M29" i="37"/>
  <c r="J30" i="37"/>
  <c r="K30" i="37"/>
  <c r="M30" i="37"/>
  <c r="J31" i="37"/>
  <c r="K31" i="37"/>
  <c r="M31" i="37"/>
  <c r="J32" i="37"/>
  <c r="K32" i="37"/>
  <c r="M32" i="37"/>
  <c r="J33" i="37"/>
  <c r="K33" i="37"/>
  <c r="M33" i="37"/>
  <c r="M14" i="37"/>
  <c r="P14" i="37"/>
  <c r="J34" i="37"/>
  <c r="K34" i="37"/>
  <c r="M34" i="37"/>
  <c r="P34" i="37"/>
  <c r="J35" i="37"/>
  <c r="M35" i="37"/>
  <c r="P35" i="37"/>
  <c r="J36" i="37"/>
  <c r="K36" i="37" s="1"/>
  <c r="M36" i="37"/>
  <c r="P36" i="37"/>
  <c r="J37" i="37"/>
  <c r="K37" i="37"/>
  <c r="M37" i="37"/>
  <c r="P37" i="37"/>
  <c r="J38" i="37"/>
  <c r="K38" i="37"/>
  <c r="M38" i="37"/>
  <c r="P38" i="37"/>
  <c r="J39" i="37"/>
  <c r="K39" i="37"/>
  <c r="M39" i="37"/>
  <c r="P39" i="37"/>
  <c r="J40" i="37"/>
  <c r="K40" i="37"/>
  <c r="M40" i="37"/>
  <c r="P40" i="37"/>
  <c r="J41" i="37"/>
  <c r="K41" i="37"/>
  <c r="M41" i="37"/>
  <c r="P41" i="37"/>
  <c r="J43" i="37"/>
  <c r="K43" i="37"/>
  <c r="M43" i="37"/>
  <c r="J44" i="37"/>
  <c r="K44" i="37"/>
  <c r="M44" i="37"/>
  <c r="J45" i="37"/>
  <c r="K45" i="37"/>
  <c r="M45" i="37"/>
  <c r="M42" i="37"/>
  <c r="P42" i="37"/>
  <c r="J46" i="37"/>
  <c r="K46" i="37"/>
  <c r="M46" i="37"/>
  <c r="P46" i="37"/>
  <c r="J47" i="37"/>
  <c r="K47" i="37"/>
  <c r="M47" i="37"/>
  <c r="P47" i="37"/>
  <c r="J48" i="37"/>
  <c r="K48" i="37"/>
  <c r="M48" i="37"/>
  <c r="P48" i="37"/>
  <c r="J49" i="37"/>
  <c r="K49" i="37"/>
  <c r="M49" i="37"/>
  <c r="P49" i="37"/>
  <c r="P50" i="37"/>
  <c r="J52" i="37"/>
  <c r="M52" i="37"/>
  <c r="P52" i="37"/>
  <c r="J53" i="37"/>
  <c r="M53" i="37"/>
  <c r="P53" i="37"/>
  <c r="J54" i="37"/>
  <c r="M54" i="37"/>
  <c r="P54" i="37"/>
  <c r="J55" i="37"/>
  <c r="M55" i="37"/>
  <c r="P55" i="37"/>
  <c r="P56" i="37"/>
  <c r="P58" i="37"/>
  <c r="C16" i="40"/>
  <c r="D16" i="40"/>
  <c r="H16" i="40"/>
  <c r="H22" i="40"/>
  <c r="V345" i="33"/>
  <c r="W345" i="33"/>
  <c r="I15" i="19"/>
  <c r="L15" i="19"/>
  <c r="K15" i="19"/>
  <c r="P15" i="17"/>
  <c r="Q15" i="17"/>
  <c r="P16" i="17"/>
  <c r="Q16" i="17"/>
  <c r="E14" i="37"/>
  <c r="E14" i="32"/>
  <c r="J9" i="25"/>
  <c r="K9" i="25"/>
  <c r="J8" i="25"/>
  <c r="K8" i="25"/>
  <c r="J7" i="25"/>
  <c r="K7" i="25"/>
  <c r="J6" i="25"/>
  <c r="K6" i="25"/>
  <c r="J15" i="6"/>
  <c r="K15" i="6"/>
  <c r="L15" i="6"/>
  <c r="J10" i="6"/>
  <c r="K10" i="6"/>
  <c r="L10" i="6"/>
  <c r="J8" i="6"/>
  <c r="K8" i="6"/>
  <c r="L8" i="6"/>
  <c r="F15" i="6"/>
  <c r="G15" i="6"/>
  <c r="H15" i="6"/>
  <c r="F10" i="6"/>
  <c r="G10" i="6"/>
  <c r="H10" i="6"/>
  <c r="F8" i="6"/>
  <c r="G8" i="6"/>
  <c r="H8" i="6"/>
  <c r="I29" i="6"/>
  <c r="J29" i="6"/>
  <c r="K29" i="6"/>
  <c r="L29" i="6"/>
  <c r="I28" i="6"/>
  <c r="J28" i="6"/>
  <c r="K28" i="6"/>
  <c r="L28" i="6"/>
  <c r="I26" i="6"/>
  <c r="J26" i="6"/>
  <c r="K26" i="6"/>
  <c r="L26" i="6"/>
  <c r="I25" i="6"/>
  <c r="J25" i="6"/>
  <c r="K25" i="6"/>
  <c r="L25" i="6"/>
  <c r="I24" i="6"/>
  <c r="J24" i="6"/>
  <c r="K24" i="6"/>
  <c r="L24" i="6"/>
  <c r="I23" i="6"/>
  <c r="J23" i="6"/>
  <c r="K23" i="6"/>
  <c r="L23" i="6"/>
  <c r="I17" i="6"/>
  <c r="J17" i="6"/>
  <c r="K17" i="6"/>
  <c r="L17" i="6"/>
  <c r="I13" i="6"/>
  <c r="J13" i="6"/>
  <c r="K13" i="6"/>
  <c r="L13" i="6"/>
  <c r="I11" i="6"/>
  <c r="J11" i="6"/>
  <c r="K11" i="6"/>
  <c r="L11" i="6"/>
  <c r="I9" i="6"/>
  <c r="J9" i="6"/>
  <c r="K9" i="6"/>
  <c r="L9" i="6"/>
  <c r="I7" i="6"/>
  <c r="E29" i="6"/>
  <c r="F29" i="6"/>
  <c r="G29" i="6"/>
  <c r="H29" i="6"/>
  <c r="E28" i="6"/>
  <c r="F28" i="6"/>
  <c r="G28" i="6"/>
  <c r="H28" i="6"/>
  <c r="E26" i="6"/>
  <c r="F26" i="6"/>
  <c r="G26" i="6"/>
  <c r="H26" i="6"/>
  <c r="E25" i="6"/>
  <c r="F25" i="6"/>
  <c r="G25" i="6"/>
  <c r="H25" i="6"/>
  <c r="E24" i="6"/>
  <c r="F24" i="6"/>
  <c r="G24" i="6"/>
  <c r="H24" i="6"/>
  <c r="E23" i="6"/>
  <c r="F23" i="6"/>
  <c r="G23" i="6"/>
  <c r="H23" i="6"/>
  <c r="E17" i="6"/>
  <c r="F17" i="6"/>
  <c r="G17" i="6"/>
  <c r="H17" i="6"/>
  <c r="E13" i="6"/>
  <c r="F13" i="6"/>
  <c r="G13" i="6"/>
  <c r="H13" i="6"/>
  <c r="E11" i="6"/>
  <c r="F11" i="6"/>
  <c r="G11" i="6"/>
  <c r="H11" i="6"/>
  <c r="E9" i="6"/>
  <c r="F9" i="6"/>
  <c r="G9" i="6"/>
  <c r="H9" i="6"/>
  <c r="E7" i="6"/>
  <c r="J7" i="6"/>
  <c r="K7" i="6"/>
  <c r="L7" i="6"/>
  <c r="F7" i="6"/>
  <c r="P31" i="37"/>
  <c r="Q31" i="37"/>
  <c r="P23" i="37"/>
  <c r="Q23" i="37"/>
  <c r="P25" i="37"/>
  <c r="Q25" i="37"/>
  <c r="J14" i="37"/>
  <c r="Q37" i="37"/>
  <c r="Q49" i="37"/>
  <c r="Q48" i="37"/>
  <c r="P29" i="37"/>
  <c r="Q29" i="37"/>
  <c r="P26" i="37"/>
  <c r="Q26" i="37"/>
  <c r="P24" i="37"/>
  <c r="Q24" i="37"/>
  <c r="P16" i="37"/>
  <c r="Q16" i="37"/>
  <c r="G7" i="6"/>
  <c r="H7" i="6"/>
  <c r="Q16" i="32"/>
  <c r="P15" i="37"/>
  <c r="Q15" i="37"/>
  <c r="Q48" i="32"/>
  <c r="Q37" i="32"/>
  <c r="Q15" i="32"/>
  <c r="J14" i="32"/>
  <c r="Q8" i="17"/>
  <c r="P8" i="17"/>
  <c r="Q7" i="17"/>
  <c r="P7" i="17"/>
  <c r="Q24" i="32"/>
  <c r="Q49" i="32"/>
  <c r="Q23" i="32"/>
  <c r="Q31" i="32"/>
  <c r="F36" i="37"/>
  <c r="Q25" i="32"/>
  <c r="Q26" i="32"/>
  <c r="Q29" i="32"/>
  <c r="Q36" i="37"/>
  <c r="Q35" i="37"/>
  <c r="K35" i="37"/>
  <c r="Q35" i="32"/>
  <c r="Q36" i="32"/>
  <c r="E11" i="20"/>
  <c r="I11" i="20"/>
  <c r="L11" i="20"/>
  <c r="K11" i="20"/>
  <c r="J7" i="4"/>
  <c r="I7" i="4"/>
  <c r="P52" i="22"/>
  <c r="P7" i="22"/>
  <c r="G124" i="26"/>
  <c r="F124" i="26"/>
  <c r="G123" i="26"/>
  <c r="F123" i="26"/>
  <c r="G122" i="26"/>
  <c r="F122" i="26"/>
  <c r="G121" i="26"/>
  <c r="F121" i="26"/>
  <c r="G120" i="26"/>
  <c r="F120" i="26"/>
  <c r="G119" i="26"/>
  <c r="F119" i="26"/>
  <c r="G118" i="26"/>
  <c r="F118" i="26"/>
  <c r="G117" i="26"/>
  <c r="F117" i="26"/>
  <c r="G116" i="26"/>
  <c r="F116" i="26"/>
  <c r="G115" i="26"/>
  <c r="F115" i="26"/>
  <c r="G114" i="26"/>
  <c r="F114" i="26"/>
  <c r="G113" i="26"/>
  <c r="F113" i="26"/>
  <c r="G112" i="26"/>
  <c r="F112" i="26"/>
  <c r="G111" i="26"/>
  <c r="F111" i="26"/>
  <c r="G110" i="26"/>
  <c r="F110" i="26"/>
  <c r="G109" i="26"/>
  <c r="F109" i="26"/>
  <c r="G108" i="26"/>
  <c r="F108" i="26"/>
  <c r="G107" i="26"/>
  <c r="F107" i="26"/>
  <c r="G106" i="26"/>
  <c r="F106" i="26"/>
  <c r="G105" i="26"/>
  <c r="F105" i="26"/>
  <c r="G104" i="26"/>
  <c r="F104" i="26"/>
  <c r="G103" i="26"/>
  <c r="F103" i="26"/>
  <c r="G102" i="26"/>
  <c r="F102" i="26"/>
  <c r="G101" i="26"/>
  <c r="F101" i="26"/>
  <c r="G100" i="26"/>
  <c r="F100" i="26"/>
  <c r="G99" i="26"/>
  <c r="F99" i="26"/>
  <c r="G98" i="26"/>
  <c r="F98" i="26"/>
  <c r="G97" i="26"/>
  <c r="F97" i="26"/>
  <c r="G96" i="26"/>
  <c r="F96" i="26"/>
  <c r="G95" i="26"/>
  <c r="F95" i="26"/>
  <c r="G94" i="26"/>
  <c r="F94" i="26"/>
  <c r="G93" i="26"/>
  <c r="F93" i="26"/>
  <c r="G92" i="26"/>
  <c r="F92" i="26"/>
  <c r="G91" i="26"/>
  <c r="F91" i="26"/>
  <c r="G90" i="26"/>
  <c r="F90" i="26"/>
  <c r="G89" i="26"/>
  <c r="F89" i="26"/>
  <c r="G88" i="26"/>
  <c r="F88" i="26"/>
  <c r="G87" i="26"/>
  <c r="F87" i="26"/>
  <c r="G86" i="26"/>
  <c r="F86" i="26"/>
  <c r="G85" i="26"/>
  <c r="F85" i="26"/>
  <c r="G84" i="26"/>
  <c r="F84" i="26"/>
  <c r="G83" i="26"/>
  <c r="F83" i="26"/>
  <c r="G82" i="26"/>
  <c r="F82" i="26"/>
  <c r="G81" i="26"/>
  <c r="F81" i="26"/>
  <c r="G80" i="26"/>
  <c r="F80" i="26"/>
  <c r="G79" i="26"/>
  <c r="F79" i="26"/>
  <c r="G78" i="26"/>
  <c r="F78" i="26"/>
  <c r="G77" i="26"/>
  <c r="F77" i="26"/>
  <c r="G76" i="26"/>
  <c r="F76" i="26"/>
  <c r="G75" i="26"/>
  <c r="F75" i="26"/>
  <c r="G74" i="26"/>
  <c r="F74" i="26"/>
  <c r="G73" i="26"/>
  <c r="F73" i="26"/>
  <c r="G72" i="26"/>
  <c r="F72" i="26"/>
  <c r="G71" i="26"/>
  <c r="F71" i="26"/>
  <c r="G70" i="26"/>
  <c r="F70" i="26"/>
  <c r="G69" i="26"/>
  <c r="F69" i="26"/>
  <c r="G68" i="26"/>
  <c r="F68" i="26"/>
  <c r="G67" i="26"/>
  <c r="F67" i="26"/>
  <c r="G66" i="26"/>
  <c r="F66" i="26"/>
  <c r="G65" i="26"/>
  <c r="F65" i="26"/>
  <c r="G64" i="26"/>
  <c r="F64" i="26"/>
  <c r="G63" i="26"/>
  <c r="F63" i="26"/>
  <c r="G62" i="26"/>
  <c r="F62" i="26"/>
  <c r="G61" i="26"/>
  <c r="F61" i="26"/>
  <c r="G60" i="26"/>
  <c r="F60" i="26"/>
  <c r="G59" i="26"/>
  <c r="F59" i="26"/>
  <c r="G58" i="26"/>
  <c r="F58" i="26"/>
  <c r="G57" i="26"/>
  <c r="F57" i="26"/>
  <c r="G56" i="26"/>
  <c r="F56" i="26"/>
  <c r="G55" i="26"/>
  <c r="F55" i="26"/>
  <c r="G54" i="26"/>
  <c r="F54" i="26"/>
  <c r="G53" i="26"/>
  <c r="F53" i="26"/>
  <c r="G52" i="26"/>
  <c r="F52" i="26"/>
  <c r="G51" i="26"/>
  <c r="F51" i="26"/>
  <c r="G50" i="26"/>
  <c r="F50" i="26"/>
  <c r="G49" i="26"/>
  <c r="F49" i="26"/>
  <c r="G48" i="26"/>
  <c r="F48" i="26"/>
  <c r="G47" i="26"/>
  <c r="F47" i="26"/>
  <c r="G46" i="26"/>
  <c r="F46" i="26"/>
  <c r="G45" i="26"/>
  <c r="F45" i="26"/>
  <c r="G44" i="26"/>
  <c r="F44" i="26"/>
  <c r="G43" i="26"/>
  <c r="F43" i="26"/>
  <c r="G42" i="26"/>
  <c r="F42" i="26"/>
  <c r="G41" i="26"/>
  <c r="F41" i="26"/>
  <c r="G40" i="26"/>
  <c r="F40" i="26"/>
  <c r="G39" i="26"/>
  <c r="F39" i="26"/>
  <c r="G38" i="26"/>
  <c r="F38" i="26"/>
  <c r="G37" i="26"/>
  <c r="F37" i="26"/>
  <c r="G36" i="26"/>
  <c r="F36" i="26"/>
  <c r="G35" i="26"/>
  <c r="F35" i="26"/>
  <c r="G34" i="26"/>
  <c r="F34" i="26"/>
  <c r="G33" i="26"/>
  <c r="F33" i="26"/>
  <c r="G32" i="26"/>
  <c r="F32" i="26"/>
  <c r="G31" i="26"/>
  <c r="F31" i="26"/>
  <c r="G30" i="26"/>
  <c r="F30" i="26"/>
  <c r="G29" i="26"/>
  <c r="F29" i="26"/>
  <c r="G28" i="26"/>
  <c r="F28" i="26"/>
  <c r="G27" i="26"/>
  <c r="F27" i="26"/>
  <c r="G26" i="26"/>
  <c r="F26" i="26"/>
  <c r="G25" i="26"/>
  <c r="F25" i="26"/>
  <c r="G24" i="26"/>
  <c r="F24" i="26"/>
  <c r="G23" i="26"/>
  <c r="F23" i="26"/>
  <c r="G22" i="26"/>
  <c r="F22" i="26"/>
  <c r="G21" i="26"/>
  <c r="F21" i="26"/>
  <c r="G20" i="26"/>
  <c r="F20" i="26"/>
  <c r="G19" i="26"/>
  <c r="F19" i="26"/>
  <c r="G18" i="26"/>
  <c r="F18" i="26"/>
  <c r="G17" i="26"/>
  <c r="F17" i="26"/>
  <c r="G16" i="26"/>
  <c r="F16" i="26"/>
  <c r="G15" i="26"/>
  <c r="F15" i="26"/>
  <c r="G14" i="26"/>
  <c r="F14" i="26"/>
  <c r="G13" i="26"/>
  <c r="F13" i="26"/>
  <c r="G12" i="26"/>
  <c r="F12" i="26"/>
  <c r="G11" i="26"/>
  <c r="F11" i="26"/>
  <c r="G10" i="26"/>
  <c r="F10" i="26"/>
  <c r="G9" i="26"/>
  <c r="F9" i="26"/>
  <c r="G8" i="26"/>
  <c r="F8" i="26"/>
  <c r="G7" i="26"/>
  <c r="F7" i="26"/>
  <c r="G6" i="26"/>
  <c r="F6" i="26"/>
  <c r="G5" i="26"/>
  <c r="F5" i="26"/>
  <c r="G4" i="26"/>
  <c r="F4" i="26"/>
  <c r="J8" i="18"/>
  <c r="J7" i="18"/>
  <c r="I10" i="20"/>
  <c r="I9" i="20"/>
  <c r="I8" i="20"/>
  <c r="I7" i="20"/>
  <c r="L14" i="18"/>
  <c r="L15" i="18"/>
  <c r="L11" i="18"/>
  <c r="L12" i="18"/>
  <c r="M12" i="4"/>
  <c r="M13" i="4"/>
  <c r="M9" i="4"/>
  <c r="M10" i="4"/>
  <c r="T62" i="33"/>
  <c r="S62" i="33"/>
  <c r="R62" i="33"/>
  <c r="Q62" i="33"/>
  <c r="P62" i="33"/>
  <c r="O62" i="33"/>
  <c r="N62" i="33"/>
  <c r="M62" i="33"/>
  <c r="L62" i="33"/>
  <c r="K62" i="33"/>
  <c r="J62" i="33"/>
  <c r="I62" i="33"/>
  <c r="H62" i="33"/>
  <c r="L7" i="20"/>
  <c r="K7" i="20"/>
  <c r="L8" i="20"/>
  <c r="K8" i="20"/>
  <c r="L9" i="20"/>
  <c r="K9" i="20"/>
  <c r="L10" i="20"/>
  <c r="K10" i="20"/>
  <c r="Q47" i="37"/>
  <c r="Q38" i="37"/>
  <c r="V62" i="33"/>
  <c r="W62" i="33"/>
  <c r="I41" i="19"/>
  <c r="I129" i="26"/>
  <c r="N13" i="20"/>
  <c r="N14" i="20"/>
  <c r="M13" i="20"/>
  <c r="M14" i="20"/>
  <c r="E12" i="6"/>
  <c r="I12" i="6"/>
  <c r="E14" i="6"/>
  <c r="F14" i="6"/>
  <c r="G14" i="6"/>
  <c r="H14" i="6"/>
  <c r="I14" i="6"/>
  <c r="J14" i="6"/>
  <c r="K14" i="6"/>
  <c r="L14" i="6"/>
  <c r="E16" i="6"/>
  <c r="F16" i="6"/>
  <c r="G16" i="6"/>
  <c r="H16" i="6"/>
  <c r="I16" i="6"/>
  <c r="J16" i="6"/>
  <c r="K16" i="6"/>
  <c r="L16" i="6"/>
  <c r="E18" i="6"/>
  <c r="F18" i="6"/>
  <c r="G18" i="6"/>
  <c r="H18" i="6"/>
  <c r="I18" i="6"/>
  <c r="J18" i="6"/>
  <c r="K18" i="6"/>
  <c r="L18" i="6"/>
  <c r="E21" i="6"/>
  <c r="F21" i="6"/>
  <c r="G21" i="6"/>
  <c r="H21" i="6"/>
  <c r="I21" i="6"/>
  <c r="J21" i="6"/>
  <c r="K21" i="6"/>
  <c r="L21" i="6"/>
  <c r="E19" i="6"/>
  <c r="F19" i="6"/>
  <c r="G19" i="6"/>
  <c r="H19" i="6"/>
  <c r="I19" i="6"/>
  <c r="J19" i="6"/>
  <c r="K19" i="6"/>
  <c r="L19" i="6"/>
  <c r="E20" i="6"/>
  <c r="F20" i="6"/>
  <c r="G20" i="6"/>
  <c r="H20" i="6"/>
  <c r="I20" i="6"/>
  <c r="J20" i="6"/>
  <c r="K20" i="6"/>
  <c r="L20" i="6"/>
  <c r="E22" i="6"/>
  <c r="F22" i="6"/>
  <c r="G22" i="6"/>
  <c r="H22" i="6"/>
  <c r="I22" i="6"/>
  <c r="J22" i="6"/>
  <c r="K22" i="6"/>
  <c r="L22" i="6"/>
  <c r="E27" i="6"/>
  <c r="F27" i="6"/>
  <c r="G27" i="6"/>
  <c r="H27" i="6"/>
  <c r="I27" i="6"/>
  <c r="J27" i="6"/>
  <c r="K27" i="6"/>
  <c r="L27" i="6"/>
  <c r="E30" i="6"/>
  <c r="F30" i="6"/>
  <c r="G30" i="6"/>
  <c r="H30" i="6"/>
  <c r="I30" i="6"/>
  <c r="J30" i="6"/>
  <c r="K30" i="6"/>
  <c r="L30" i="6"/>
  <c r="E31" i="6"/>
  <c r="F31" i="6"/>
  <c r="G31" i="6"/>
  <c r="H31" i="6"/>
  <c r="I31" i="6"/>
  <c r="J31" i="6"/>
  <c r="K31" i="6"/>
  <c r="L31" i="6"/>
  <c r="F55" i="37"/>
  <c r="Q40" i="37"/>
  <c r="F28" i="1"/>
  <c r="G28" i="1"/>
  <c r="P32" i="37"/>
  <c r="Q32" i="37"/>
  <c r="P33" i="37"/>
  <c r="Q33" i="37"/>
  <c r="P30" i="37"/>
  <c r="Q30" i="37"/>
  <c r="P22" i="37"/>
  <c r="Q22" i="37"/>
  <c r="P27" i="37"/>
  <c r="Q27" i="37"/>
  <c r="P28" i="37"/>
  <c r="Q28" i="37"/>
  <c r="C14" i="37"/>
  <c r="P21" i="37"/>
  <c r="Q21" i="37"/>
  <c r="P20" i="37"/>
  <c r="Q20" i="37"/>
  <c r="P19" i="37"/>
  <c r="Q19" i="37"/>
  <c r="J12" i="6"/>
  <c r="I32" i="6"/>
  <c r="F12" i="6"/>
  <c r="E32" i="6"/>
  <c r="P18" i="37"/>
  <c r="Q18" i="37"/>
  <c r="K55" i="37"/>
  <c r="Q55" i="37"/>
  <c r="C14" i="32"/>
  <c r="G12" i="6"/>
  <c r="F32" i="6"/>
  <c r="K12" i="6"/>
  <c r="J32" i="6"/>
  <c r="K14" i="37"/>
  <c r="F14" i="37"/>
  <c r="Q18" i="32"/>
  <c r="Q19" i="32"/>
  <c r="Q20" i="32"/>
  <c r="Q21" i="32"/>
  <c r="M14" i="32"/>
  <c r="K14" i="32"/>
  <c r="F14" i="32"/>
  <c r="H14" i="32"/>
  <c r="Q28" i="32"/>
  <c r="Q27" i="32"/>
  <c r="Q22" i="32"/>
  <c r="Q30" i="32"/>
  <c r="Q33" i="32"/>
  <c r="Q32" i="32"/>
  <c r="Q47" i="32"/>
  <c r="Q38" i="32"/>
  <c r="G15" i="25"/>
  <c r="F15" i="25"/>
  <c r="G10" i="25"/>
  <c r="F10" i="25"/>
  <c r="F414" i="33"/>
  <c r="F413" i="33"/>
  <c r="F412" i="33"/>
  <c r="F411" i="33"/>
  <c r="F410" i="33"/>
  <c r="F409" i="33"/>
  <c r="F408" i="33"/>
  <c r="F407" i="33"/>
  <c r="F406" i="33"/>
  <c r="F405" i="33"/>
  <c r="F404" i="33"/>
  <c r="F6" i="33"/>
  <c r="F8" i="33"/>
  <c r="F9" i="33"/>
  <c r="F12" i="33"/>
  <c r="F23" i="33"/>
  <c r="F27" i="33"/>
  <c r="F28" i="33"/>
  <c r="F29" i="33"/>
  <c r="F31" i="33"/>
  <c r="F39" i="33"/>
  <c r="F42" i="33"/>
  <c r="F43" i="33"/>
  <c r="F54" i="33"/>
  <c r="F55" i="33"/>
  <c r="F70" i="33"/>
  <c r="F71" i="33"/>
  <c r="F72" i="33"/>
  <c r="F74" i="33"/>
  <c r="F83" i="33"/>
  <c r="F84" i="33"/>
  <c r="F92" i="33"/>
  <c r="F103" i="33"/>
  <c r="F104" i="33"/>
  <c r="F108" i="33"/>
  <c r="F109" i="33"/>
  <c r="F110" i="33"/>
  <c r="F113" i="33"/>
  <c r="F114" i="33"/>
  <c r="F115" i="33"/>
  <c r="F116" i="33"/>
  <c r="F119" i="33"/>
  <c r="F129" i="33"/>
  <c r="F130" i="33"/>
  <c r="F131" i="33"/>
  <c r="F132" i="33"/>
  <c r="F138" i="33"/>
  <c r="F141" i="33"/>
  <c r="F150" i="33"/>
  <c r="F151" i="33"/>
  <c r="F152" i="33"/>
  <c r="F153" i="33"/>
  <c r="F156" i="33"/>
  <c r="F158" i="33"/>
  <c r="F164" i="33"/>
  <c r="F165" i="33"/>
  <c r="F168" i="33"/>
  <c r="F171" i="33"/>
  <c r="F181" i="33"/>
  <c r="F187" i="33"/>
  <c r="F203" i="33"/>
  <c r="F204" i="33"/>
  <c r="F205" i="33"/>
  <c r="F206" i="33"/>
  <c r="F207" i="33"/>
  <c r="F208" i="33"/>
  <c r="F210" i="33"/>
  <c r="F211" i="33"/>
  <c r="F212" i="33"/>
  <c r="F220" i="33"/>
  <c r="F221" i="33"/>
  <c r="F224" i="33"/>
  <c r="F225" i="33"/>
  <c r="F226" i="33"/>
  <c r="F227" i="33"/>
  <c r="F228" i="33"/>
  <c r="F229" i="33"/>
  <c r="F231" i="33"/>
  <c r="F233" i="33"/>
  <c r="F234" i="33"/>
  <c r="F235" i="33"/>
  <c r="F236" i="33"/>
  <c r="F242" i="33"/>
  <c r="F244" i="33"/>
  <c r="F245" i="33"/>
  <c r="F248" i="33"/>
  <c r="F249" i="33"/>
  <c r="F250" i="33"/>
  <c r="F251" i="33"/>
  <c r="F258" i="33"/>
  <c r="F269" i="33"/>
  <c r="F270" i="33"/>
  <c r="F273" i="33"/>
  <c r="F275" i="33"/>
  <c r="F284" i="33"/>
  <c r="F289" i="33"/>
  <c r="F300" i="33"/>
  <c r="F301" i="33"/>
  <c r="F302" i="33"/>
  <c r="F303" i="33"/>
  <c r="F304" i="33"/>
  <c r="F320" i="33"/>
  <c r="F322" i="33"/>
  <c r="F324" i="33"/>
  <c r="F335" i="33"/>
  <c r="F345" i="33"/>
  <c r="F346" i="33"/>
  <c r="F348" i="33"/>
  <c r="F350" i="33"/>
  <c r="F351" i="33"/>
  <c r="F356" i="33"/>
  <c r="F358" i="33"/>
  <c r="F370" i="33"/>
  <c r="F381" i="33"/>
  <c r="F385" i="33"/>
  <c r="F386" i="33"/>
  <c r="F390" i="33"/>
  <c r="F391" i="33"/>
  <c r="F394" i="33"/>
  <c r="H394" i="33"/>
  <c r="I394" i="33"/>
  <c r="J394" i="33"/>
  <c r="K394" i="33"/>
  <c r="L394" i="33"/>
  <c r="H381" i="33"/>
  <c r="I381" i="33"/>
  <c r="J381" i="33"/>
  <c r="K381" i="33"/>
  <c r="L381" i="33"/>
  <c r="H370" i="33"/>
  <c r="I370" i="33"/>
  <c r="H358" i="33"/>
  <c r="I358" i="33"/>
  <c r="H356" i="33"/>
  <c r="H351" i="33"/>
  <c r="H348" i="33"/>
  <c r="I348" i="33"/>
  <c r="J348" i="33"/>
  <c r="K348" i="33"/>
  <c r="L348" i="33"/>
  <c r="M348" i="33"/>
  <c r="N348" i="33"/>
  <c r="O348" i="33"/>
  <c r="P348" i="33"/>
  <c r="Q348" i="33"/>
  <c r="R348" i="33"/>
  <c r="S348" i="33"/>
  <c r="T348" i="33"/>
  <c r="U348" i="33"/>
  <c r="H322" i="33"/>
  <c r="I322" i="33"/>
  <c r="J322" i="33"/>
  <c r="K322" i="33"/>
  <c r="L322" i="33"/>
  <c r="H320" i="33"/>
  <c r="I320" i="33"/>
  <c r="J320" i="33"/>
  <c r="K320" i="33"/>
  <c r="L320" i="33"/>
  <c r="H284" i="33"/>
  <c r="H273" i="33"/>
  <c r="I273" i="33"/>
  <c r="J273" i="33"/>
  <c r="K273" i="33"/>
  <c r="L273" i="33"/>
  <c r="M273" i="33"/>
  <c r="N273" i="33"/>
  <c r="O273" i="33"/>
  <c r="H269" i="33"/>
  <c r="I269" i="33"/>
  <c r="J269" i="33"/>
  <c r="K269" i="33"/>
  <c r="L269" i="33"/>
  <c r="M269" i="33"/>
  <c r="N269" i="33"/>
  <c r="O269" i="33"/>
  <c r="H251" i="33"/>
  <c r="I251" i="33"/>
  <c r="J251" i="33"/>
  <c r="K251" i="33"/>
  <c r="L251" i="33"/>
  <c r="M251" i="33"/>
  <c r="N251" i="33"/>
  <c r="O251" i="33"/>
  <c r="H250" i="33"/>
  <c r="H248" i="33"/>
  <c r="H245" i="33"/>
  <c r="I245" i="33"/>
  <c r="J245" i="33"/>
  <c r="K245" i="33"/>
  <c r="L245" i="33"/>
  <c r="H244" i="33"/>
  <c r="I244" i="33"/>
  <c r="J244" i="33"/>
  <c r="H235" i="33"/>
  <c r="H233" i="33"/>
  <c r="H228" i="33"/>
  <c r="H226" i="33"/>
  <c r="I226" i="33"/>
  <c r="J226" i="33"/>
  <c r="H225" i="33"/>
  <c r="I225" i="33"/>
  <c r="H221" i="33"/>
  <c r="I221" i="33"/>
  <c r="J221" i="33"/>
  <c r="K221" i="33"/>
  <c r="L221" i="33"/>
  <c r="M221" i="33"/>
  <c r="N221" i="33"/>
  <c r="O221" i="33"/>
  <c r="H211" i="33"/>
  <c r="H206" i="33"/>
  <c r="H171" i="33"/>
  <c r="I171" i="33"/>
  <c r="J171" i="33"/>
  <c r="K171" i="33"/>
  <c r="L171" i="33"/>
  <c r="H168" i="33"/>
  <c r="I168" i="33"/>
  <c r="J168" i="33"/>
  <c r="K168" i="33"/>
  <c r="L168" i="33"/>
  <c r="M168" i="33"/>
  <c r="H165" i="33"/>
  <c r="I165" i="33"/>
  <c r="J165" i="33"/>
  <c r="K165" i="33"/>
  <c r="L165" i="33"/>
  <c r="H153" i="33"/>
  <c r="I153" i="33"/>
  <c r="J153" i="33"/>
  <c r="K153" i="33"/>
  <c r="L153" i="33"/>
  <c r="M153" i="33"/>
  <c r="N153" i="33"/>
  <c r="O153" i="33"/>
  <c r="H152" i="33"/>
  <c r="I152" i="33"/>
  <c r="J152" i="33"/>
  <c r="K152" i="33"/>
  <c r="L152" i="33"/>
  <c r="M152" i="33"/>
  <c r="N152" i="33"/>
  <c r="O152" i="33"/>
  <c r="H151" i="33"/>
  <c r="I151" i="33"/>
  <c r="J151" i="33"/>
  <c r="K151" i="33"/>
  <c r="L151" i="33"/>
  <c r="H150" i="33"/>
  <c r="I150" i="33"/>
  <c r="J150" i="33"/>
  <c r="K150" i="33"/>
  <c r="L150" i="33"/>
  <c r="M150" i="33"/>
  <c r="H141" i="33"/>
  <c r="I141" i="33"/>
  <c r="J141" i="33"/>
  <c r="K141" i="33"/>
  <c r="L141" i="33"/>
  <c r="H138" i="33"/>
  <c r="I138" i="33"/>
  <c r="J138" i="33"/>
  <c r="K138" i="33"/>
  <c r="H132" i="33"/>
  <c r="I132" i="33"/>
  <c r="J132" i="33"/>
  <c r="K132" i="33"/>
  <c r="H130" i="33"/>
  <c r="I130" i="33"/>
  <c r="J130" i="33"/>
  <c r="K130" i="33"/>
  <c r="L130" i="33"/>
  <c r="M130" i="33"/>
  <c r="N130" i="33"/>
  <c r="O130" i="33"/>
  <c r="H110" i="33"/>
  <c r="I110" i="33"/>
  <c r="J110" i="33"/>
  <c r="K110" i="33"/>
  <c r="L110" i="33"/>
  <c r="H108" i="33"/>
  <c r="I108" i="33"/>
  <c r="J108" i="33"/>
  <c r="K108" i="33"/>
  <c r="L108" i="33"/>
  <c r="M108" i="33"/>
  <c r="N108" i="33"/>
  <c r="O108" i="33"/>
  <c r="H104" i="33"/>
  <c r="I104" i="33"/>
  <c r="J104" i="33"/>
  <c r="K104" i="33"/>
  <c r="H84" i="33"/>
  <c r="I84" i="33"/>
  <c r="J84" i="33"/>
  <c r="K84" i="33"/>
  <c r="L84" i="33"/>
  <c r="M84" i="33"/>
  <c r="N84" i="33"/>
  <c r="O84" i="33"/>
  <c r="H74" i="33"/>
  <c r="I74" i="33"/>
  <c r="J74" i="33"/>
  <c r="K74" i="33"/>
  <c r="H39" i="33"/>
  <c r="I39" i="33"/>
  <c r="J39" i="33"/>
  <c r="K39" i="33"/>
  <c r="L39" i="33"/>
  <c r="M39" i="33"/>
  <c r="N39" i="33"/>
  <c r="O39" i="33"/>
  <c r="H29" i="33"/>
  <c r="I29" i="33"/>
  <c r="J29" i="33"/>
  <c r="K29" i="33"/>
  <c r="L29" i="33"/>
  <c r="M29" i="33"/>
  <c r="N29" i="33"/>
  <c r="O29" i="33"/>
  <c r="H23" i="33"/>
  <c r="I23" i="33"/>
  <c r="J23" i="33"/>
  <c r="K23" i="33"/>
  <c r="L23" i="33"/>
  <c r="X20" i="29"/>
  <c r="W20" i="29"/>
  <c r="Y20" i="29"/>
  <c r="Z20" i="29"/>
  <c r="V20" i="29"/>
  <c r="X19" i="29"/>
  <c r="W19" i="29"/>
  <c r="Y19" i="29"/>
  <c r="Z19" i="29"/>
  <c r="V19" i="29"/>
  <c r="X18" i="29"/>
  <c r="W18" i="29"/>
  <c r="Y18" i="29"/>
  <c r="Z18" i="29"/>
  <c r="V18" i="29"/>
  <c r="X17" i="29"/>
  <c r="W17" i="29"/>
  <c r="Y17" i="29"/>
  <c r="Z17" i="29"/>
  <c r="V17" i="29"/>
  <c r="X16" i="29"/>
  <c r="W16" i="29"/>
  <c r="Y16" i="29"/>
  <c r="Z16" i="29"/>
  <c r="V16" i="29"/>
  <c r="X15" i="29"/>
  <c r="W15" i="29"/>
  <c r="Y15" i="29"/>
  <c r="Z15" i="29"/>
  <c r="V15" i="29"/>
  <c r="X14" i="29"/>
  <c r="W14" i="29"/>
  <c r="Y14" i="29"/>
  <c r="Z14" i="29"/>
  <c r="V14" i="29"/>
  <c r="X13" i="29"/>
  <c r="W13" i="29"/>
  <c r="Y13" i="29"/>
  <c r="Z13" i="29"/>
  <c r="V13" i="29"/>
  <c r="X12" i="29"/>
  <c r="W12" i="29"/>
  <c r="Y12" i="29"/>
  <c r="Z12" i="29"/>
  <c r="V12" i="29"/>
  <c r="X11" i="29"/>
  <c r="W11" i="29"/>
  <c r="Y11" i="29"/>
  <c r="Z11" i="29"/>
  <c r="V11" i="29"/>
  <c r="X10" i="29"/>
  <c r="W10" i="29"/>
  <c r="Y10" i="29"/>
  <c r="Z10" i="29"/>
  <c r="V10" i="29"/>
  <c r="X9" i="29"/>
  <c r="W9" i="29"/>
  <c r="Y9" i="29"/>
  <c r="Z9" i="29"/>
  <c r="V9" i="29"/>
  <c r="X8" i="29"/>
  <c r="W8" i="29"/>
  <c r="Y8" i="29"/>
  <c r="Z8" i="29"/>
  <c r="V8" i="29"/>
  <c r="X7" i="29"/>
  <c r="W7" i="29"/>
  <c r="Y7" i="29"/>
  <c r="Z7" i="29"/>
  <c r="V7" i="29"/>
  <c r="X6" i="29"/>
  <c r="W6" i="29"/>
  <c r="Y6" i="29"/>
  <c r="Z6" i="29"/>
  <c r="V6" i="29"/>
  <c r="X5" i="29"/>
  <c r="W5" i="29"/>
  <c r="Y5" i="29"/>
  <c r="Z5" i="29"/>
  <c r="V5" i="29"/>
  <c r="X4" i="29"/>
  <c r="W4" i="29"/>
  <c r="Y4" i="29"/>
  <c r="Z4" i="29"/>
  <c r="V4" i="29"/>
  <c r="X3" i="29"/>
  <c r="W3" i="29"/>
  <c r="Y3" i="29"/>
  <c r="Z3" i="29"/>
  <c r="V3" i="29"/>
  <c r="X2" i="29"/>
  <c r="W2" i="29"/>
  <c r="Y2" i="29"/>
  <c r="Z2" i="29"/>
  <c r="V2" i="29"/>
  <c r="G7" i="25"/>
  <c r="H7" i="25"/>
  <c r="I7" i="25"/>
  <c r="G8" i="25"/>
  <c r="G9" i="25"/>
  <c r="H9" i="25"/>
  <c r="I9" i="25"/>
  <c r="G11" i="25"/>
  <c r="F11" i="25"/>
  <c r="G12" i="25"/>
  <c r="F12" i="25"/>
  <c r="G13" i="25"/>
  <c r="F13" i="25"/>
  <c r="G14" i="25"/>
  <c r="F14" i="25"/>
  <c r="G16" i="25"/>
  <c r="F16" i="25"/>
  <c r="G17" i="25"/>
  <c r="F17" i="25"/>
  <c r="G18" i="25"/>
  <c r="F18" i="25"/>
  <c r="G6" i="25"/>
  <c r="H14" i="37"/>
  <c r="P17" i="37"/>
  <c r="Q17" i="37"/>
  <c r="Q14" i="37"/>
  <c r="L12" i="6"/>
  <c r="L32" i="6"/>
  <c r="K32" i="6"/>
  <c r="H12" i="6"/>
  <c r="H32" i="6"/>
  <c r="G32" i="6"/>
  <c r="Q55" i="32"/>
  <c r="Q17" i="32"/>
  <c r="Q14" i="32"/>
  <c r="H187" i="33"/>
  <c r="I187" i="33"/>
  <c r="J187" i="33"/>
  <c r="K187" i="33"/>
  <c r="L187" i="33"/>
  <c r="M187" i="33"/>
  <c r="N187" i="33"/>
  <c r="O187" i="33"/>
  <c r="P187" i="33"/>
  <c r="Q187" i="33"/>
  <c r="R187" i="33"/>
  <c r="S187" i="33"/>
  <c r="T187" i="33"/>
  <c r="U187" i="33"/>
  <c r="V187" i="33"/>
  <c r="W187" i="33"/>
  <c r="F6" i="25"/>
  <c r="H6" i="25"/>
  <c r="F9" i="25"/>
  <c r="F8" i="25"/>
  <c r="H8" i="25"/>
  <c r="F7" i="25"/>
  <c r="T5" i="33"/>
  <c r="S5" i="33"/>
  <c r="R5" i="33"/>
  <c r="Q5" i="33"/>
  <c r="P5" i="33"/>
  <c r="O5" i="33"/>
  <c r="N5" i="33"/>
  <c r="M5" i="33"/>
  <c r="L5" i="33"/>
  <c r="K5" i="33"/>
  <c r="J5" i="33"/>
  <c r="I5" i="33"/>
  <c r="H5" i="33"/>
  <c r="U6" i="33"/>
  <c r="V6" i="33"/>
  <c r="W6" i="33"/>
  <c r="T6" i="33"/>
  <c r="S6" i="33"/>
  <c r="R6" i="33"/>
  <c r="Q6" i="33"/>
  <c r="P6" i="33"/>
  <c r="O6" i="33"/>
  <c r="N6" i="33"/>
  <c r="M6" i="33"/>
  <c r="L6" i="33"/>
  <c r="K6" i="33"/>
  <c r="J6" i="33"/>
  <c r="I6" i="33"/>
  <c r="H6" i="33"/>
  <c r="T7" i="33"/>
  <c r="S7" i="33"/>
  <c r="R7" i="33"/>
  <c r="Q7" i="33"/>
  <c r="P7" i="33"/>
  <c r="O7" i="33"/>
  <c r="N7" i="33"/>
  <c r="M7" i="33"/>
  <c r="L7" i="33"/>
  <c r="K7" i="33"/>
  <c r="J7" i="33"/>
  <c r="I7" i="33"/>
  <c r="H7" i="33"/>
  <c r="U8" i="33"/>
  <c r="V8" i="33"/>
  <c r="W8" i="33"/>
  <c r="T8" i="33"/>
  <c r="S8" i="33"/>
  <c r="R8" i="33"/>
  <c r="Q8" i="33"/>
  <c r="P8" i="33"/>
  <c r="O8" i="33"/>
  <c r="N8" i="33"/>
  <c r="M8" i="33"/>
  <c r="L8" i="33"/>
  <c r="K8" i="33"/>
  <c r="J8" i="33"/>
  <c r="I8" i="33"/>
  <c r="H8" i="33"/>
  <c r="U9" i="33"/>
  <c r="V9" i="33"/>
  <c r="W9" i="33"/>
  <c r="T9" i="33"/>
  <c r="S9" i="33"/>
  <c r="R9" i="33"/>
  <c r="Q9" i="33"/>
  <c r="P9" i="33"/>
  <c r="O9" i="33"/>
  <c r="N9" i="33"/>
  <c r="M9" i="33"/>
  <c r="L9" i="33"/>
  <c r="K9" i="33"/>
  <c r="J9" i="33"/>
  <c r="I9" i="33"/>
  <c r="H9" i="33"/>
  <c r="T10" i="33"/>
  <c r="S10" i="33"/>
  <c r="R10" i="33"/>
  <c r="Q10" i="33"/>
  <c r="P10" i="33"/>
  <c r="O10" i="33"/>
  <c r="N10" i="33"/>
  <c r="M10" i="33"/>
  <c r="L10" i="33"/>
  <c r="K10" i="33"/>
  <c r="J10" i="33"/>
  <c r="I10" i="33"/>
  <c r="H10" i="33"/>
  <c r="T11" i="33"/>
  <c r="S11" i="33"/>
  <c r="R11" i="33"/>
  <c r="Q11" i="33"/>
  <c r="P11" i="33"/>
  <c r="O11" i="33"/>
  <c r="N11" i="33"/>
  <c r="M11" i="33"/>
  <c r="L11" i="33"/>
  <c r="K11" i="33"/>
  <c r="J11" i="33"/>
  <c r="I11" i="33"/>
  <c r="H11" i="33"/>
  <c r="U12" i="33"/>
  <c r="V12" i="33"/>
  <c r="W12" i="33"/>
  <c r="T12" i="33"/>
  <c r="S12" i="33"/>
  <c r="R12" i="33"/>
  <c r="Q12" i="33"/>
  <c r="P12" i="33"/>
  <c r="O12" i="33"/>
  <c r="N12" i="33"/>
  <c r="M12" i="33"/>
  <c r="L12" i="33"/>
  <c r="K12" i="33"/>
  <c r="J12" i="33"/>
  <c r="I12" i="33"/>
  <c r="H12" i="33"/>
  <c r="T15" i="33"/>
  <c r="S15" i="33"/>
  <c r="R15" i="33"/>
  <c r="Q15" i="33"/>
  <c r="P15" i="33"/>
  <c r="O15" i="33"/>
  <c r="N15" i="33"/>
  <c r="M15" i="33"/>
  <c r="L15" i="33"/>
  <c r="K15" i="33"/>
  <c r="J15" i="33"/>
  <c r="I15" i="33"/>
  <c r="H15" i="33"/>
  <c r="M23" i="33"/>
  <c r="N23" i="33"/>
  <c r="O23" i="33"/>
  <c r="P23" i="33"/>
  <c r="Q23" i="33"/>
  <c r="R23" i="33"/>
  <c r="S23" i="33"/>
  <c r="T23" i="33"/>
  <c r="U23" i="33"/>
  <c r="V23" i="33"/>
  <c r="W23" i="33"/>
  <c r="T24" i="33"/>
  <c r="S24" i="33"/>
  <c r="R24" i="33"/>
  <c r="Q24" i="33"/>
  <c r="P24" i="33"/>
  <c r="O24" i="33"/>
  <c r="N24" i="33"/>
  <c r="M24" i="33"/>
  <c r="L24" i="33"/>
  <c r="K24" i="33"/>
  <c r="J24" i="33"/>
  <c r="I24" i="33"/>
  <c r="H24" i="33"/>
  <c r="T25" i="33"/>
  <c r="S25" i="33"/>
  <c r="R25" i="33"/>
  <c r="Q25" i="33"/>
  <c r="P25" i="33"/>
  <c r="O25" i="33"/>
  <c r="N25" i="33"/>
  <c r="M25" i="33"/>
  <c r="L25" i="33"/>
  <c r="K25" i="33"/>
  <c r="J25" i="33"/>
  <c r="I25" i="33"/>
  <c r="H25" i="33"/>
  <c r="H27" i="33"/>
  <c r="I27" i="33"/>
  <c r="J27" i="33"/>
  <c r="K27" i="33"/>
  <c r="L27" i="33"/>
  <c r="M27" i="33"/>
  <c r="N27" i="33"/>
  <c r="O27" i="33"/>
  <c r="P27" i="33"/>
  <c r="Q27" i="33"/>
  <c r="R27" i="33"/>
  <c r="S27" i="33"/>
  <c r="T27" i="33"/>
  <c r="U27" i="33"/>
  <c r="V27" i="33"/>
  <c r="W27" i="33"/>
  <c r="H28" i="33"/>
  <c r="I28" i="33"/>
  <c r="J28" i="33"/>
  <c r="K28" i="33"/>
  <c r="L28" i="33"/>
  <c r="M28" i="33"/>
  <c r="N28" i="33"/>
  <c r="O28" i="33"/>
  <c r="P28" i="33"/>
  <c r="Q28" i="33"/>
  <c r="R28" i="33"/>
  <c r="S28" i="33"/>
  <c r="T28" i="33"/>
  <c r="U28" i="33"/>
  <c r="V28" i="33"/>
  <c r="W28" i="33"/>
  <c r="P29" i="33"/>
  <c r="Q29" i="33"/>
  <c r="R29" i="33"/>
  <c r="S29" i="33"/>
  <c r="T29" i="33"/>
  <c r="U29" i="33"/>
  <c r="V29" i="33"/>
  <c r="W29" i="33"/>
  <c r="H31" i="33"/>
  <c r="I31" i="33"/>
  <c r="J31" i="33"/>
  <c r="K31" i="33"/>
  <c r="L31" i="33"/>
  <c r="M31" i="33"/>
  <c r="N31" i="33"/>
  <c r="O31" i="33"/>
  <c r="P31" i="33"/>
  <c r="Q31" i="33"/>
  <c r="R31" i="33"/>
  <c r="S31" i="33"/>
  <c r="T31" i="33"/>
  <c r="U31" i="33"/>
  <c r="V31" i="33"/>
  <c r="W31" i="33"/>
  <c r="T35" i="33"/>
  <c r="S35" i="33"/>
  <c r="R35" i="33"/>
  <c r="Q35" i="33"/>
  <c r="P35" i="33"/>
  <c r="O35" i="33"/>
  <c r="N35" i="33"/>
  <c r="M35" i="33"/>
  <c r="L35" i="33"/>
  <c r="K35" i="33"/>
  <c r="J35" i="33"/>
  <c r="I35" i="33"/>
  <c r="H35" i="33"/>
  <c r="P39" i="33"/>
  <c r="Q39" i="33"/>
  <c r="R39" i="33"/>
  <c r="S39" i="33"/>
  <c r="T39" i="33"/>
  <c r="U39" i="33"/>
  <c r="V39" i="33"/>
  <c r="W39" i="33"/>
  <c r="H42" i="33"/>
  <c r="I42" i="33"/>
  <c r="J42" i="33"/>
  <c r="K42" i="33"/>
  <c r="L42" i="33"/>
  <c r="M42" i="33"/>
  <c r="N42" i="33"/>
  <c r="O42" i="33"/>
  <c r="P42" i="33"/>
  <c r="Q42" i="33"/>
  <c r="R42" i="33"/>
  <c r="S42" i="33"/>
  <c r="T42" i="33"/>
  <c r="U42" i="33"/>
  <c r="V42" i="33"/>
  <c r="W42" i="33"/>
  <c r="H43" i="33"/>
  <c r="I43" i="33"/>
  <c r="J43" i="33"/>
  <c r="K43" i="33"/>
  <c r="L43" i="33"/>
  <c r="M43" i="33"/>
  <c r="N43" i="33"/>
  <c r="O43" i="33"/>
  <c r="P43" i="33"/>
  <c r="Q43" i="33"/>
  <c r="R43" i="33"/>
  <c r="S43" i="33"/>
  <c r="T43" i="33"/>
  <c r="U43" i="33"/>
  <c r="V43" i="33"/>
  <c r="W43" i="33"/>
  <c r="H54" i="33"/>
  <c r="I54" i="33"/>
  <c r="J54" i="33"/>
  <c r="K54" i="33"/>
  <c r="L54" i="33"/>
  <c r="M54" i="33"/>
  <c r="N54" i="33"/>
  <c r="O54" i="33"/>
  <c r="P54" i="33"/>
  <c r="Q54" i="33"/>
  <c r="R54" i="33"/>
  <c r="S54" i="33"/>
  <c r="T54" i="33"/>
  <c r="U54" i="33"/>
  <c r="V54" i="33"/>
  <c r="W54" i="33"/>
  <c r="H55" i="33"/>
  <c r="I55" i="33"/>
  <c r="J55" i="33"/>
  <c r="K55" i="33"/>
  <c r="L55" i="33"/>
  <c r="M55" i="33"/>
  <c r="N55" i="33"/>
  <c r="O55" i="33"/>
  <c r="P55" i="33"/>
  <c r="Q55" i="33"/>
  <c r="R55" i="33"/>
  <c r="S55" i="33"/>
  <c r="T55" i="33"/>
  <c r="U55" i="33"/>
  <c r="V55" i="33"/>
  <c r="W55" i="33"/>
  <c r="T63" i="33"/>
  <c r="S63" i="33"/>
  <c r="R63" i="33"/>
  <c r="Q63" i="33"/>
  <c r="P63" i="33"/>
  <c r="O63" i="33"/>
  <c r="N63" i="33"/>
  <c r="M63" i="33"/>
  <c r="L63" i="33"/>
  <c r="K63" i="33"/>
  <c r="J63" i="33"/>
  <c r="I63" i="33"/>
  <c r="H63" i="33"/>
  <c r="H70" i="33"/>
  <c r="I70" i="33"/>
  <c r="J70" i="33"/>
  <c r="K70" i="33"/>
  <c r="L70" i="33"/>
  <c r="M70" i="33"/>
  <c r="N70" i="33"/>
  <c r="O70" i="33"/>
  <c r="P70" i="33"/>
  <c r="Q70" i="33"/>
  <c r="R70" i="33"/>
  <c r="S70" i="33"/>
  <c r="T70" i="33"/>
  <c r="U70" i="33"/>
  <c r="V70" i="33"/>
  <c r="W70" i="33"/>
  <c r="H71" i="33"/>
  <c r="I71" i="33"/>
  <c r="J71" i="33"/>
  <c r="K71" i="33"/>
  <c r="L71" i="33"/>
  <c r="M71" i="33"/>
  <c r="N71" i="33"/>
  <c r="O71" i="33"/>
  <c r="P71" i="33"/>
  <c r="Q71" i="33"/>
  <c r="R71" i="33"/>
  <c r="S71" i="33"/>
  <c r="T71" i="33"/>
  <c r="U71" i="33"/>
  <c r="V71" i="33"/>
  <c r="W71" i="33"/>
  <c r="H72" i="33"/>
  <c r="I72" i="33"/>
  <c r="J72" i="33"/>
  <c r="K72" i="33"/>
  <c r="L72" i="33"/>
  <c r="M72" i="33"/>
  <c r="N72" i="33"/>
  <c r="O72" i="33"/>
  <c r="P72" i="33"/>
  <c r="Q72" i="33"/>
  <c r="R72" i="33"/>
  <c r="S72" i="33"/>
  <c r="T72" i="33"/>
  <c r="U72" i="33"/>
  <c r="V72" i="33"/>
  <c r="W72" i="33"/>
  <c r="L74" i="33"/>
  <c r="M74" i="33"/>
  <c r="N74" i="33"/>
  <c r="O74" i="33"/>
  <c r="P74" i="33"/>
  <c r="Q74" i="33"/>
  <c r="R74" i="33"/>
  <c r="S74" i="33"/>
  <c r="T74" i="33"/>
  <c r="U74" i="33"/>
  <c r="V74" i="33"/>
  <c r="W74" i="33"/>
  <c r="T76" i="33"/>
  <c r="S76" i="33"/>
  <c r="R76" i="33"/>
  <c r="Q76" i="33"/>
  <c r="P76" i="33"/>
  <c r="O76" i="33"/>
  <c r="N76" i="33"/>
  <c r="M76" i="33"/>
  <c r="L76" i="33"/>
  <c r="K76" i="33"/>
  <c r="J76" i="33"/>
  <c r="I76" i="33"/>
  <c r="H76" i="33"/>
  <c r="T77" i="33"/>
  <c r="S77" i="33"/>
  <c r="R77" i="33"/>
  <c r="Q77" i="33"/>
  <c r="P77" i="33"/>
  <c r="O77" i="33"/>
  <c r="N77" i="33"/>
  <c r="M77" i="33"/>
  <c r="L77" i="33"/>
  <c r="K77" i="33"/>
  <c r="J77" i="33"/>
  <c r="I77" i="33"/>
  <c r="H77" i="33"/>
  <c r="H83" i="33"/>
  <c r="I83" i="33"/>
  <c r="J83" i="33"/>
  <c r="K83" i="33"/>
  <c r="L83" i="33"/>
  <c r="M83" i="33"/>
  <c r="N83" i="33"/>
  <c r="O83" i="33"/>
  <c r="P83" i="33"/>
  <c r="Q83" i="33"/>
  <c r="R83" i="33"/>
  <c r="S83" i="33"/>
  <c r="T83" i="33"/>
  <c r="U83" i="33"/>
  <c r="V83" i="33"/>
  <c r="W83" i="33"/>
  <c r="P84" i="33"/>
  <c r="Q84" i="33"/>
  <c r="R84" i="33"/>
  <c r="S84" i="33"/>
  <c r="T84" i="33"/>
  <c r="U84" i="33"/>
  <c r="V84" i="33"/>
  <c r="W84" i="33"/>
  <c r="T85" i="33"/>
  <c r="S85" i="33"/>
  <c r="R85" i="33"/>
  <c r="Q85" i="33"/>
  <c r="P85" i="33"/>
  <c r="O85" i="33"/>
  <c r="N85" i="33"/>
  <c r="M85" i="33"/>
  <c r="L85" i="33"/>
  <c r="K85" i="33"/>
  <c r="J85" i="33"/>
  <c r="I85" i="33"/>
  <c r="H85" i="33"/>
  <c r="H92" i="33"/>
  <c r="I92" i="33"/>
  <c r="J92" i="33"/>
  <c r="K92" i="33"/>
  <c r="L92" i="33"/>
  <c r="M92" i="33"/>
  <c r="N92" i="33"/>
  <c r="O92" i="33"/>
  <c r="P92" i="33"/>
  <c r="Q92" i="33"/>
  <c r="R92" i="33"/>
  <c r="S92" i="33"/>
  <c r="T92" i="33"/>
  <c r="U92" i="33"/>
  <c r="V92" i="33"/>
  <c r="W92" i="33"/>
  <c r="T93" i="33"/>
  <c r="S93" i="33"/>
  <c r="R93" i="33"/>
  <c r="Q93" i="33"/>
  <c r="P93" i="33"/>
  <c r="O93" i="33"/>
  <c r="N93" i="33"/>
  <c r="M93" i="33"/>
  <c r="L93" i="33"/>
  <c r="K93" i="33"/>
  <c r="J93" i="33"/>
  <c r="I93" i="33"/>
  <c r="H93" i="33"/>
  <c r="H103" i="33"/>
  <c r="I103" i="33"/>
  <c r="J103" i="33"/>
  <c r="K103" i="33"/>
  <c r="L103" i="33"/>
  <c r="M103" i="33"/>
  <c r="N103" i="33"/>
  <c r="O103" i="33"/>
  <c r="P103" i="33"/>
  <c r="Q103" i="33"/>
  <c r="R103" i="33"/>
  <c r="S103" i="33"/>
  <c r="T103" i="33"/>
  <c r="U103" i="33"/>
  <c r="V103" i="33"/>
  <c r="W103" i="33"/>
  <c r="L104" i="33"/>
  <c r="M104" i="33"/>
  <c r="N104" i="33"/>
  <c r="O104" i="33"/>
  <c r="P104" i="33"/>
  <c r="Q104" i="33"/>
  <c r="R104" i="33"/>
  <c r="S104" i="33"/>
  <c r="T104" i="33"/>
  <c r="U104" i="33"/>
  <c r="V104" i="33"/>
  <c r="W104" i="33"/>
  <c r="T105" i="33"/>
  <c r="S105" i="33"/>
  <c r="R105" i="33"/>
  <c r="Q105" i="33"/>
  <c r="P105" i="33"/>
  <c r="O105" i="33"/>
  <c r="N105" i="33"/>
  <c r="M105" i="33"/>
  <c r="L105" i="33"/>
  <c r="K105" i="33"/>
  <c r="J105" i="33"/>
  <c r="I105" i="33"/>
  <c r="H105" i="33"/>
  <c r="P108" i="33"/>
  <c r="Q108" i="33"/>
  <c r="R108" i="33"/>
  <c r="S108" i="33"/>
  <c r="T108" i="33"/>
  <c r="U108" i="33"/>
  <c r="V108" i="33"/>
  <c r="W108" i="33"/>
  <c r="H109" i="33"/>
  <c r="I109" i="33"/>
  <c r="J109" i="33"/>
  <c r="K109" i="33"/>
  <c r="L109" i="33"/>
  <c r="M109" i="33"/>
  <c r="N109" i="33"/>
  <c r="O109" i="33"/>
  <c r="P109" i="33"/>
  <c r="Q109" i="33"/>
  <c r="R109" i="33"/>
  <c r="S109" i="33"/>
  <c r="T109" i="33"/>
  <c r="U109" i="33"/>
  <c r="V109" i="33"/>
  <c r="W109" i="33"/>
  <c r="M110" i="33"/>
  <c r="N110" i="33"/>
  <c r="O110" i="33"/>
  <c r="P110" i="33"/>
  <c r="Q110" i="33"/>
  <c r="R110" i="33"/>
  <c r="S110" i="33"/>
  <c r="T110" i="33"/>
  <c r="U110" i="33"/>
  <c r="V110" i="33"/>
  <c r="W110" i="33"/>
  <c r="T111" i="33"/>
  <c r="S111" i="33"/>
  <c r="R111" i="33"/>
  <c r="Q111" i="33"/>
  <c r="P111" i="33"/>
  <c r="O111" i="33"/>
  <c r="N111" i="33"/>
  <c r="M111" i="33"/>
  <c r="L111" i="33"/>
  <c r="K111" i="33"/>
  <c r="J111" i="33"/>
  <c r="I111" i="33"/>
  <c r="H111" i="33"/>
  <c r="T112" i="33"/>
  <c r="S112" i="33"/>
  <c r="R112" i="33"/>
  <c r="Q112" i="33"/>
  <c r="P112" i="33"/>
  <c r="O112" i="33"/>
  <c r="N112" i="33"/>
  <c r="M112" i="33"/>
  <c r="L112" i="33"/>
  <c r="K112" i="33"/>
  <c r="J112" i="33"/>
  <c r="I112" i="33"/>
  <c r="H112" i="33"/>
  <c r="U113" i="33"/>
  <c r="V113" i="33"/>
  <c r="W113" i="33"/>
  <c r="T113" i="33"/>
  <c r="S113" i="33"/>
  <c r="R113" i="33"/>
  <c r="Q113" i="33"/>
  <c r="P113" i="33"/>
  <c r="O113" i="33"/>
  <c r="N113" i="33"/>
  <c r="M113" i="33"/>
  <c r="L113" i="33"/>
  <c r="K113" i="33"/>
  <c r="J113" i="33"/>
  <c r="I113" i="33"/>
  <c r="H113" i="33"/>
  <c r="U114" i="33"/>
  <c r="V114" i="33"/>
  <c r="W114" i="33"/>
  <c r="T114" i="33"/>
  <c r="S114" i="33"/>
  <c r="R114" i="33"/>
  <c r="Q114" i="33"/>
  <c r="P114" i="33"/>
  <c r="O114" i="33"/>
  <c r="N114" i="33"/>
  <c r="M114" i="33"/>
  <c r="L114" i="33"/>
  <c r="K114" i="33"/>
  <c r="J114" i="33"/>
  <c r="I114" i="33"/>
  <c r="H114" i="33"/>
  <c r="U115" i="33"/>
  <c r="V115" i="33"/>
  <c r="W115" i="33"/>
  <c r="T115" i="33"/>
  <c r="S115" i="33"/>
  <c r="R115" i="33"/>
  <c r="Q115" i="33"/>
  <c r="P115" i="33"/>
  <c r="O115" i="33"/>
  <c r="N115" i="33"/>
  <c r="M115" i="33"/>
  <c r="L115" i="33"/>
  <c r="K115" i="33"/>
  <c r="J115" i="33"/>
  <c r="I115" i="33"/>
  <c r="H115" i="33"/>
  <c r="H116" i="33"/>
  <c r="I116" i="33"/>
  <c r="J116" i="33"/>
  <c r="K116" i="33"/>
  <c r="L116" i="33"/>
  <c r="M116" i="33"/>
  <c r="N116" i="33"/>
  <c r="O116" i="33"/>
  <c r="P116" i="33"/>
  <c r="Q116" i="33"/>
  <c r="R116" i="33"/>
  <c r="S116" i="33"/>
  <c r="T116" i="33"/>
  <c r="U116" i="33"/>
  <c r="V116" i="33"/>
  <c r="W116" i="33"/>
  <c r="T124" i="33"/>
  <c r="S124" i="33"/>
  <c r="R124" i="33"/>
  <c r="Q124" i="33"/>
  <c r="P124" i="33"/>
  <c r="O124" i="33"/>
  <c r="N124" i="33"/>
  <c r="M124" i="33"/>
  <c r="L124" i="33"/>
  <c r="K124" i="33"/>
  <c r="J124" i="33"/>
  <c r="I124" i="33"/>
  <c r="H124" i="33"/>
  <c r="T126" i="33"/>
  <c r="S126" i="33"/>
  <c r="R126" i="33"/>
  <c r="Q126" i="33"/>
  <c r="P126" i="33"/>
  <c r="O126" i="33"/>
  <c r="N126" i="33"/>
  <c r="M126" i="33"/>
  <c r="L126" i="33"/>
  <c r="K126" i="33"/>
  <c r="J126" i="33"/>
  <c r="I126" i="33"/>
  <c r="H126" i="33"/>
  <c r="H129" i="33"/>
  <c r="I129" i="33"/>
  <c r="J129" i="33"/>
  <c r="K129" i="33"/>
  <c r="L129" i="33"/>
  <c r="M129" i="33"/>
  <c r="N129" i="33"/>
  <c r="O129" i="33"/>
  <c r="P129" i="33"/>
  <c r="Q129" i="33"/>
  <c r="R129" i="33"/>
  <c r="S129" i="33"/>
  <c r="T129" i="33"/>
  <c r="U129" i="33"/>
  <c r="V129" i="33"/>
  <c r="W129" i="33"/>
  <c r="P130" i="33"/>
  <c r="Q130" i="33"/>
  <c r="R130" i="33"/>
  <c r="S130" i="33"/>
  <c r="T130" i="33"/>
  <c r="U130" i="33"/>
  <c r="V130" i="33"/>
  <c r="W130" i="33"/>
  <c r="H131" i="33"/>
  <c r="I131" i="33"/>
  <c r="J131" i="33"/>
  <c r="K131" i="33"/>
  <c r="L131" i="33"/>
  <c r="M131" i="33"/>
  <c r="N131" i="33"/>
  <c r="O131" i="33"/>
  <c r="P131" i="33"/>
  <c r="Q131" i="33"/>
  <c r="R131" i="33"/>
  <c r="S131" i="33"/>
  <c r="T131" i="33"/>
  <c r="U131" i="33"/>
  <c r="V131" i="33"/>
  <c r="W131" i="33"/>
  <c r="L132" i="33"/>
  <c r="M132" i="33"/>
  <c r="N132" i="33"/>
  <c r="O132" i="33"/>
  <c r="P132" i="33"/>
  <c r="Q132" i="33"/>
  <c r="R132" i="33"/>
  <c r="S132" i="33"/>
  <c r="T132" i="33"/>
  <c r="U132" i="33"/>
  <c r="V132" i="33"/>
  <c r="W132" i="33"/>
  <c r="L138" i="33"/>
  <c r="M138" i="33"/>
  <c r="N138" i="33"/>
  <c r="O138" i="33"/>
  <c r="P138" i="33"/>
  <c r="Q138" i="33"/>
  <c r="R138" i="33"/>
  <c r="S138" i="33"/>
  <c r="T138" i="33"/>
  <c r="U138" i="33"/>
  <c r="V138" i="33"/>
  <c r="W138" i="33"/>
  <c r="T140" i="33"/>
  <c r="S140" i="33"/>
  <c r="R140" i="33"/>
  <c r="Q140" i="33"/>
  <c r="P140" i="33"/>
  <c r="O140" i="33"/>
  <c r="N140" i="33"/>
  <c r="M140" i="33"/>
  <c r="L140" i="33"/>
  <c r="K140" i="33"/>
  <c r="J140" i="33"/>
  <c r="I140" i="33"/>
  <c r="H140" i="33"/>
  <c r="M141" i="33"/>
  <c r="N141" i="33"/>
  <c r="O141" i="33"/>
  <c r="P141" i="33"/>
  <c r="Q141" i="33"/>
  <c r="R141" i="33"/>
  <c r="S141" i="33"/>
  <c r="T141" i="33"/>
  <c r="U141" i="33"/>
  <c r="V141" i="33"/>
  <c r="W141" i="33"/>
  <c r="N150" i="33"/>
  <c r="O150" i="33"/>
  <c r="P150" i="33"/>
  <c r="Q150" i="33"/>
  <c r="R150" i="33"/>
  <c r="S150" i="33"/>
  <c r="T150" i="33"/>
  <c r="U150" i="33"/>
  <c r="V150" i="33"/>
  <c r="W150" i="33"/>
  <c r="M151" i="33"/>
  <c r="N151" i="33"/>
  <c r="O151" i="33"/>
  <c r="P151" i="33"/>
  <c r="Q151" i="33"/>
  <c r="R151" i="33"/>
  <c r="S151" i="33"/>
  <c r="T151" i="33"/>
  <c r="U151" i="33"/>
  <c r="V151" i="33"/>
  <c r="W151" i="33"/>
  <c r="P152" i="33"/>
  <c r="Q152" i="33"/>
  <c r="R152" i="33"/>
  <c r="S152" i="33"/>
  <c r="T152" i="33"/>
  <c r="U152" i="33"/>
  <c r="V152" i="33"/>
  <c r="W152" i="33"/>
  <c r="P153" i="33"/>
  <c r="Q153" i="33"/>
  <c r="R153" i="33"/>
  <c r="S153" i="33"/>
  <c r="T153" i="33"/>
  <c r="U153" i="33"/>
  <c r="V153" i="33"/>
  <c r="W153" i="33"/>
  <c r="H156" i="33"/>
  <c r="I156" i="33"/>
  <c r="J156" i="33"/>
  <c r="K156" i="33"/>
  <c r="L156" i="33"/>
  <c r="M156" i="33"/>
  <c r="N156" i="33"/>
  <c r="O156" i="33"/>
  <c r="P156" i="33"/>
  <c r="Q156" i="33"/>
  <c r="R156" i="33"/>
  <c r="S156" i="33"/>
  <c r="T156" i="33"/>
  <c r="U156" i="33"/>
  <c r="V156" i="33"/>
  <c r="W156" i="33"/>
  <c r="H158" i="33"/>
  <c r="I158" i="33"/>
  <c r="J158" i="33"/>
  <c r="K158" i="33"/>
  <c r="L158" i="33"/>
  <c r="M158" i="33"/>
  <c r="N158" i="33"/>
  <c r="O158" i="33"/>
  <c r="P158" i="33"/>
  <c r="Q158" i="33"/>
  <c r="R158" i="33"/>
  <c r="S158" i="33"/>
  <c r="T158" i="33"/>
  <c r="U158" i="33"/>
  <c r="V158" i="33"/>
  <c r="W158" i="33"/>
  <c r="T162" i="33"/>
  <c r="S162" i="33"/>
  <c r="R162" i="33"/>
  <c r="Q162" i="33"/>
  <c r="P162" i="33"/>
  <c r="O162" i="33"/>
  <c r="N162" i="33"/>
  <c r="M162" i="33"/>
  <c r="L162" i="33"/>
  <c r="K162" i="33"/>
  <c r="J162" i="33"/>
  <c r="I162" i="33"/>
  <c r="H162" i="33"/>
  <c r="V163" i="33"/>
  <c r="W163" i="33"/>
  <c r="H164" i="33"/>
  <c r="I164" i="33"/>
  <c r="J164" i="33"/>
  <c r="K164" i="33"/>
  <c r="L164" i="33"/>
  <c r="M164" i="33"/>
  <c r="N164" i="33"/>
  <c r="O164" i="33"/>
  <c r="P164" i="33"/>
  <c r="Q164" i="33"/>
  <c r="R164" i="33"/>
  <c r="S164" i="33"/>
  <c r="T164" i="33"/>
  <c r="U164" i="33"/>
  <c r="V164" i="33"/>
  <c r="W164" i="33"/>
  <c r="M165" i="33"/>
  <c r="N165" i="33"/>
  <c r="O165" i="33"/>
  <c r="P165" i="33"/>
  <c r="Q165" i="33"/>
  <c r="R165" i="33"/>
  <c r="S165" i="33"/>
  <c r="T165" i="33"/>
  <c r="U165" i="33"/>
  <c r="V165" i="33"/>
  <c r="W165" i="33"/>
  <c r="N168" i="33"/>
  <c r="O168" i="33"/>
  <c r="P168" i="33"/>
  <c r="Q168" i="33"/>
  <c r="R168" i="33"/>
  <c r="S168" i="33"/>
  <c r="T168" i="33"/>
  <c r="U168" i="33"/>
  <c r="V168" i="33"/>
  <c r="W168" i="33"/>
  <c r="M171" i="33"/>
  <c r="N171" i="33"/>
  <c r="O171" i="33"/>
  <c r="P171" i="33"/>
  <c r="Q171" i="33"/>
  <c r="R171" i="33"/>
  <c r="S171" i="33"/>
  <c r="T171" i="33"/>
  <c r="U171" i="33"/>
  <c r="H181" i="33"/>
  <c r="I181" i="33"/>
  <c r="J181" i="33"/>
  <c r="K181" i="33"/>
  <c r="L181" i="33"/>
  <c r="M181" i="33"/>
  <c r="N181" i="33"/>
  <c r="O181" i="33"/>
  <c r="P181" i="33"/>
  <c r="Q181" i="33"/>
  <c r="R181" i="33"/>
  <c r="S181" i="33"/>
  <c r="T181" i="33"/>
  <c r="U181" i="33"/>
  <c r="V181" i="33"/>
  <c r="W181" i="33"/>
  <c r="T182" i="33"/>
  <c r="S182" i="33"/>
  <c r="R182" i="33"/>
  <c r="Q182" i="33"/>
  <c r="P182" i="33"/>
  <c r="O182" i="33"/>
  <c r="N182" i="33"/>
  <c r="M182" i="33"/>
  <c r="L182" i="33"/>
  <c r="K182" i="33"/>
  <c r="J182" i="33"/>
  <c r="I182" i="33"/>
  <c r="H182" i="33"/>
  <c r="T190" i="33"/>
  <c r="S190" i="33"/>
  <c r="R190" i="33"/>
  <c r="Q190" i="33"/>
  <c r="P190" i="33"/>
  <c r="O190" i="33"/>
  <c r="N190" i="33"/>
  <c r="M190" i="33"/>
  <c r="L190" i="33"/>
  <c r="K190" i="33"/>
  <c r="J190" i="33"/>
  <c r="I190" i="33"/>
  <c r="H190" i="33"/>
  <c r="T194" i="33"/>
  <c r="S194" i="33"/>
  <c r="R194" i="33"/>
  <c r="Q194" i="33"/>
  <c r="P194" i="33"/>
  <c r="O194" i="33"/>
  <c r="N194" i="33"/>
  <c r="M194" i="33"/>
  <c r="L194" i="33"/>
  <c r="K194" i="33"/>
  <c r="J194" i="33"/>
  <c r="I194" i="33"/>
  <c r="H194" i="33"/>
  <c r="U203" i="33"/>
  <c r="V203" i="33"/>
  <c r="W203" i="33"/>
  <c r="T203" i="33"/>
  <c r="S203" i="33"/>
  <c r="R203" i="33"/>
  <c r="Q203" i="33"/>
  <c r="P203" i="33"/>
  <c r="O203" i="33"/>
  <c r="N203" i="33"/>
  <c r="M203" i="33"/>
  <c r="L203" i="33"/>
  <c r="K203" i="33"/>
  <c r="J203" i="33"/>
  <c r="I203" i="33"/>
  <c r="H203" i="33"/>
  <c r="U204" i="33"/>
  <c r="V204" i="33"/>
  <c r="W204" i="33"/>
  <c r="T204" i="33"/>
  <c r="S204" i="33"/>
  <c r="R204" i="33"/>
  <c r="Q204" i="33"/>
  <c r="P204" i="33"/>
  <c r="O204" i="33"/>
  <c r="N204" i="33"/>
  <c r="M204" i="33"/>
  <c r="L204" i="33"/>
  <c r="K204" i="33"/>
  <c r="J204" i="33"/>
  <c r="I204" i="33"/>
  <c r="H204" i="33"/>
  <c r="H205" i="33"/>
  <c r="I205" i="33"/>
  <c r="J205" i="33"/>
  <c r="K205" i="33"/>
  <c r="L205" i="33"/>
  <c r="M205" i="33"/>
  <c r="N205" i="33"/>
  <c r="O205" i="33"/>
  <c r="P205" i="33"/>
  <c r="Q205" i="33"/>
  <c r="R205" i="33"/>
  <c r="S205" i="33"/>
  <c r="T205" i="33"/>
  <c r="U205" i="33"/>
  <c r="V205" i="33"/>
  <c r="W205" i="33"/>
  <c r="I206" i="33"/>
  <c r="J206" i="33"/>
  <c r="K206" i="33"/>
  <c r="L206" i="33"/>
  <c r="M206" i="33"/>
  <c r="N206" i="33"/>
  <c r="O206" i="33"/>
  <c r="P206" i="33"/>
  <c r="Q206" i="33"/>
  <c r="R206" i="33"/>
  <c r="S206" i="33"/>
  <c r="T206" i="33"/>
  <c r="U206" i="33"/>
  <c r="V206" i="33"/>
  <c r="W206" i="33"/>
  <c r="H207" i="33"/>
  <c r="I207" i="33"/>
  <c r="J207" i="33"/>
  <c r="K207" i="33"/>
  <c r="L207" i="33"/>
  <c r="M207" i="33"/>
  <c r="N207" i="33"/>
  <c r="O207" i="33"/>
  <c r="P207" i="33"/>
  <c r="Q207" i="33"/>
  <c r="R207" i="33"/>
  <c r="S207" i="33"/>
  <c r="T207" i="33"/>
  <c r="U207" i="33"/>
  <c r="V207" i="33"/>
  <c r="W207" i="33"/>
  <c r="U208" i="33"/>
  <c r="V208" i="33"/>
  <c r="W208" i="33"/>
  <c r="T208" i="33"/>
  <c r="S208" i="33"/>
  <c r="R208" i="33"/>
  <c r="Q208" i="33"/>
  <c r="P208" i="33"/>
  <c r="O208" i="33"/>
  <c r="N208" i="33"/>
  <c r="M208" i="33"/>
  <c r="L208" i="33"/>
  <c r="K208" i="33"/>
  <c r="J208" i="33"/>
  <c r="I208" i="33"/>
  <c r="H208" i="33"/>
  <c r="H210" i="33"/>
  <c r="I210" i="33"/>
  <c r="J210" i="33"/>
  <c r="K210" i="33"/>
  <c r="L210" i="33"/>
  <c r="M210" i="33"/>
  <c r="N210" i="33"/>
  <c r="O210" i="33"/>
  <c r="P210" i="33"/>
  <c r="Q210" i="33"/>
  <c r="R210" i="33"/>
  <c r="S210" i="33"/>
  <c r="T210" i="33"/>
  <c r="U210" i="33"/>
  <c r="V210" i="33"/>
  <c r="W210" i="33"/>
  <c r="I211" i="33"/>
  <c r="J211" i="33"/>
  <c r="K211" i="33"/>
  <c r="L211" i="33"/>
  <c r="M211" i="33"/>
  <c r="N211" i="33"/>
  <c r="O211" i="33"/>
  <c r="P211" i="33"/>
  <c r="Q211" i="33"/>
  <c r="R211" i="33"/>
  <c r="S211" i="33"/>
  <c r="T211" i="33"/>
  <c r="U211" i="33"/>
  <c r="V211" i="33"/>
  <c r="W211" i="33"/>
  <c r="H212" i="33"/>
  <c r="I212" i="33"/>
  <c r="J212" i="33"/>
  <c r="K212" i="33"/>
  <c r="L212" i="33"/>
  <c r="M212" i="33"/>
  <c r="N212" i="33"/>
  <c r="O212" i="33"/>
  <c r="P212" i="33"/>
  <c r="Q212" i="33"/>
  <c r="R212" i="33"/>
  <c r="S212" i="33"/>
  <c r="T212" i="33"/>
  <c r="U212" i="33"/>
  <c r="V212" i="33"/>
  <c r="W212" i="33"/>
  <c r="U220" i="33"/>
  <c r="V220" i="33"/>
  <c r="W220" i="33"/>
  <c r="T220" i="33"/>
  <c r="S220" i="33"/>
  <c r="R220" i="33"/>
  <c r="Q220" i="33"/>
  <c r="P220" i="33"/>
  <c r="O220" i="33"/>
  <c r="N220" i="33"/>
  <c r="M220" i="33"/>
  <c r="L220" i="33"/>
  <c r="K220" i="33"/>
  <c r="J220" i="33"/>
  <c r="I220" i="33"/>
  <c r="H220" i="33"/>
  <c r="P221" i="33"/>
  <c r="Q221" i="33"/>
  <c r="R221" i="33"/>
  <c r="S221" i="33"/>
  <c r="T221" i="33"/>
  <c r="U221" i="33"/>
  <c r="V221" i="33"/>
  <c r="W221" i="33"/>
  <c r="U224" i="33"/>
  <c r="V224" i="33"/>
  <c r="W224" i="33"/>
  <c r="T224" i="33"/>
  <c r="S224" i="33"/>
  <c r="R224" i="33"/>
  <c r="Q224" i="33"/>
  <c r="P224" i="33"/>
  <c r="O224" i="33"/>
  <c r="N224" i="33"/>
  <c r="M224" i="33"/>
  <c r="L224" i="33"/>
  <c r="K224" i="33"/>
  <c r="J224" i="33"/>
  <c r="I224" i="33"/>
  <c r="H224" i="33"/>
  <c r="J225" i="33"/>
  <c r="K225" i="33"/>
  <c r="L225" i="33"/>
  <c r="M225" i="33"/>
  <c r="N225" i="33"/>
  <c r="O225" i="33"/>
  <c r="P225" i="33"/>
  <c r="Q225" i="33"/>
  <c r="R225" i="33"/>
  <c r="S225" i="33"/>
  <c r="T225" i="33"/>
  <c r="U225" i="33"/>
  <c r="V225" i="33"/>
  <c r="W225" i="33"/>
  <c r="K226" i="33"/>
  <c r="L226" i="33"/>
  <c r="M226" i="33"/>
  <c r="N226" i="33"/>
  <c r="O226" i="33"/>
  <c r="P226" i="33"/>
  <c r="Q226" i="33"/>
  <c r="R226" i="33"/>
  <c r="S226" i="33"/>
  <c r="T226" i="33"/>
  <c r="U226" i="33"/>
  <c r="V226" i="33"/>
  <c r="W226" i="33"/>
  <c r="U227" i="33"/>
  <c r="V227" i="33"/>
  <c r="W227" i="33"/>
  <c r="T227" i="33"/>
  <c r="S227" i="33"/>
  <c r="R227" i="33"/>
  <c r="Q227" i="33"/>
  <c r="P227" i="33"/>
  <c r="O227" i="33"/>
  <c r="N227" i="33"/>
  <c r="M227" i="33"/>
  <c r="L227" i="33"/>
  <c r="K227" i="33"/>
  <c r="J227" i="33"/>
  <c r="I227" i="33"/>
  <c r="H227" i="33"/>
  <c r="I228" i="33"/>
  <c r="J228" i="33"/>
  <c r="K228" i="33"/>
  <c r="L228" i="33"/>
  <c r="M228" i="33"/>
  <c r="N228" i="33"/>
  <c r="O228" i="33"/>
  <c r="P228" i="33"/>
  <c r="Q228" i="33"/>
  <c r="R228" i="33"/>
  <c r="S228" i="33"/>
  <c r="T228" i="33"/>
  <c r="U228" i="33"/>
  <c r="U229" i="33"/>
  <c r="V229" i="33"/>
  <c r="W229" i="33"/>
  <c r="T229" i="33"/>
  <c r="S229" i="33"/>
  <c r="R229" i="33"/>
  <c r="Q229" i="33"/>
  <c r="P229" i="33"/>
  <c r="O229" i="33"/>
  <c r="N229" i="33"/>
  <c r="M229" i="33"/>
  <c r="L229" i="33"/>
  <c r="K229" i="33"/>
  <c r="J229" i="33"/>
  <c r="I229" i="33"/>
  <c r="H229" i="33"/>
  <c r="T230" i="33"/>
  <c r="S230" i="33"/>
  <c r="R230" i="33"/>
  <c r="Q230" i="33"/>
  <c r="P230" i="33"/>
  <c r="O230" i="33"/>
  <c r="N230" i="33"/>
  <c r="M230" i="33"/>
  <c r="L230" i="33"/>
  <c r="K230" i="33"/>
  <c r="J230" i="33"/>
  <c r="I230" i="33"/>
  <c r="H230" i="33"/>
  <c r="H231" i="33"/>
  <c r="I231" i="33"/>
  <c r="J231" i="33"/>
  <c r="K231" i="33"/>
  <c r="L231" i="33"/>
  <c r="M231" i="33"/>
  <c r="N231" i="33"/>
  <c r="O231" i="33"/>
  <c r="P231" i="33"/>
  <c r="Q231" i="33"/>
  <c r="R231" i="33"/>
  <c r="S231" i="33"/>
  <c r="T231" i="33"/>
  <c r="U231" i="33"/>
  <c r="V231" i="33"/>
  <c r="W231" i="33"/>
  <c r="I233" i="33"/>
  <c r="J233" i="33"/>
  <c r="K233" i="33"/>
  <c r="L233" i="33"/>
  <c r="M233" i="33"/>
  <c r="N233" i="33"/>
  <c r="O233" i="33"/>
  <c r="P233" i="33"/>
  <c r="Q233" i="33"/>
  <c r="R233" i="33"/>
  <c r="S233" i="33"/>
  <c r="T233" i="33"/>
  <c r="U233" i="33"/>
  <c r="V233" i="33"/>
  <c r="W233" i="33"/>
  <c r="U234" i="33"/>
  <c r="V234" i="33"/>
  <c r="W234" i="33"/>
  <c r="T234" i="33"/>
  <c r="S234" i="33"/>
  <c r="R234" i="33"/>
  <c r="Q234" i="33"/>
  <c r="P234" i="33"/>
  <c r="O234" i="33"/>
  <c r="N234" i="33"/>
  <c r="M234" i="33"/>
  <c r="L234" i="33"/>
  <c r="K234" i="33"/>
  <c r="J234" i="33"/>
  <c r="I234" i="33"/>
  <c r="H234" i="33"/>
  <c r="I235" i="33"/>
  <c r="J235" i="33"/>
  <c r="K235" i="33"/>
  <c r="L235" i="33"/>
  <c r="M235" i="33"/>
  <c r="N235" i="33"/>
  <c r="O235" i="33"/>
  <c r="P235" i="33"/>
  <c r="Q235" i="33"/>
  <c r="R235" i="33"/>
  <c r="S235" i="33"/>
  <c r="T235" i="33"/>
  <c r="U235" i="33"/>
  <c r="V235" i="33"/>
  <c r="W235" i="33"/>
  <c r="U236" i="33"/>
  <c r="V236" i="33"/>
  <c r="W236" i="33"/>
  <c r="T236" i="33"/>
  <c r="S236" i="33"/>
  <c r="R236" i="33"/>
  <c r="Q236" i="33"/>
  <c r="P236" i="33"/>
  <c r="O236" i="33"/>
  <c r="N236" i="33"/>
  <c r="M236" i="33"/>
  <c r="L236" i="33"/>
  <c r="K236" i="33"/>
  <c r="J236" i="33"/>
  <c r="I236" i="33"/>
  <c r="H236" i="33"/>
  <c r="U242" i="33"/>
  <c r="V242" i="33"/>
  <c r="W242" i="33"/>
  <c r="T242" i="33"/>
  <c r="S242" i="33"/>
  <c r="R242" i="33"/>
  <c r="Q242" i="33"/>
  <c r="P242" i="33"/>
  <c r="O242" i="33"/>
  <c r="N242" i="33"/>
  <c r="M242" i="33"/>
  <c r="L242" i="33"/>
  <c r="K242" i="33"/>
  <c r="J242" i="33"/>
  <c r="I242" i="33"/>
  <c r="H242" i="33"/>
  <c r="K244" i="33"/>
  <c r="L244" i="33"/>
  <c r="M244" i="33"/>
  <c r="N244" i="33"/>
  <c r="O244" i="33"/>
  <c r="P244" i="33"/>
  <c r="Q244" i="33"/>
  <c r="R244" i="33"/>
  <c r="S244" i="33"/>
  <c r="T244" i="33"/>
  <c r="U244" i="33"/>
  <c r="V244" i="33"/>
  <c r="W244" i="33"/>
  <c r="M245" i="33"/>
  <c r="N245" i="33"/>
  <c r="O245" i="33"/>
  <c r="P245" i="33"/>
  <c r="Q245" i="33"/>
  <c r="R245" i="33"/>
  <c r="S245" i="33"/>
  <c r="T245" i="33"/>
  <c r="U245" i="33"/>
  <c r="V245" i="33"/>
  <c r="W245" i="33"/>
  <c r="I248" i="33"/>
  <c r="J248" i="33"/>
  <c r="K248" i="33"/>
  <c r="L248" i="33"/>
  <c r="M248" i="33"/>
  <c r="N248" i="33"/>
  <c r="O248" i="33"/>
  <c r="P248" i="33"/>
  <c r="Q248" i="33"/>
  <c r="R248" i="33"/>
  <c r="S248" i="33"/>
  <c r="T248" i="33"/>
  <c r="U248" i="33"/>
  <c r="V248" i="33"/>
  <c r="W248" i="33"/>
  <c r="H249" i="33"/>
  <c r="I249" i="33"/>
  <c r="J249" i="33"/>
  <c r="K249" i="33"/>
  <c r="L249" i="33"/>
  <c r="M249" i="33"/>
  <c r="N249" i="33"/>
  <c r="O249" i="33"/>
  <c r="P249" i="33"/>
  <c r="Q249" i="33"/>
  <c r="R249" i="33"/>
  <c r="S249" i="33"/>
  <c r="T249" i="33"/>
  <c r="U249" i="33"/>
  <c r="V249" i="33"/>
  <c r="W249" i="33"/>
  <c r="I250" i="33"/>
  <c r="J250" i="33"/>
  <c r="K250" i="33"/>
  <c r="L250" i="33"/>
  <c r="M250" i="33"/>
  <c r="N250" i="33"/>
  <c r="O250" i="33"/>
  <c r="P250" i="33"/>
  <c r="Q250" i="33"/>
  <c r="R250" i="33"/>
  <c r="S250" i="33"/>
  <c r="T250" i="33"/>
  <c r="U250" i="33"/>
  <c r="V250" i="33"/>
  <c r="W250" i="33"/>
  <c r="P251" i="33"/>
  <c r="Q251" i="33"/>
  <c r="R251" i="33"/>
  <c r="S251" i="33"/>
  <c r="T251" i="33"/>
  <c r="U251" i="33"/>
  <c r="V251" i="33"/>
  <c r="W251" i="33"/>
  <c r="H258" i="33"/>
  <c r="I258" i="33"/>
  <c r="J258" i="33"/>
  <c r="K258" i="33"/>
  <c r="L258" i="33"/>
  <c r="M258" i="33"/>
  <c r="N258" i="33"/>
  <c r="O258" i="33"/>
  <c r="P258" i="33"/>
  <c r="Q258" i="33"/>
  <c r="R258" i="33"/>
  <c r="S258" i="33"/>
  <c r="T258" i="33"/>
  <c r="U258" i="33"/>
  <c r="V258" i="33"/>
  <c r="W258" i="33"/>
  <c r="T263" i="33"/>
  <c r="S263" i="33"/>
  <c r="R263" i="33"/>
  <c r="Q263" i="33"/>
  <c r="P263" i="33"/>
  <c r="O263" i="33"/>
  <c r="N263" i="33"/>
  <c r="M263" i="33"/>
  <c r="L263" i="33"/>
  <c r="K263" i="33"/>
  <c r="J263" i="33"/>
  <c r="I263" i="33"/>
  <c r="H263" i="33"/>
  <c r="T264" i="33"/>
  <c r="S264" i="33"/>
  <c r="R264" i="33"/>
  <c r="Q264" i="33"/>
  <c r="P264" i="33"/>
  <c r="O264" i="33"/>
  <c r="N264" i="33"/>
  <c r="M264" i="33"/>
  <c r="L264" i="33"/>
  <c r="K264" i="33"/>
  <c r="J264" i="33"/>
  <c r="I264" i="33"/>
  <c r="H264" i="33"/>
  <c r="T265" i="33"/>
  <c r="S265" i="33"/>
  <c r="R265" i="33"/>
  <c r="Q265" i="33"/>
  <c r="P265" i="33"/>
  <c r="O265" i="33"/>
  <c r="N265" i="33"/>
  <c r="M265" i="33"/>
  <c r="L265" i="33"/>
  <c r="K265" i="33"/>
  <c r="J265" i="33"/>
  <c r="I265" i="33"/>
  <c r="H265" i="33"/>
  <c r="T267" i="33"/>
  <c r="S267" i="33"/>
  <c r="R267" i="33"/>
  <c r="Q267" i="33"/>
  <c r="P267" i="33"/>
  <c r="O267" i="33"/>
  <c r="N267" i="33"/>
  <c r="M267" i="33"/>
  <c r="L267" i="33"/>
  <c r="K267" i="33"/>
  <c r="J267" i="33"/>
  <c r="I267" i="33"/>
  <c r="H267" i="33"/>
  <c r="P269" i="33"/>
  <c r="Q269" i="33"/>
  <c r="R269" i="33"/>
  <c r="S269" i="33"/>
  <c r="T269" i="33"/>
  <c r="U269" i="33"/>
  <c r="V269" i="33"/>
  <c r="W269" i="33"/>
  <c r="H270" i="33"/>
  <c r="I270" i="33"/>
  <c r="J270" i="33"/>
  <c r="K270" i="33"/>
  <c r="L270" i="33"/>
  <c r="M270" i="33"/>
  <c r="N270" i="33"/>
  <c r="O270" i="33"/>
  <c r="P270" i="33"/>
  <c r="Q270" i="33"/>
  <c r="R270" i="33"/>
  <c r="S270" i="33"/>
  <c r="T270" i="33"/>
  <c r="U270" i="33"/>
  <c r="V270" i="33"/>
  <c r="W270" i="33"/>
  <c r="T272" i="33"/>
  <c r="S272" i="33"/>
  <c r="R272" i="33"/>
  <c r="Q272" i="33"/>
  <c r="P272" i="33"/>
  <c r="O272" i="33"/>
  <c r="N272" i="33"/>
  <c r="M272" i="33"/>
  <c r="L272" i="33"/>
  <c r="K272" i="33"/>
  <c r="J272" i="33"/>
  <c r="I272" i="33"/>
  <c r="H272" i="33"/>
  <c r="P273" i="33"/>
  <c r="Q273" i="33"/>
  <c r="R273" i="33"/>
  <c r="S273" i="33"/>
  <c r="T273" i="33"/>
  <c r="U273" i="33"/>
  <c r="V273" i="33"/>
  <c r="W273" i="33"/>
  <c r="U275" i="33"/>
  <c r="V275" i="33"/>
  <c r="W275" i="33"/>
  <c r="T275" i="33"/>
  <c r="S275" i="33"/>
  <c r="R275" i="33"/>
  <c r="Q275" i="33"/>
  <c r="P275" i="33"/>
  <c r="O275" i="33"/>
  <c r="N275" i="33"/>
  <c r="M275" i="33"/>
  <c r="L275" i="33"/>
  <c r="K275" i="33"/>
  <c r="J275" i="33"/>
  <c r="I275" i="33"/>
  <c r="H275" i="33"/>
  <c r="T278" i="33"/>
  <c r="S278" i="33"/>
  <c r="R278" i="33"/>
  <c r="Q278" i="33"/>
  <c r="P278" i="33"/>
  <c r="O278" i="33"/>
  <c r="N278" i="33"/>
  <c r="M278" i="33"/>
  <c r="L278" i="33"/>
  <c r="K278" i="33"/>
  <c r="J278" i="33"/>
  <c r="I278" i="33"/>
  <c r="H278" i="33"/>
  <c r="I284" i="33"/>
  <c r="J284" i="33"/>
  <c r="K284" i="33"/>
  <c r="L284" i="33"/>
  <c r="M284" i="33"/>
  <c r="N284" i="33"/>
  <c r="O284" i="33"/>
  <c r="P284" i="33"/>
  <c r="Q284" i="33"/>
  <c r="R284" i="33"/>
  <c r="S284" i="33"/>
  <c r="T284" i="33"/>
  <c r="U284" i="33"/>
  <c r="V284" i="33"/>
  <c r="W284" i="33"/>
  <c r="T286" i="33"/>
  <c r="S286" i="33"/>
  <c r="R286" i="33"/>
  <c r="Q286" i="33"/>
  <c r="P286" i="33"/>
  <c r="O286" i="33"/>
  <c r="N286" i="33"/>
  <c r="M286" i="33"/>
  <c r="L286" i="33"/>
  <c r="K286" i="33"/>
  <c r="J286" i="33"/>
  <c r="I286" i="33"/>
  <c r="H286" i="33"/>
  <c r="T287" i="33"/>
  <c r="S287" i="33"/>
  <c r="R287" i="33"/>
  <c r="Q287" i="33"/>
  <c r="P287" i="33"/>
  <c r="O287" i="33"/>
  <c r="N287" i="33"/>
  <c r="M287" i="33"/>
  <c r="L287" i="33"/>
  <c r="K287" i="33"/>
  <c r="J287" i="33"/>
  <c r="I287" i="33"/>
  <c r="H287" i="33"/>
  <c r="T288" i="33"/>
  <c r="S288" i="33"/>
  <c r="R288" i="33"/>
  <c r="Q288" i="33"/>
  <c r="P288" i="33"/>
  <c r="O288" i="33"/>
  <c r="N288" i="33"/>
  <c r="M288" i="33"/>
  <c r="L288" i="33"/>
  <c r="K288" i="33"/>
  <c r="J288" i="33"/>
  <c r="I288" i="33"/>
  <c r="H288" i="33"/>
  <c r="U289" i="33"/>
  <c r="V289" i="33"/>
  <c r="W289" i="33"/>
  <c r="T289" i="33"/>
  <c r="S289" i="33"/>
  <c r="R289" i="33"/>
  <c r="Q289" i="33"/>
  <c r="P289" i="33"/>
  <c r="O289" i="33"/>
  <c r="N289" i="33"/>
  <c r="M289" i="33"/>
  <c r="L289" i="33"/>
  <c r="K289" i="33"/>
  <c r="J289" i="33"/>
  <c r="I289" i="33"/>
  <c r="H289" i="33"/>
  <c r="T290" i="33"/>
  <c r="S290" i="33"/>
  <c r="R290" i="33"/>
  <c r="Q290" i="33"/>
  <c r="P290" i="33"/>
  <c r="O290" i="33"/>
  <c r="N290" i="33"/>
  <c r="M290" i="33"/>
  <c r="L290" i="33"/>
  <c r="K290" i="33"/>
  <c r="J290" i="33"/>
  <c r="I290" i="33"/>
  <c r="H290" i="33"/>
  <c r="T291" i="33"/>
  <c r="S291" i="33"/>
  <c r="R291" i="33"/>
  <c r="Q291" i="33"/>
  <c r="P291" i="33"/>
  <c r="O291" i="33"/>
  <c r="N291" i="33"/>
  <c r="M291" i="33"/>
  <c r="L291" i="33"/>
  <c r="K291" i="33"/>
  <c r="J291" i="33"/>
  <c r="I291" i="33"/>
  <c r="H291" i="33"/>
  <c r="T292" i="33"/>
  <c r="S292" i="33"/>
  <c r="R292" i="33"/>
  <c r="Q292" i="33"/>
  <c r="P292" i="33"/>
  <c r="O292" i="33"/>
  <c r="N292" i="33"/>
  <c r="M292" i="33"/>
  <c r="L292" i="33"/>
  <c r="K292" i="33"/>
  <c r="J292" i="33"/>
  <c r="I292" i="33"/>
  <c r="H292" i="33"/>
  <c r="T293" i="33"/>
  <c r="S293" i="33"/>
  <c r="R293" i="33"/>
  <c r="Q293" i="33"/>
  <c r="P293" i="33"/>
  <c r="O293" i="33"/>
  <c r="N293" i="33"/>
  <c r="M293" i="33"/>
  <c r="L293" i="33"/>
  <c r="K293" i="33"/>
  <c r="J293" i="33"/>
  <c r="I293" i="33"/>
  <c r="H293" i="33"/>
  <c r="T295" i="33"/>
  <c r="S295" i="33"/>
  <c r="R295" i="33"/>
  <c r="Q295" i="33"/>
  <c r="P295" i="33"/>
  <c r="O295" i="33"/>
  <c r="N295" i="33"/>
  <c r="M295" i="33"/>
  <c r="L295" i="33"/>
  <c r="K295" i="33"/>
  <c r="J295" i="33"/>
  <c r="I295" i="33"/>
  <c r="H295" i="33"/>
  <c r="T296" i="33"/>
  <c r="S296" i="33"/>
  <c r="R296" i="33"/>
  <c r="Q296" i="33"/>
  <c r="P296" i="33"/>
  <c r="O296" i="33"/>
  <c r="N296" i="33"/>
  <c r="M296" i="33"/>
  <c r="L296" i="33"/>
  <c r="K296" i="33"/>
  <c r="J296" i="33"/>
  <c r="I296" i="33"/>
  <c r="H296" i="33"/>
  <c r="T297" i="33"/>
  <c r="S297" i="33"/>
  <c r="R297" i="33"/>
  <c r="Q297" i="33"/>
  <c r="P297" i="33"/>
  <c r="O297" i="33"/>
  <c r="N297" i="33"/>
  <c r="M297" i="33"/>
  <c r="L297" i="33"/>
  <c r="K297" i="33"/>
  <c r="J297" i="33"/>
  <c r="I297" i="33"/>
  <c r="H297" i="33"/>
  <c r="T298" i="33"/>
  <c r="S298" i="33"/>
  <c r="R298" i="33"/>
  <c r="Q298" i="33"/>
  <c r="P298" i="33"/>
  <c r="O298" i="33"/>
  <c r="N298" i="33"/>
  <c r="M298" i="33"/>
  <c r="L298" i="33"/>
  <c r="K298" i="33"/>
  <c r="J298" i="33"/>
  <c r="I298" i="33"/>
  <c r="H298" i="33"/>
  <c r="T299" i="33"/>
  <c r="S299" i="33"/>
  <c r="R299" i="33"/>
  <c r="Q299" i="33"/>
  <c r="P299" i="33"/>
  <c r="O299" i="33"/>
  <c r="N299" i="33"/>
  <c r="M299" i="33"/>
  <c r="L299" i="33"/>
  <c r="K299" i="33"/>
  <c r="J299" i="33"/>
  <c r="I299" i="33"/>
  <c r="H299" i="33"/>
  <c r="U300" i="33"/>
  <c r="V300" i="33"/>
  <c r="W300" i="33"/>
  <c r="T300" i="33"/>
  <c r="S300" i="33"/>
  <c r="R300" i="33"/>
  <c r="Q300" i="33"/>
  <c r="P300" i="33"/>
  <c r="O300" i="33"/>
  <c r="N300" i="33"/>
  <c r="M300" i="33"/>
  <c r="L300" i="33"/>
  <c r="K300" i="33"/>
  <c r="J300" i="33"/>
  <c r="I300" i="33"/>
  <c r="H300" i="33"/>
  <c r="U301" i="33"/>
  <c r="V301" i="33"/>
  <c r="W301" i="33"/>
  <c r="T301" i="33"/>
  <c r="S301" i="33"/>
  <c r="R301" i="33"/>
  <c r="Q301" i="33"/>
  <c r="P301" i="33"/>
  <c r="O301" i="33"/>
  <c r="N301" i="33"/>
  <c r="M301" i="33"/>
  <c r="L301" i="33"/>
  <c r="K301" i="33"/>
  <c r="J301" i="33"/>
  <c r="I301" i="33"/>
  <c r="H301" i="33"/>
  <c r="U302" i="33"/>
  <c r="V302" i="33"/>
  <c r="W302" i="33"/>
  <c r="T302" i="33"/>
  <c r="S302" i="33"/>
  <c r="R302" i="33"/>
  <c r="Q302" i="33"/>
  <c r="P302" i="33"/>
  <c r="O302" i="33"/>
  <c r="N302" i="33"/>
  <c r="M302" i="33"/>
  <c r="L302" i="33"/>
  <c r="K302" i="33"/>
  <c r="J302" i="33"/>
  <c r="I302" i="33"/>
  <c r="H302" i="33"/>
  <c r="U303" i="33"/>
  <c r="V303" i="33"/>
  <c r="W303" i="33"/>
  <c r="T303" i="33"/>
  <c r="S303" i="33"/>
  <c r="R303" i="33"/>
  <c r="Q303" i="33"/>
  <c r="P303" i="33"/>
  <c r="O303" i="33"/>
  <c r="N303" i="33"/>
  <c r="M303" i="33"/>
  <c r="L303" i="33"/>
  <c r="K303" i="33"/>
  <c r="J303" i="33"/>
  <c r="I303" i="33"/>
  <c r="H303" i="33"/>
  <c r="U304" i="33"/>
  <c r="V304" i="33"/>
  <c r="W304" i="33"/>
  <c r="T304" i="33"/>
  <c r="S304" i="33"/>
  <c r="R304" i="33"/>
  <c r="Q304" i="33"/>
  <c r="P304" i="33"/>
  <c r="O304" i="33"/>
  <c r="N304" i="33"/>
  <c r="M304" i="33"/>
  <c r="L304" i="33"/>
  <c r="K304" i="33"/>
  <c r="J304" i="33"/>
  <c r="I304" i="33"/>
  <c r="H304" i="33"/>
  <c r="T305" i="33"/>
  <c r="S305" i="33"/>
  <c r="R305" i="33"/>
  <c r="Q305" i="33"/>
  <c r="P305" i="33"/>
  <c r="O305" i="33"/>
  <c r="N305" i="33"/>
  <c r="M305" i="33"/>
  <c r="L305" i="33"/>
  <c r="K305" i="33"/>
  <c r="J305" i="33"/>
  <c r="I305" i="33"/>
  <c r="H305" i="33"/>
  <c r="T307" i="33"/>
  <c r="S307" i="33"/>
  <c r="R307" i="33"/>
  <c r="Q307" i="33"/>
  <c r="P307" i="33"/>
  <c r="O307" i="33"/>
  <c r="N307" i="33"/>
  <c r="M307" i="33"/>
  <c r="L307" i="33"/>
  <c r="K307" i="33"/>
  <c r="J307" i="33"/>
  <c r="I307" i="33"/>
  <c r="H307" i="33"/>
  <c r="T308" i="33"/>
  <c r="S308" i="33"/>
  <c r="R308" i="33"/>
  <c r="Q308" i="33"/>
  <c r="P308" i="33"/>
  <c r="O308" i="33"/>
  <c r="N308" i="33"/>
  <c r="M308" i="33"/>
  <c r="L308" i="33"/>
  <c r="K308" i="33"/>
  <c r="J308" i="33"/>
  <c r="I308" i="33"/>
  <c r="H308" i="33"/>
  <c r="T309" i="33"/>
  <c r="S309" i="33"/>
  <c r="R309" i="33"/>
  <c r="Q309" i="33"/>
  <c r="P309" i="33"/>
  <c r="O309" i="33"/>
  <c r="N309" i="33"/>
  <c r="M309" i="33"/>
  <c r="L309" i="33"/>
  <c r="K309" i="33"/>
  <c r="J309" i="33"/>
  <c r="I309" i="33"/>
  <c r="H309" i="33"/>
  <c r="T310" i="33"/>
  <c r="S310" i="33"/>
  <c r="R310" i="33"/>
  <c r="Q310" i="33"/>
  <c r="P310" i="33"/>
  <c r="O310" i="33"/>
  <c r="N310" i="33"/>
  <c r="M310" i="33"/>
  <c r="L310" i="33"/>
  <c r="K310" i="33"/>
  <c r="J310" i="33"/>
  <c r="I310" i="33"/>
  <c r="H310" i="33"/>
  <c r="T311" i="33"/>
  <c r="S311" i="33"/>
  <c r="R311" i="33"/>
  <c r="Q311" i="33"/>
  <c r="P311" i="33"/>
  <c r="O311" i="33"/>
  <c r="N311" i="33"/>
  <c r="M311" i="33"/>
  <c r="L311" i="33"/>
  <c r="K311" i="33"/>
  <c r="J311" i="33"/>
  <c r="I311" i="33"/>
  <c r="H311" i="33"/>
  <c r="T312" i="33"/>
  <c r="S312" i="33"/>
  <c r="R312" i="33"/>
  <c r="Q312" i="33"/>
  <c r="P312" i="33"/>
  <c r="O312" i="33"/>
  <c r="N312" i="33"/>
  <c r="M312" i="33"/>
  <c r="L312" i="33"/>
  <c r="K312" i="33"/>
  <c r="J312" i="33"/>
  <c r="I312" i="33"/>
  <c r="H312" i="33"/>
  <c r="T313" i="33"/>
  <c r="S313" i="33"/>
  <c r="R313" i="33"/>
  <c r="Q313" i="33"/>
  <c r="P313" i="33"/>
  <c r="O313" i="33"/>
  <c r="N313" i="33"/>
  <c r="M313" i="33"/>
  <c r="L313" i="33"/>
  <c r="K313" i="33"/>
  <c r="J313" i="33"/>
  <c r="I313" i="33"/>
  <c r="H313" i="33"/>
  <c r="T314" i="33"/>
  <c r="S314" i="33"/>
  <c r="R314" i="33"/>
  <c r="Q314" i="33"/>
  <c r="P314" i="33"/>
  <c r="O314" i="33"/>
  <c r="N314" i="33"/>
  <c r="M314" i="33"/>
  <c r="L314" i="33"/>
  <c r="K314" i="33"/>
  <c r="J314" i="33"/>
  <c r="I314" i="33"/>
  <c r="H314" i="33"/>
  <c r="T315" i="33"/>
  <c r="S315" i="33"/>
  <c r="R315" i="33"/>
  <c r="Q315" i="33"/>
  <c r="P315" i="33"/>
  <c r="O315" i="33"/>
  <c r="N315" i="33"/>
  <c r="M315" i="33"/>
  <c r="L315" i="33"/>
  <c r="K315" i="33"/>
  <c r="J315" i="33"/>
  <c r="I315" i="33"/>
  <c r="H315" i="33"/>
  <c r="T316" i="33"/>
  <c r="S316" i="33"/>
  <c r="R316" i="33"/>
  <c r="Q316" i="33"/>
  <c r="P316" i="33"/>
  <c r="O316" i="33"/>
  <c r="N316" i="33"/>
  <c r="M316" i="33"/>
  <c r="L316" i="33"/>
  <c r="K316" i="33"/>
  <c r="J316" i="33"/>
  <c r="I316" i="33"/>
  <c r="H316" i="33"/>
  <c r="T317" i="33"/>
  <c r="S317" i="33"/>
  <c r="R317" i="33"/>
  <c r="Q317" i="33"/>
  <c r="P317" i="33"/>
  <c r="O317" i="33"/>
  <c r="N317" i="33"/>
  <c r="M317" i="33"/>
  <c r="L317" i="33"/>
  <c r="K317" i="33"/>
  <c r="J317" i="33"/>
  <c r="I317" i="33"/>
  <c r="H317" i="33"/>
  <c r="T318" i="33"/>
  <c r="S318" i="33"/>
  <c r="R318" i="33"/>
  <c r="Q318" i="33"/>
  <c r="P318" i="33"/>
  <c r="O318" i="33"/>
  <c r="N318" i="33"/>
  <c r="M318" i="33"/>
  <c r="L318" i="33"/>
  <c r="K318" i="33"/>
  <c r="J318" i="33"/>
  <c r="I318" i="33"/>
  <c r="H318" i="33"/>
  <c r="T319" i="33"/>
  <c r="S319" i="33"/>
  <c r="R319" i="33"/>
  <c r="Q319" i="33"/>
  <c r="P319" i="33"/>
  <c r="O319" i="33"/>
  <c r="N319" i="33"/>
  <c r="M319" i="33"/>
  <c r="L319" i="33"/>
  <c r="K319" i="33"/>
  <c r="J319" i="33"/>
  <c r="I319" i="33"/>
  <c r="H319" i="33"/>
  <c r="M320" i="33"/>
  <c r="N320" i="33"/>
  <c r="O320" i="33"/>
  <c r="P320" i="33"/>
  <c r="Q320" i="33"/>
  <c r="R320" i="33"/>
  <c r="S320" i="33"/>
  <c r="T320" i="33"/>
  <c r="U320" i="33"/>
  <c r="V320" i="33"/>
  <c r="W320" i="33"/>
  <c r="M322" i="33"/>
  <c r="N322" i="33"/>
  <c r="O322" i="33"/>
  <c r="P322" i="33"/>
  <c r="Q322" i="33"/>
  <c r="R322" i="33"/>
  <c r="S322" i="33"/>
  <c r="T322" i="33"/>
  <c r="U322" i="33"/>
  <c r="V322" i="33"/>
  <c r="W322" i="33"/>
  <c r="T323" i="33"/>
  <c r="S323" i="33"/>
  <c r="R323" i="33"/>
  <c r="Q323" i="33"/>
  <c r="P323" i="33"/>
  <c r="O323" i="33"/>
  <c r="N323" i="33"/>
  <c r="M323" i="33"/>
  <c r="L323" i="33"/>
  <c r="K323" i="33"/>
  <c r="J323" i="33"/>
  <c r="I323" i="33"/>
  <c r="H323" i="33"/>
  <c r="U324" i="33"/>
  <c r="V324" i="33"/>
  <c r="W324" i="33"/>
  <c r="T324" i="33"/>
  <c r="S324" i="33"/>
  <c r="R324" i="33"/>
  <c r="Q324" i="33"/>
  <c r="P324" i="33"/>
  <c r="O324" i="33"/>
  <c r="N324" i="33"/>
  <c r="M324" i="33"/>
  <c r="L324" i="33"/>
  <c r="K324" i="33"/>
  <c r="J324" i="33"/>
  <c r="I324" i="33"/>
  <c r="H324" i="33"/>
  <c r="T325" i="33"/>
  <c r="S325" i="33"/>
  <c r="R325" i="33"/>
  <c r="Q325" i="33"/>
  <c r="P325" i="33"/>
  <c r="O325" i="33"/>
  <c r="N325" i="33"/>
  <c r="M325" i="33"/>
  <c r="L325" i="33"/>
  <c r="K325" i="33"/>
  <c r="J325" i="33"/>
  <c r="I325" i="33"/>
  <c r="H325" i="33"/>
  <c r="T326" i="33"/>
  <c r="S326" i="33"/>
  <c r="R326" i="33"/>
  <c r="Q326" i="33"/>
  <c r="P326" i="33"/>
  <c r="O326" i="33"/>
  <c r="N326" i="33"/>
  <c r="M326" i="33"/>
  <c r="L326" i="33"/>
  <c r="K326" i="33"/>
  <c r="J326" i="33"/>
  <c r="I326" i="33"/>
  <c r="H326" i="33"/>
  <c r="T327" i="33"/>
  <c r="S327" i="33"/>
  <c r="R327" i="33"/>
  <c r="Q327" i="33"/>
  <c r="P327" i="33"/>
  <c r="O327" i="33"/>
  <c r="N327" i="33"/>
  <c r="M327" i="33"/>
  <c r="L327" i="33"/>
  <c r="K327" i="33"/>
  <c r="J327" i="33"/>
  <c r="I327" i="33"/>
  <c r="H327" i="33"/>
  <c r="T328" i="33"/>
  <c r="S328" i="33"/>
  <c r="R328" i="33"/>
  <c r="Q328" i="33"/>
  <c r="P328" i="33"/>
  <c r="O328" i="33"/>
  <c r="N328" i="33"/>
  <c r="M328" i="33"/>
  <c r="L328" i="33"/>
  <c r="K328" i="33"/>
  <c r="J328" i="33"/>
  <c r="I328" i="33"/>
  <c r="H328" i="33"/>
  <c r="T329" i="33"/>
  <c r="S329" i="33"/>
  <c r="R329" i="33"/>
  <c r="Q329" i="33"/>
  <c r="P329" i="33"/>
  <c r="O329" i="33"/>
  <c r="N329" i="33"/>
  <c r="M329" i="33"/>
  <c r="L329" i="33"/>
  <c r="K329" i="33"/>
  <c r="J329" i="33"/>
  <c r="I329" i="33"/>
  <c r="H329" i="33"/>
  <c r="T330" i="33"/>
  <c r="S330" i="33"/>
  <c r="R330" i="33"/>
  <c r="Q330" i="33"/>
  <c r="P330" i="33"/>
  <c r="O330" i="33"/>
  <c r="N330" i="33"/>
  <c r="M330" i="33"/>
  <c r="L330" i="33"/>
  <c r="K330" i="33"/>
  <c r="J330" i="33"/>
  <c r="I330" i="33"/>
  <c r="H330" i="33"/>
  <c r="T332" i="33"/>
  <c r="S332" i="33"/>
  <c r="R332" i="33"/>
  <c r="Q332" i="33"/>
  <c r="P332" i="33"/>
  <c r="O332" i="33"/>
  <c r="N332" i="33"/>
  <c r="M332" i="33"/>
  <c r="L332" i="33"/>
  <c r="K332" i="33"/>
  <c r="J332" i="33"/>
  <c r="I332" i="33"/>
  <c r="H332" i="33"/>
  <c r="T333" i="33"/>
  <c r="S333" i="33"/>
  <c r="R333" i="33"/>
  <c r="Q333" i="33"/>
  <c r="P333" i="33"/>
  <c r="O333" i="33"/>
  <c r="N333" i="33"/>
  <c r="M333" i="33"/>
  <c r="L333" i="33"/>
  <c r="K333" i="33"/>
  <c r="J333" i="33"/>
  <c r="I333" i="33"/>
  <c r="H333" i="33"/>
  <c r="T334" i="33"/>
  <c r="S334" i="33"/>
  <c r="R334" i="33"/>
  <c r="Q334" i="33"/>
  <c r="P334" i="33"/>
  <c r="O334" i="33"/>
  <c r="N334" i="33"/>
  <c r="M334" i="33"/>
  <c r="L334" i="33"/>
  <c r="K334" i="33"/>
  <c r="J334" i="33"/>
  <c r="I334" i="33"/>
  <c r="H334" i="33"/>
  <c r="U335" i="33"/>
  <c r="V335" i="33"/>
  <c r="W335" i="33"/>
  <c r="T335" i="33"/>
  <c r="S335" i="33"/>
  <c r="R335" i="33"/>
  <c r="Q335" i="33"/>
  <c r="P335" i="33"/>
  <c r="O335" i="33"/>
  <c r="N335" i="33"/>
  <c r="M335" i="33"/>
  <c r="L335" i="33"/>
  <c r="K335" i="33"/>
  <c r="J335" i="33"/>
  <c r="I335" i="33"/>
  <c r="H335" i="33"/>
  <c r="T336" i="33"/>
  <c r="S336" i="33"/>
  <c r="R336" i="33"/>
  <c r="Q336" i="33"/>
  <c r="P336" i="33"/>
  <c r="O336" i="33"/>
  <c r="N336" i="33"/>
  <c r="M336" i="33"/>
  <c r="L336" i="33"/>
  <c r="K336" i="33"/>
  <c r="J336" i="33"/>
  <c r="I336" i="33"/>
  <c r="H336" i="33"/>
  <c r="T337" i="33"/>
  <c r="S337" i="33"/>
  <c r="R337" i="33"/>
  <c r="Q337" i="33"/>
  <c r="P337" i="33"/>
  <c r="O337" i="33"/>
  <c r="N337" i="33"/>
  <c r="M337" i="33"/>
  <c r="L337" i="33"/>
  <c r="K337" i="33"/>
  <c r="J337" i="33"/>
  <c r="I337" i="33"/>
  <c r="H337" i="33"/>
  <c r="T338" i="33"/>
  <c r="S338" i="33"/>
  <c r="R338" i="33"/>
  <c r="Q338" i="33"/>
  <c r="P338" i="33"/>
  <c r="O338" i="33"/>
  <c r="N338" i="33"/>
  <c r="M338" i="33"/>
  <c r="L338" i="33"/>
  <c r="K338" i="33"/>
  <c r="J338" i="33"/>
  <c r="I338" i="33"/>
  <c r="H338" i="33"/>
  <c r="T339" i="33"/>
  <c r="S339" i="33"/>
  <c r="R339" i="33"/>
  <c r="Q339" i="33"/>
  <c r="P339" i="33"/>
  <c r="O339" i="33"/>
  <c r="N339" i="33"/>
  <c r="M339" i="33"/>
  <c r="L339" i="33"/>
  <c r="K339" i="33"/>
  <c r="J339" i="33"/>
  <c r="I339" i="33"/>
  <c r="H339" i="33"/>
  <c r="T340" i="33"/>
  <c r="S340" i="33"/>
  <c r="R340" i="33"/>
  <c r="Q340" i="33"/>
  <c r="P340" i="33"/>
  <c r="O340" i="33"/>
  <c r="N340" i="33"/>
  <c r="M340" i="33"/>
  <c r="L340" i="33"/>
  <c r="K340" i="33"/>
  <c r="J340" i="33"/>
  <c r="I340" i="33"/>
  <c r="H340" i="33"/>
  <c r="T341" i="33"/>
  <c r="S341" i="33"/>
  <c r="R341" i="33"/>
  <c r="Q341" i="33"/>
  <c r="P341" i="33"/>
  <c r="O341" i="33"/>
  <c r="N341" i="33"/>
  <c r="M341" i="33"/>
  <c r="L341" i="33"/>
  <c r="K341" i="33"/>
  <c r="J341" i="33"/>
  <c r="I341" i="33"/>
  <c r="H341" i="33"/>
  <c r="T342" i="33"/>
  <c r="S342" i="33"/>
  <c r="R342" i="33"/>
  <c r="Q342" i="33"/>
  <c r="P342" i="33"/>
  <c r="O342" i="33"/>
  <c r="N342" i="33"/>
  <c r="M342" i="33"/>
  <c r="L342" i="33"/>
  <c r="K342" i="33"/>
  <c r="J342" i="33"/>
  <c r="I342" i="33"/>
  <c r="H342" i="33"/>
  <c r="V348" i="33"/>
  <c r="W348" i="33"/>
  <c r="H350" i="33"/>
  <c r="I350" i="33"/>
  <c r="J350" i="33"/>
  <c r="K350" i="33"/>
  <c r="L350" i="33"/>
  <c r="M350" i="33"/>
  <c r="N350" i="33"/>
  <c r="O350" i="33"/>
  <c r="P350" i="33"/>
  <c r="Q350" i="33"/>
  <c r="R350" i="33"/>
  <c r="S350" i="33"/>
  <c r="T350" i="33"/>
  <c r="U350" i="33"/>
  <c r="V350" i="33"/>
  <c r="W350" i="33"/>
  <c r="I351" i="33"/>
  <c r="J351" i="33"/>
  <c r="K351" i="33"/>
  <c r="L351" i="33"/>
  <c r="M351" i="33"/>
  <c r="N351" i="33"/>
  <c r="O351" i="33"/>
  <c r="P351" i="33"/>
  <c r="Q351" i="33"/>
  <c r="R351" i="33"/>
  <c r="S351" i="33"/>
  <c r="T351" i="33"/>
  <c r="U351" i="33"/>
  <c r="V351" i="33"/>
  <c r="W351" i="33"/>
  <c r="I356" i="33"/>
  <c r="J356" i="33"/>
  <c r="K356" i="33"/>
  <c r="L356" i="33"/>
  <c r="M356" i="33"/>
  <c r="N356" i="33"/>
  <c r="O356" i="33"/>
  <c r="P356" i="33"/>
  <c r="Q356" i="33"/>
  <c r="R356" i="33"/>
  <c r="S356" i="33"/>
  <c r="T356" i="33"/>
  <c r="U356" i="33"/>
  <c r="V356" i="33"/>
  <c r="W356" i="33"/>
  <c r="J358" i="33"/>
  <c r="K358" i="33"/>
  <c r="L358" i="33"/>
  <c r="M358" i="33"/>
  <c r="N358" i="33"/>
  <c r="O358" i="33"/>
  <c r="P358" i="33"/>
  <c r="Q358" i="33"/>
  <c r="R358" i="33"/>
  <c r="S358" i="33"/>
  <c r="T358" i="33"/>
  <c r="U358" i="33"/>
  <c r="V358" i="33"/>
  <c r="W358" i="33"/>
  <c r="M13" i="23"/>
  <c r="T368" i="33"/>
  <c r="S368" i="33"/>
  <c r="R368" i="33"/>
  <c r="Q368" i="33"/>
  <c r="P368" i="33"/>
  <c r="O368" i="33"/>
  <c r="N368" i="33"/>
  <c r="M368" i="33"/>
  <c r="L368" i="33"/>
  <c r="K368" i="33"/>
  <c r="J368" i="33"/>
  <c r="I368" i="33"/>
  <c r="H368" i="33"/>
  <c r="J370" i="33"/>
  <c r="K370" i="33"/>
  <c r="L370" i="33"/>
  <c r="M370" i="33"/>
  <c r="N370" i="33"/>
  <c r="O370" i="33"/>
  <c r="P370" i="33"/>
  <c r="Q370" i="33"/>
  <c r="R370" i="33"/>
  <c r="S370" i="33"/>
  <c r="T370" i="33"/>
  <c r="U370" i="33"/>
  <c r="V370" i="33"/>
  <c r="W370" i="33"/>
  <c r="T371" i="33"/>
  <c r="S371" i="33"/>
  <c r="R371" i="33"/>
  <c r="Q371" i="33"/>
  <c r="P371" i="33"/>
  <c r="O371" i="33"/>
  <c r="N371" i="33"/>
  <c r="M371" i="33"/>
  <c r="L371" i="33"/>
  <c r="K371" i="33"/>
  <c r="J371" i="33"/>
  <c r="I371" i="33"/>
  <c r="H371" i="33"/>
  <c r="M381" i="33"/>
  <c r="N381" i="33"/>
  <c r="O381" i="33"/>
  <c r="P381" i="33"/>
  <c r="Q381" i="33"/>
  <c r="R381" i="33"/>
  <c r="S381" i="33"/>
  <c r="T381" i="33"/>
  <c r="U381" i="33"/>
  <c r="V381" i="33"/>
  <c r="W381" i="33"/>
  <c r="T382" i="33"/>
  <c r="S382" i="33"/>
  <c r="R382" i="33"/>
  <c r="Q382" i="33"/>
  <c r="P382" i="33"/>
  <c r="O382" i="33"/>
  <c r="N382" i="33"/>
  <c r="M382" i="33"/>
  <c r="L382" i="33"/>
  <c r="K382" i="33"/>
  <c r="J382" i="33"/>
  <c r="I382" i="33"/>
  <c r="H382" i="33"/>
  <c r="T384" i="33"/>
  <c r="S384" i="33"/>
  <c r="R384" i="33"/>
  <c r="Q384" i="33"/>
  <c r="P384" i="33"/>
  <c r="O384" i="33"/>
  <c r="N384" i="33"/>
  <c r="M384" i="33"/>
  <c r="L384" i="33"/>
  <c r="K384" i="33"/>
  <c r="J384" i="33"/>
  <c r="I384" i="33"/>
  <c r="H384" i="33"/>
  <c r="U385" i="33"/>
  <c r="V385" i="33"/>
  <c r="W385" i="33"/>
  <c r="T385" i="33"/>
  <c r="S385" i="33"/>
  <c r="R385" i="33"/>
  <c r="Q385" i="33"/>
  <c r="P385" i="33"/>
  <c r="O385" i="33"/>
  <c r="N385" i="33"/>
  <c r="M385" i="33"/>
  <c r="L385" i="33"/>
  <c r="K385" i="33"/>
  <c r="J385" i="33"/>
  <c r="I385" i="33"/>
  <c r="H385" i="33"/>
  <c r="H386" i="33"/>
  <c r="I386" i="33"/>
  <c r="J386" i="33"/>
  <c r="K386" i="33"/>
  <c r="L386" i="33"/>
  <c r="M386" i="33"/>
  <c r="N386" i="33"/>
  <c r="O386" i="33"/>
  <c r="P386" i="33"/>
  <c r="Q386" i="33"/>
  <c r="R386" i="33"/>
  <c r="S386" i="33"/>
  <c r="T386" i="33"/>
  <c r="U386" i="33"/>
  <c r="V386" i="33"/>
  <c r="W386" i="33"/>
  <c r="T387" i="33"/>
  <c r="S387" i="33"/>
  <c r="R387" i="33"/>
  <c r="Q387" i="33"/>
  <c r="P387" i="33"/>
  <c r="O387" i="33"/>
  <c r="N387" i="33"/>
  <c r="M387" i="33"/>
  <c r="L387" i="33"/>
  <c r="K387" i="33"/>
  <c r="J387" i="33"/>
  <c r="I387" i="33"/>
  <c r="H387" i="33"/>
  <c r="T389" i="33"/>
  <c r="S389" i="33"/>
  <c r="R389" i="33"/>
  <c r="Q389" i="33"/>
  <c r="P389" i="33"/>
  <c r="O389" i="33"/>
  <c r="N389" i="33"/>
  <c r="M389" i="33"/>
  <c r="L389" i="33"/>
  <c r="K389" i="33"/>
  <c r="J389" i="33"/>
  <c r="I389" i="33"/>
  <c r="H389" i="33"/>
  <c r="U390" i="33"/>
  <c r="V390" i="33"/>
  <c r="W390" i="33"/>
  <c r="T390" i="33"/>
  <c r="S390" i="33"/>
  <c r="R390" i="33"/>
  <c r="Q390" i="33"/>
  <c r="P390" i="33"/>
  <c r="O390" i="33"/>
  <c r="N390" i="33"/>
  <c r="M390" i="33"/>
  <c r="L390" i="33"/>
  <c r="K390" i="33"/>
  <c r="J390" i="33"/>
  <c r="I390" i="33"/>
  <c r="H390" i="33"/>
  <c r="H391" i="33"/>
  <c r="I391" i="33"/>
  <c r="J391" i="33"/>
  <c r="K391" i="33"/>
  <c r="L391" i="33"/>
  <c r="M391" i="33"/>
  <c r="N391" i="33"/>
  <c r="O391" i="33"/>
  <c r="P391" i="33"/>
  <c r="Q391" i="33"/>
  <c r="R391" i="33"/>
  <c r="S391" i="33"/>
  <c r="T391" i="33"/>
  <c r="U391" i="33"/>
  <c r="V391" i="33"/>
  <c r="W391" i="33"/>
  <c r="M394" i="33"/>
  <c r="N394" i="33"/>
  <c r="O394" i="33"/>
  <c r="P394" i="33"/>
  <c r="Q394" i="33"/>
  <c r="R394" i="33"/>
  <c r="S394" i="33"/>
  <c r="T394" i="33"/>
  <c r="U394" i="33"/>
  <c r="V394" i="33"/>
  <c r="W394" i="33"/>
  <c r="H404" i="33"/>
  <c r="I404" i="33"/>
  <c r="J404" i="33"/>
  <c r="K404" i="33"/>
  <c r="L404" i="33"/>
  <c r="M404" i="33"/>
  <c r="N404" i="33"/>
  <c r="O404" i="33"/>
  <c r="P404" i="33"/>
  <c r="Q404" i="33"/>
  <c r="R404" i="33"/>
  <c r="S404" i="33"/>
  <c r="T404" i="33"/>
  <c r="U404" i="33"/>
  <c r="V404" i="33"/>
  <c r="W404" i="33"/>
  <c r="X404" i="33"/>
  <c r="Y404" i="33"/>
  <c r="Z404" i="33"/>
  <c r="H405" i="33"/>
  <c r="I405" i="33"/>
  <c r="J405" i="33"/>
  <c r="K405" i="33"/>
  <c r="L405" i="33"/>
  <c r="M405" i="33"/>
  <c r="N405" i="33"/>
  <c r="O405" i="33"/>
  <c r="P405" i="33"/>
  <c r="Q405" i="33"/>
  <c r="R405" i="33"/>
  <c r="S405" i="33"/>
  <c r="T405" i="33"/>
  <c r="U405" i="33"/>
  <c r="V405" i="33"/>
  <c r="W405" i="33"/>
  <c r="X405" i="33"/>
  <c r="Y405" i="33"/>
  <c r="Z405" i="33"/>
  <c r="H406" i="33"/>
  <c r="I406" i="33"/>
  <c r="J406" i="33"/>
  <c r="K406" i="33"/>
  <c r="L406" i="33"/>
  <c r="M406" i="33"/>
  <c r="N406" i="33"/>
  <c r="O406" i="33"/>
  <c r="P406" i="33"/>
  <c r="Q406" i="33"/>
  <c r="R406" i="33"/>
  <c r="S406" i="33"/>
  <c r="T406" i="33"/>
  <c r="U406" i="33"/>
  <c r="V406" i="33"/>
  <c r="W406" i="33"/>
  <c r="X406" i="33"/>
  <c r="Y406" i="33"/>
  <c r="Z406" i="33"/>
  <c r="H407" i="33"/>
  <c r="I407" i="33"/>
  <c r="J407" i="33"/>
  <c r="K407" i="33"/>
  <c r="L407" i="33"/>
  <c r="M407" i="33"/>
  <c r="N407" i="33"/>
  <c r="O407" i="33"/>
  <c r="P407" i="33"/>
  <c r="Q407" i="33"/>
  <c r="R407" i="33"/>
  <c r="S407" i="33"/>
  <c r="T407" i="33"/>
  <c r="U407" i="33"/>
  <c r="V407" i="33"/>
  <c r="W407" i="33"/>
  <c r="X407" i="33"/>
  <c r="Y407" i="33"/>
  <c r="Z407" i="33"/>
  <c r="H408" i="33"/>
  <c r="I408" i="33"/>
  <c r="J408" i="33"/>
  <c r="K408" i="33"/>
  <c r="L408" i="33"/>
  <c r="M408" i="33"/>
  <c r="N408" i="33"/>
  <c r="O408" i="33"/>
  <c r="P408" i="33"/>
  <c r="Q408" i="33"/>
  <c r="R408" i="33"/>
  <c r="S408" i="33"/>
  <c r="T408" i="33"/>
  <c r="U408" i="33"/>
  <c r="V408" i="33"/>
  <c r="W408" i="33"/>
  <c r="X408" i="33"/>
  <c r="Y408" i="33"/>
  <c r="Z408" i="33"/>
  <c r="H409" i="33"/>
  <c r="I409" i="33"/>
  <c r="J409" i="33"/>
  <c r="K409" i="33"/>
  <c r="L409" i="33"/>
  <c r="M409" i="33"/>
  <c r="N409" i="33"/>
  <c r="O409" i="33"/>
  <c r="P409" i="33"/>
  <c r="Q409" i="33"/>
  <c r="R409" i="33"/>
  <c r="S409" i="33"/>
  <c r="T409" i="33"/>
  <c r="U409" i="33"/>
  <c r="V409" i="33"/>
  <c r="W409" i="33"/>
  <c r="X409" i="33"/>
  <c r="Y409" i="33"/>
  <c r="Z409" i="33"/>
  <c r="H410" i="33"/>
  <c r="I410" i="33"/>
  <c r="J410" i="33"/>
  <c r="K410" i="33"/>
  <c r="L410" i="33"/>
  <c r="M410" i="33"/>
  <c r="N410" i="33"/>
  <c r="O410" i="33"/>
  <c r="P410" i="33"/>
  <c r="Q410" i="33"/>
  <c r="R410" i="33"/>
  <c r="S410" i="33"/>
  <c r="T410" i="33"/>
  <c r="U410" i="33"/>
  <c r="V410" i="33"/>
  <c r="W410" i="33"/>
  <c r="X410" i="33"/>
  <c r="Y410" i="33"/>
  <c r="Z410" i="33"/>
  <c r="H411" i="33"/>
  <c r="I411" i="33"/>
  <c r="J411" i="33"/>
  <c r="K411" i="33"/>
  <c r="L411" i="33"/>
  <c r="M411" i="33"/>
  <c r="N411" i="33"/>
  <c r="O411" i="33"/>
  <c r="P411" i="33"/>
  <c r="Q411" i="33"/>
  <c r="R411" i="33"/>
  <c r="S411" i="33"/>
  <c r="T411" i="33"/>
  <c r="U411" i="33"/>
  <c r="V411" i="33"/>
  <c r="W411" i="33"/>
  <c r="X411" i="33"/>
  <c r="Y411" i="33"/>
  <c r="Z411" i="33"/>
  <c r="H412" i="33"/>
  <c r="I412" i="33"/>
  <c r="J412" i="33"/>
  <c r="K412" i="33"/>
  <c r="L412" i="33"/>
  <c r="M412" i="33"/>
  <c r="N412" i="33"/>
  <c r="O412" i="33"/>
  <c r="P412" i="33"/>
  <c r="Q412" i="33"/>
  <c r="R412" i="33"/>
  <c r="S412" i="33"/>
  <c r="T412" i="33"/>
  <c r="U412" i="33"/>
  <c r="V412" i="33"/>
  <c r="W412" i="33"/>
  <c r="X412" i="33"/>
  <c r="Y412" i="33"/>
  <c r="Z412" i="33"/>
  <c r="H413" i="33"/>
  <c r="I413" i="33"/>
  <c r="J413" i="33"/>
  <c r="K413" i="33"/>
  <c r="L413" i="33"/>
  <c r="M413" i="33"/>
  <c r="N413" i="33"/>
  <c r="O413" i="33"/>
  <c r="P413" i="33"/>
  <c r="Q413" i="33"/>
  <c r="R413" i="33"/>
  <c r="S413" i="33"/>
  <c r="T413" i="33"/>
  <c r="U413" i="33"/>
  <c r="V413" i="33"/>
  <c r="W413" i="33"/>
  <c r="X413" i="33"/>
  <c r="Y413" i="33"/>
  <c r="Z413" i="33"/>
  <c r="H414" i="33"/>
  <c r="I414" i="33"/>
  <c r="J414" i="33"/>
  <c r="K414" i="33"/>
  <c r="L414" i="33"/>
  <c r="M414" i="33"/>
  <c r="N414" i="33"/>
  <c r="O414" i="33"/>
  <c r="P414" i="33"/>
  <c r="Q414" i="33"/>
  <c r="R414" i="33"/>
  <c r="S414" i="33"/>
  <c r="T414" i="33"/>
  <c r="U414" i="33"/>
  <c r="V414" i="33"/>
  <c r="W414" i="33"/>
  <c r="X414" i="33"/>
  <c r="Y414" i="33"/>
  <c r="Z414" i="33"/>
  <c r="K15" i="28"/>
  <c r="J15" i="28"/>
  <c r="Q40" i="32"/>
  <c r="V125" i="33"/>
  <c r="W125" i="33"/>
  <c r="G86" i="10"/>
  <c r="V120" i="33"/>
  <c r="W120" i="33"/>
  <c r="G81" i="10"/>
  <c r="V118" i="33"/>
  <c r="W118" i="33"/>
  <c r="G80" i="10"/>
  <c r="V100" i="33"/>
  <c r="W100" i="33"/>
  <c r="G70" i="10"/>
  <c r="V34" i="33"/>
  <c r="W34" i="33"/>
  <c r="G17" i="10"/>
  <c r="V25" i="33"/>
  <c r="W25" i="33"/>
  <c r="G12" i="10"/>
  <c r="V24" i="33"/>
  <c r="W24" i="33"/>
  <c r="G11" i="10"/>
  <c r="L14" i="24"/>
  <c r="K14" i="24"/>
  <c r="V178" i="33"/>
  <c r="W178" i="33"/>
  <c r="I22" i="24"/>
  <c r="I8" i="25"/>
  <c r="I6" i="25"/>
  <c r="V396" i="33"/>
  <c r="W396" i="33"/>
  <c r="J22" i="14"/>
  <c r="V395" i="33"/>
  <c r="W395" i="33"/>
  <c r="J23" i="14"/>
  <c r="V393" i="33"/>
  <c r="W393" i="33"/>
  <c r="J21" i="14"/>
  <c r="V392" i="33"/>
  <c r="W392" i="33"/>
  <c r="J20" i="14"/>
  <c r="V389" i="33"/>
  <c r="W389" i="33"/>
  <c r="J19" i="14"/>
  <c r="V388" i="33"/>
  <c r="W388" i="33"/>
  <c r="J18" i="14"/>
  <c r="V387" i="33"/>
  <c r="W387" i="33"/>
  <c r="J17" i="14"/>
  <c r="M17" i="14"/>
  <c r="L17" i="14"/>
  <c r="V384" i="33"/>
  <c r="W384" i="33"/>
  <c r="J16" i="14"/>
  <c r="M16" i="14"/>
  <c r="L16" i="14"/>
  <c r="V383" i="33"/>
  <c r="W383" i="33"/>
  <c r="J15" i="14"/>
  <c r="V382" i="33"/>
  <c r="W382" i="33"/>
  <c r="J14" i="14"/>
  <c r="V380" i="33"/>
  <c r="W380" i="33"/>
  <c r="J13" i="14"/>
  <c r="V379" i="33"/>
  <c r="W379" i="33"/>
  <c r="J12" i="14"/>
  <c r="V378" i="33"/>
  <c r="W378" i="33"/>
  <c r="J11" i="14"/>
  <c r="V377" i="33"/>
  <c r="W377" i="33"/>
  <c r="J10" i="14"/>
  <c r="V376" i="33"/>
  <c r="W376" i="33"/>
  <c r="J9" i="14"/>
  <c r="V375" i="33"/>
  <c r="W375" i="33"/>
  <c r="J8" i="14"/>
  <c r="V374" i="33"/>
  <c r="W374" i="33"/>
  <c r="J7" i="14"/>
  <c r="V373" i="33"/>
  <c r="W373" i="33"/>
  <c r="J24" i="23"/>
  <c r="V372" i="33"/>
  <c r="W372" i="33"/>
  <c r="J23" i="23"/>
  <c r="V371" i="33"/>
  <c r="W371" i="33"/>
  <c r="J22" i="23"/>
  <c r="V369" i="33"/>
  <c r="W369" i="33"/>
  <c r="J21" i="23"/>
  <c r="V368" i="33"/>
  <c r="W368" i="33"/>
  <c r="J20" i="23"/>
  <c r="V367" i="33"/>
  <c r="W367" i="33"/>
  <c r="J19" i="23"/>
  <c r="V366" i="33"/>
  <c r="W366" i="33"/>
  <c r="J18" i="23"/>
  <c r="V365" i="33"/>
  <c r="W365" i="33"/>
  <c r="J17" i="23"/>
  <c r="V364" i="33"/>
  <c r="W364" i="33"/>
  <c r="J16" i="23"/>
  <c r="V363" i="33"/>
  <c r="W363" i="33"/>
  <c r="J15" i="23"/>
  <c r="V362" i="33"/>
  <c r="W362" i="33"/>
  <c r="J14" i="23"/>
  <c r="V361" i="33"/>
  <c r="W361" i="33"/>
  <c r="J13" i="23"/>
  <c r="V360" i="33"/>
  <c r="W360" i="33"/>
  <c r="J12" i="23"/>
  <c r="V359" i="33"/>
  <c r="W359" i="33"/>
  <c r="J11" i="23"/>
  <c r="V357" i="33"/>
  <c r="W357" i="33"/>
  <c r="J10" i="23"/>
  <c r="V355" i="33"/>
  <c r="W355" i="33"/>
  <c r="J9" i="23"/>
  <c r="V354" i="33"/>
  <c r="W354" i="33"/>
  <c r="J8" i="23"/>
  <c r="V353" i="33"/>
  <c r="W353" i="33"/>
  <c r="J7" i="23"/>
  <c r="V349" i="33"/>
  <c r="W349" i="33"/>
  <c r="I18" i="15"/>
  <c r="V347" i="33"/>
  <c r="W347" i="33"/>
  <c r="I16" i="15"/>
  <c r="V346" i="33"/>
  <c r="W346" i="33"/>
  <c r="I15" i="15"/>
  <c r="I14" i="15"/>
  <c r="V344" i="33"/>
  <c r="W344" i="33"/>
  <c r="I13" i="15"/>
  <c r="V343" i="33"/>
  <c r="W343" i="33"/>
  <c r="I12" i="15"/>
  <c r="V342" i="33"/>
  <c r="W342" i="33"/>
  <c r="I11" i="15"/>
  <c r="V341" i="33"/>
  <c r="W341" i="33"/>
  <c r="I10" i="15"/>
  <c r="V340" i="33"/>
  <c r="W340" i="33"/>
  <c r="I9" i="15"/>
  <c r="V339" i="33"/>
  <c r="W339" i="33"/>
  <c r="I8" i="15"/>
  <c r="V338" i="33"/>
  <c r="W338" i="33"/>
  <c r="H55" i="22"/>
  <c r="V337" i="33"/>
  <c r="W337" i="33"/>
  <c r="H59" i="22"/>
  <c r="V336" i="33"/>
  <c r="W336" i="33"/>
  <c r="H58" i="22"/>
  <c r="V334" i="33"/>
  <c r="W334" i="33"/>
  <c r="H57" i="22"/>
  <c r="V333" i="33"/>
  <c r="W333" i="33"/>
  <c r="H53" i="22"/>
  <c r="V332" i="33"/>
  <c r="W332" i="33"/>
  <c r="H54" i="22"/>
  <c r="V331" i="33"/>
  <c r="W331" i="33"/>
  <c r="H61" i="22"/>
  <c r="V330" i="33"/>
  <c r="W330" i="33"/>
  <c r="H56" i="22"/>
  <c r="V329" i="33"/>
  <c r="W329" i="33"/>
  <c r="H35" i="22"/>
  <c r="V328" i="33"/>
  <c r="W328" i="33"/>
  <c r="H29" i="22"/>
  <c r="V327" i="33"/>
  <c r="W327" i="33"/>
  <c r="H45" i="22"/>
  <c r="V326" i="33"/>
  <c r="W326" i="33"/>
  <c r="H17" i="22"/>
  <c r="V325" i="33"/>
  <c r="W325" i="33"/>
  <c r="H20" i="22"/>
  <c r="V323" i="33"/>
  <c r="W323" i="33"/>
  <c r="H16" i="22"/>
  <c r="V321" i="33"/>
  <c r="W321" i="33"/>
  <c r="V319" i="33"/>
  <c r="W319" i="33"/>
  <c r="H24" i="22"/>
  <c r="V318" i="33"/>
  <c r="W318" i="33"/>
  <c r="H15" i="22"/>
  <c r="V317" i="33"/>
  <c r="W317" i="33"/>
  <c r="H12" i="22"/>
  <c r="V316" i="33"/>
  <c r="W316" i="33"/>
  <c r="H14" i="22"/>
  <c r="V315" i="33"/>
  <c r="W315" i="33"/>
  <c r="H13" i="22"/>
  <c r="V314" i="33"/>
  <c r="W314" i="33"/>
  <c r="H18" i="22"/>
  <c r="V313" i="33"/>
  <c r="W313" i="33"/>
  <c r="H42" i="22"/>
  <c r="V312" i="33"/>
  <c r="W312" i="33"/>
  <c r="H21" i="22"/>
  <c r="V311" i="33"/>
  <c r="W311" i="33"/>
  <c r="H8" i="22"/>
  <c r="V310" i="33"/>
  <c r="W310" i="33"/>
  <c r="H23" i="22"/>
  <c r="V309" i="33"/>
  <c r="W309" i="33"/>
  <c r="H33" i="22"/>
  <c r="V308" i="33"/>
  <c r="W308" i="33"/>
  <c r="H60" i="22"/>
  <c r="V307" i="33"/>
  <c r="W307" i="33"/>
  <c r="H43" i="22"/>
  <c r="V306" i="33"/>
  <c r="W306" i="33"/>
  <c r="V305" i="33"/>
  <c r="W305" i="33"/>
  <c r="H34" i="22"/>
  <c r="V299" i="33"/>
  <c r="W299" i="33"/>
  <c r="V298" i="33"/>
  <c r="W298" i="33"/>
  <c r="H31" i="22"/>
  <c r="V297" i="33"/>
  <c r="W297" i="33"/>
  <c r="H25" i="22"/>
  <c r="V296" i="33"/>
  <c r="W296" i="33"/>
  <c r="H46" i="22"/>
  <c r="V295" i="33"/>
  <c r="W295" i="33"/>
  <c r="H32" i="22"/>
  <c r="V294" i="33"/>
  <c r="W294" i="33"/>
  <c r="H44" i="22"/>
  <c r="V293" i="33"/>
  <c r="W293" i="33"/>
  <c r="H19" i="22"/>
  <c r="V292" i="33"/>
  <c r="W292" i="33"/>
  <c r="H30" i="22"/>
  <c r="V291" i="33"/>
  <c r="W291" i="33"/>
  <c r="H9" i="22"/>
  <c r="V290" i="33"/>
  <c r="W290" i="33"/>
  <c r="H22" i="22"/>
  <c r="V288" i="33"/>
  <c r="W288" i="33"/>
  <c r="H10" i="22"/>
  <c r="V287" i="33"/>
  <c r="W287" i="33"/>
  <c r="H11" i="22"/>
  <c r="V286" i="33"/>
  <c r="W286" i="33"/>
  <c r="H26" i="22"/>
  <c r="V285" i="33"/>
  <c r="W285" i="33"/>
  <c r="G21" i="21"/>
  <c r="V283" i="33"/>
  <c r="W283" i="33"/>
  <c r="G22" i="21"/>
  <c r="V282" i="33"/>
  <c r="W282" i="33"/>
  <c r="G16" i="21"/>
  <c r="V281" i="33"/>
  <c r="W281" i="33"/>
  <c r="G14" i="21"/>
  <c r="V280" i="33"/>
  <c r="W280" i="33"/>
  <c r="G18" i="21"/>
  <c r="V279" i="33"/>
  <c r="W279" i="33"/>
  <c r="G15" i="21"/>
  <c r="V278" i="33"/>
  <c r="W278" i="33"/>
  <c r="G29" i="21"/>
  <c r="V277" i="33"/>
  <c r="W277" i="33"/>
  <c r="G28" i="21"/>
  <c r="V276" i="33"/>
  <c r="W276" i="33"/>
  <c r="G27" i="21"/>
  <c r="V274" i="33"/>
  <c r="W274" i="33"/>
  <c r="G12" i="21"/>
  <c r="V272" i="33"/>
  <c r="W272" i="33"/>
  <c r="G17" i="21"/>
  <c r="V271" i="33"/>
  <c r="W271" i="33"/>
  <c r="G20" i="21"/>
  <c r="V268" i="33"/>
  <c r="W268" i="33"/>
  <c r="G19" i="21"/>
  <c r="V267" i="33"/>
  <c r="W267" i="33"/>
  <c r="G26" i="21"/>
  <c r="V266" i="33"/>
  <c r="W266" i="33"/>
  <c r="G10" i="21"/>
  <c r="V265" i="33"/>
  <c r="W265" i="33"/>
  <c r="G25" i="21"/>
  <c r="V264" i="33"/>
  <c r="W264" i="33"/>
  <c r="G24" i="21"/>
  <c r="V263" i="33"/>
  <c r="W263" i="33"/>
  <c r="G23" i="21"/>
  <c r="V262" i="33"/>
  <c r="W262" i="33"/>
  <c r="G8" i="21"/>
  <c r="V261" i="33"/>
  <c r="W261" i="33"/>
  <c r="G9" i="21"/>
  <c r="V260" i="33"/>
  <c r="W260" i="33"/>
  <c r="G11" i="21"/>
  <c r="V259" i="33"/>
  <c r="W259" i="33"/>
  <c r="G13" i="21"/>
  <c r="V228" i="33"/>
  <c r="W228" i="33"/>
  <c r="V119" i="33"/>
  <c r="W119" i="33"/>
  <c r="I17" i="15"/>
  <c r="V352" i="33"/>
  <c r="W352" i="33"/>
  <c r="G79" i="10"/>
  <c r="V257" i="33"/>
  <c r="W257" i="33"/>
  <c r="I29" i="19"/>
  <c r="V256" i="33"/>
  <c r="W256" i="33"/>
  <c r="I27" i="19"/>
  <c r="V255" i="33"/>
  <c r="W255" i="33"/>
  <c r="I26" i="19"/>
  <c r="V254" i="33"/>
  <c r="W254" i="33"/>
  <c r="I30" i="19"/>
  <c r="V253" i="33"/>
  <c r="W253" i="33"/>
  <c r="I28" i="19"/>
  <c r="V252" i="33"/>
  <c r="W252" i="33"/>
  <c r="I22" i="19"/>
  <c r="V247" i="33"/>
  <c r="W247" i="33"/>
  <c r="I10" i="19"/>
  <c r="V246" i="33"/>
  <c r="W246" i="33"/>
  <c r="I23" i="19"/>
  <c r="V243" i="33"/>
  <c r="W243" i="33"/>
  <c r="I31" i="19"/>
  <c r="V241" i="33"/>
  <c r="W241" i="33"/>
  <c r="I25" i="19"/>
  <c r="V240" i="33"/>
  <c r="W240" i="33"/>
  <c r="I9" i="19"/>
  <c r="V239" i="33"/>
  <c r="W239" i="33"/>
  <c r="I14" i="19"/>
  <c r="V238" i="33"/>
  <c r="W238" i="33"/>
  <c r="I7" i="19"/>
  <c r="V237" i="33"/>
  <c r="W237" i="33"/>
  <c r="I16" i="19"/>
  <c r="V232" i="33"/>
  <c r="W232" i="33"/>
  <c r="I21" i="19"/>
  <c r="V230" i="33"/>
  <c r="W230" i="33"/>
  <c r="I32" i="19"/>
  <c r="V223" i="33"/>
  <c r="W223" i="33"/>
  <c r="I33" i="19"/>
  <c r="V222" i="33"/>
  <c r="W222" i="33"/>
  <c r="I20" i="19"/>
  <c r="V219" i="33"/>
  <c r="W219" i="33"/>
  <c r="I17" i="19"/>
  <c r="V218" i="33"/>
  <c r="W218" i="33"/>
  <c r="I18" i="19"/>
  <c r="V217" i="33"/>
  <c r="W217" i="33"/>
  <c r="I12" i="19"/>
  <c r="V216" i="33"/>
  <c r="W216" i="33"/>
  <c r="I11" i="19"/>
  <c r="V215" i="33"/>
  <c r="W215" i="33"/>
  <c r="I8" i="19"/>
  <c r="V214" i="33"/>
  <c r="W214" i="33"/>
  <c r="I13" i="19"/>
  <c r="V213" i="33"/>
  <c r="W213" i="33"/>
  <c r="I19" i="19"/>
  <c r="V209" i="33"/>
  <c r="W209" i="33"/>
  <c r="I24" i="19"/>
  <c r="V202" i="33"/>
  <c r="W202" i="33"/>
  <c r="I37" i="19"/>
  <c r="V201" i="33"/>
  <c r="W201" i="33"/>
  <c r="I40" i="19"/>
  <c r="V200" i="33"/>
  <c r="W200" i="33"/>
  <c r="I38" i="19"/>
  <c r="V199" i="33"/>
  <c r="W199" i="33"/>
  <c r="I39" i="19"/>
  <c r="V198" i="33"/>
  <c r="W198" i="33"/>
  <c r="I34" i="19"/>
  <c r="V197" i="33"/>
  <c r="W197" i="33"/>
  <c r="I35" i="19"/>
  <c r="V196" i="33"/>
  <c r="W196" i="33"/>
  <c r="I36" i="19"/>
  <c r="V195" i="33"/>
  <c r="W195" i="33"/>
  <c r="I7" i="24"/>
  <c r="V194" i="33"/>
  <c r="W194" i="33"/>
  <c r="I12" i="24"/>
  <c r="V193" i="33"/>
  <c r="W193" i="33"/>
  <c r="I32" i="24"/>
  <c r="V192" i="33"/>
  <c r="W192" i="33"/>
  <c r="I9" i="24"/>
  <c r="V191" i="33"/>
  <c r="W191" i="33"/>
  <c r="I24" i="24"/>
  <c r="V190" i="33"/>
  <c r="W190" i="33"/>
  <c r="I10" i="24"/>
  <c r="L10" i="24"/>
  <c r="K10" i="24"/>
  <c r="V189" i="33"/>
  <c r="W189" i="33"/>
  <c r="I31" i="24"/>
  <c r="V188" i="33"/>
  <c r="W188" i="33"/>
  <c r="I26" i="24"/>
  <c r="V186" i="33"/>
  <c r="W186" i="33"/>
  <c r="I15" i="24"/>
  <c r="V185" i="33"/>
  <c r="W185" i="33"/>
  <c r="I30" i="24"/>
  <c r="V184" i="33"/>
  <c r="W184" i="33"/>
  <c r="I29" i="24"/>
  <c r="V183" i="33"/>
  <c r="W183" i="33"/>
  <c r="I8" i="24"/>
  <c r="V182" i="33"/>
  <c r="W182" i="33"/>
  <c r="I11" i="24"/>
  <c r="L11" i="24"/>
  <c r="K11" i="24"/>
  <c r="V180" i="33"/>
  <c r="W180" i="33"/>
  <c r="I33" i="24"/>
  <c r="V179" i="33"/>
  <c r="W179" i="33"/>
  <c r="I23" i="24"/>
  <c r="V177" i="33"/>
  <c r="W177" i="33"/>
  <c r="I21" i="24"/>
  <c r="V176" i="33"/>
  <c r="W176" i="33"/>
  <c r="I20" i="24"/>
  <c r="V175" i="33"/>
  <c r="W175" i="33"/>
  <c r="I19" i="24"/>
  <c r="V174" i="33"/>
  <c r="W174" i="33"/>
  <c r="I18" i="24"/>
  <c r="V173" i="33"/>
  <c r="W173" i="33"/>
  <c r="I17" i="24"/>
  <c r="V172" i="33"/>
  <c r="W172" i="33"/>
  <c r="I16" i="24"/>
  <c r="V171" i="33"/>
  <c r="W171" i="33"/>
  <c r="I25" i="24"/>
  <c r="V170" i="33"/>
  <c r="W170" i="33"/>
  <c r="I28" i="24"/>
  <c r="V169" i="33"/>
  <c r="W169" i="33"/>
  <c r="I27" i="24"/>
  <c r="V167" i="33"/>
  <c r="W167" i="33"/>
  <c r="V166" i="33"/>
  <c r="W166" i="33"/>
  <c r="I13" i="24"/>
  <c r="V162" i="33"/>
  <c r="W162" i="33"/>
  <c r="G110" i="10"/>
  <c r="V161" i="33"/>
  <c r="W161" i="33"/>
  <c r="G109" i="10"/>
  <c r="V160" i="33"/>
  <c r="W160" i="33"/>
  <c r="G108" i="10"/>
  <c r="V159" i="33"/>
  <c r="W159" i="33"/>
  <c r="G107" i="10"/>
  <c r="V157" i="33"/>
  <c r="W157" i="33"/>
  <c r="G106" i="10"/>
  <c r="V155" i="33"/>
  <c r="W155" i="33"/>
  <c r="G105" i="10"/>
  <c r="V154" i="33"/>
  <c r="W154" i="33"/>
  <c r="G104" i="10"/>
  <c r="V149" i="33"/>
  <c r="W149" i="33"/>
  <c r="G103" i="10"/>
  <c r="V148" i="33"/>
  <c r="W148" i="33"/>
  <c r="G102" i="10"/>
  <c r="V147" i="33"/>
  <c r="W147" i="33"/>
  <c r="G101" i="10"/>
  <c r="V146" i="33"/>
  <c r="W146" i="33"/>
  <c r="G100" i="10"/>
  <c r="V145" i="33"/>
  <c r="W145" i="33"/>
  <c r="G99" i="10"/>
  <c r="V144" i="33"/>
  <c r="W144" i="33"/>
  <c r="G98" i="10"/>
  <c r="V143" i="33"/>
  <c r="W143" i="33"/>
  <c r="G97" i="10"/>
  <c r="V142" i="33"/>
  <c r="W142" i="33"/>
  <c r="G96" i="10"/>
  <c r="V140" i="33"/>
  <c r="W140" i="33"/>
  <c r="G95" i="10"/>
  <c r="V139" i="33"/>
  <c r="W139" i="33"/>
  <c r="G94" i="10"/>
  <c r="V137" i="33"/>
  <c r="W137" i="33"/>
  <c r="G93" i="10"/>
  <c r="V136" i="33"/>
  <c r="W136" i="33"/>
  <c r="G92" i="10"/>
  <c r="V135" i="33"/>
  <c r="W135" i="33"/>
  <c r="V134" i="33"/>
  <c r="W134" i="33"/>
  <c r="G90" i="10"/>
  <c r="V133" i="33"/>
  <c r="W133" i="33"/>
  <c r="G89" i="10"/>
  <c r="V128" i="33"/>
  <c r="W128" i="33"/>
  <c r="G88" i="10"/>
  <c r="V127" i="33"/>
  <c r="W127" i="33"/>
  <c r="G87" i="10"/>
  <c r="V126" i="33"/>
  <c r="W126" i="33"/>
  <c r="G111" i="10"/>
  <c r="V124" i="33"/>
  <c r="W124" i="33"/>
  <c r="G85" i="10"/>
  <c r="V123" i="33"/>
  <c r="W123" i="33"/>
  <c r="G84" i="10"/>
  <c r="V122" i="33"/>
  <c r="W122" i="33"/>
  <c r="G83" i="10"/>
  <c r="V121" i="33"/>
  <c r="W121" i="33"/>
  <c r="G82" i="10"/>
  <c r="V117" i="33"/>
  <c r="W117" i="33"/>
  <c r="G78" i="10"/>
  <c r="V112" i="33"/>
  <c r="W112" i="33"/>
  <c r="G77" i="10"/>
  <c r="V111" i="33"/>
  <c r="W111" i="33"/>
  <c r="G76" i="10"/>
  <c r="V107" i="33"/>
  <c r="W107" i="33"/>
  <c r="G75" i="10"/>
  <c r="V106" i="33"/>
  <c r="W106" i="33"/>
  <c r="G74" i="10"/>
  <c r="V105" i="33"/>
  <c r="W105" i="33"/>
  <c r="G73" i="10"/>
  <c r="V102" i="33"/>
  <c r="W102" i="33"/>
  <c r="G72" i="10"/>
  <c r="V101" i="33"/>
  <c r="W101" i="33"/>
  <c r="G71" i="10"/>
  <c r="V99" i="33"/>
  <c r="W99" i="33"/>
  <c r="G69" i="10"/>
  <c r="V98" i="33"/>
  <c r="W98" i="33"/>
  <c r="G67" i="10"/>
  <c r="V97" i="33"/>
  <c r="W97" i="33"/>
  <c r="G68" i="10"/>
  <c r="V96" i="33"/>
  <c r="W96" i="33"/>
  <c r="G66" i="10"/>
  <c r="V95" i="33"/>
  <c r="W95" i="33"/>
  <c r="G65" i="10"/>
  <c r="V94" i="33"/>
  <c r="W94" i="33"/>
  <c r="G64" i="10"/>
  <c r="V93" i="33"/>
  <c r="W93" i="33"/>
  <c r="G63" i="10"/>
  <c r="V91" i="33"/>
  <c r="W91" i="33"/>
  <c r="G62" i="10"/>
  <c r="V90" i="33"/>
  <c r="W90" i="33"/>
  <c r="G61" i="10"/>
  <c r="V89" i="33"/>
  <c r="W89" i="33"/>
  <c r="G60" i="10"/>
  <c r="V88" i="33"/>
  <c r="W88" i="33"/>
  <c r="G59" i="10"/>
  <c r="V87" i="33"/>
  <c r="W87" i="33"/>
  <c r="G58" i="10"/>
  <c r="V86" i="33"/>
  <c r="W86" i="33"/>
  <c r="G57" i="10"/>
  <c r="V85" i="33"/>
  <c r="W85" i="33"/>
  <c r="G56" i="10"/>
  <c r="V82" i="33"/>
  <c r="W82" i="33"/>
  <c r="G55" i="10"/>
  <c r="V81" i="33"/>
  <c r="W81" i="33"/>
  <c r="G54" i="10"/>
  <c r="V80" i="33"/>
  <c r="W80" i="33"/>
  <c r="G53" i="10"/>
  <c r="V79" i="33"/>
  <c r="W79" i="33"/>
  <c r="G52" i="10"/>
  <c r="V78" i="33"/>
  <c r="W78" i="33"/>
  <c r="G51" i="10"/>
  <c r="V77" i="33"/>
  <c r="W77" i="33"/>
  <c r="G49" i="10"/>
  <c r="V76" i="33"/>
  <c r="W76" i="33"/>
  <c r="G50" i="10"/>
  <c r="V75" i="33"/>
  <c r="W75" i="33"/>
  <c r="G48" i="10"/>
  <c r="V73" i="33"/>
  <c r="W73" i="33"/>
  <c r="G46" i="10"/>
  <c r="V69" i="33"/>
  <c r="W69" i="33"/>
  <c r="G47" i="10"/>
  <c r="V68" i="33"/>
  <c r="W68" i="33"/>
  <c r="G45" i="10"/>
  <c r="V67" i="33"/>
  <c r="W67" i="33"/>
  <c r="G44" i="10"/>
  <c r="V66" i="33"/>
  <c r="W66" i="33"/>
  <c r="G43" i="10"/>
  <c r="V65" i="33"/>
  <c r="W65" i="33"/>
  <c r="G42" i="10"/>
  <c r="V64" i="33"/>
  <c r="W64" i="33"/>
  <c r="G41" i="10"/>
  <c r="V63" i="33"/>
  <c r="W63" i="33"/>
  <c r="G40" i="10"/>
  <c r="V61" i="33"/>
  <c r="W61" i="33"/>
  <c r="G39" i="10"/>
  <c r="V60" i="33"/>
  <c r="W60" i="33"/>
  <c r="G38" i="10"/>
  <c r="V59" i="33"/>
  <c r="W59" i="33"/>
  <c r="G37" i="10"/>
  <c r="V58" i="33"/>
  <c r="W58" i="33"/>
  <c r="G36" i="10"/>
  <c r="V57" i="33"/>
  <c r="W57" i="33"/>
  <c r="G35" i="10"/>
  <c r="V56" i="33"/>
  <c r="W56" i="33"/>
  <c r="G34" i="10"/>
  <c r="V53" i="33"/>
  <c r="W53" i="33"/>
  <c r="G33" i="10"/>
  <c r="V52" i="33"/>
  <c r="W52" i="33"/>
  <c r="G32" i="10"/>
  <c r="V51" i="33"/>
  <c r="W51" i="33"/>
  <c r="G31" i="10"/>
  <c r="V50" i="33"/>
  <c r="W50" i="33"/>
  <c r="G30" i="10"/>
  <c r="V49" i="33"/>
  <c r="W49" i="33"/>
  <c r="G29" i="10"/>
  <c r="V48" i="33"/>
  <c r="W48" i="33"/>
  <c r="G28" i="10"/>
  <c r="V47" i="33"/>
  <c r="W47" i="33"/>
  <c r="G27" i="10"/>
  <c r="V46" i="33"/>
  <c r="W46" i="33"/>
  <c r="G26" i="10"/>
  <c r="V45" i="33"/>
  <c r="W45" i="33"/>
  <c r="G25" i="10"/>
  <c r="V44" i="33"/>
  <c r="W44" i="33"/>
  <c r="G24" i="10"/>
  <c r="V41" i="33"/>
  <c r="W41" i="33"/>
  <c r="G23" i="10"/>
  <c r="V40" i="33"/>
  <c r="W40" i="33"/>
  <c r="G22" i="10"/>
  <c r="V38" i="33"/>
  <c r="W38" i="33"/>
  <c r="G21" i="10"/>
  <c r="V37" i="33"/>
  <c r="W37" i="33"/>
  <c r="G20" i="10"/>
  <c r="V36" i="33"/>
  <c r="W36" i="33"/>
  <c r="G19" i="10"/>
  <c r="V35" i="33"/>
  <c r="W35" i="33"/>
  <c r="G18" i="10"/>
  <c r="V33" i="33"/>
  <c r="W33" i="33"/>
  <c r="G16" i="10"/>
  <c r="V32" i="33"/>
  <c r="W32" i="33"/>
  <c r="G15" i="10"/>
  <c r="V30" i="33"/>
  <c r="W30" i="33"/>
  <c r="G14" i="10"/>
  <c r="V26" i="33"/>
  <c r="W26" i="33"/>
  <c r="G13" i="10"/>
  <c r="V22" i="33"/>
  <c r="W22" i="33"/>
  <c r="G10" i="10"/>
  <c r="V21" i="33"/>
  <c r="W21" i="33"/>
  <c r="G9" i="10"/>
  <c r="V20" i="33"/>
  <c r="W20" i="33"/>
  <c r="G8" i="10"/>
  <c r="V19" i="33"/>
  <c r="W19" i="33"/>
  <c r="G7" i="10"/>
  <c r="V18" i="33"/>
  <c r="W18" i="33"/>
  <c r="H17" i="28"/>
  <c r="V17" i="33"/>
  <c r="W17" i="33"/>
  <c r="H16" i="28"/>
  <c r="V16" i="33"/>
  <c r="W16" i="33"/>
  <c r="H12" i="28"/>
  <c r="V15" i="33"/>
  <c r="W15" i="33"/>
  <c r="H11" i="28"/>
  <c r="V14" i="33"/>
  <c r="W14" i="33"/>
  <c r="H14" i="28"/>
  <c r="V13" i="33"/>
  <c r="W13" i="33"/>
  <c r="H13" i="28"/>
  <c r="V11" i="33"/>
  <c r="W11" i="33"/>
  <c r="H10" i="28"/>
  <c r="V10" i="33"/>
  <c r="W10" i="33"/>
  <c r="H9" i="28"/>
  <c r="V7" i="33"/>
  <c r="W7" i="33"/>
  <c r="H8" i="28"/>
  <c r="V5" i="33"/>
  <c r="W5" i="33"/>
  <c r="H7" i="28"/>
  <c r="L15" i="24"/>
  <c r="K15" i="24"/>
  <c r="M20" i="23"/>
  <c r="L20" i="23"/>
  <c r="M14" i="14"/>
  <c r="L14" i="14"/>
  <c r="K46" i="22"/>
  <c r="J46" i="22"/>
  <c r="K45" i="22"/>
  <c r="J45" i="22"/>
  <c r="K43" i="22"/>
  <c r="J43" i="22"/>
  <c r="K42" i="22"/>
  <c r="J42" i="22"/>
  <c r="K24" i="22"/>
  <c r="J24" i="22"/>
  <c r="K22" i="22"/>
  <c r="J22" i="22"/>
  <c r="K21" i="22"/>
  <c r="J21" i="22"/>
  <c r="K20" i="22"/>
  <c r="J20" i="22"/>
  <c r="K16" i="22"/>
  <c r="J16" i="22"/>
  <c r="K15" i="22"/>
  <c r="J15" i="22"/>
  <c r="J17" i="21"/>
  <c r="I17" i="21"/>
  <c r="J29" i="21"/>
  <c r="I29" i="21"/>
  <c r="J111" i="10"/>
  <c r="I111" i="10"/>
  <c r="J95" i="10"/>
  <c r="I95" i="10"/>
  <c r="J50" i="10"/>
  <c r="I50" i="10"/>
  <c r="J18" i="10"/>
  <c r="I18" i="10"/>
  <c r="K8" i="28"/>
  <c r="D19" i="15"/>
  <c r="D18" i="15"/>
  <c r="D17" i="15"/>
  <c r="M22" i="23"/>
  <c r="L22" i="23"/>
  <c r="M19" i="14"/>
  <c r="L19" i="14"/>
  <c r="K12" i="22"/>
  <c r="J12" i="22"/>
  <c r="J24" i="21"/>
  <c r="I24" i="21"/>
  <c r="L41" i="19"/>
  <c r="K41" i="19"/>
  <c r="J40" i="10"/>
  <c r="I40" i="10"/>
  <c r="H47" i="22"/>
  <c r="H15" i="28"/>
  <c r="K11" i="22"/>
  <c r="J11" i="22"/>
  <c r="J25" i="21"/>
  <c r="I25" i="21"/>
  <c r="K13" i="22"/>
  <c r="J13" i="22"/>
  <c r="K14" i="22"/>
  <c r="J14" i="22"/>
  <c r="K18" i="22"/>
  <c r="J18" i="22"/>
  <c r="J16" i="10"/>
  <c r="I16" i="10"/>
  <c r="J110" i="10"/>
  <c r="I110" i="10"/>
  <c r="K23" i="22"/>
  <c r="J23" i="22"/>
  <c r="K25" i="22"/>
  <c r="J25" i="22"/>
  <c r="J85" i="10"/>
  <c r="I85" i="10"/>
  <c r="J63" i="10"/>
  <c r="I63" i="10"/>
  <c r="L32" i="19"/>
  <c r="K32" i="19"/>
  <c r="K9" i="22"/>
  <c r="J9" i="22"/>
  <c r="K26" i="22"/>
  <c r="J26" i="22"/>
  <c r="K17" i="22"/>
  <c r="J17" i="22"/>
  <c r="J49" i="10"/>
  <c r="I49" i="10"/>
  <c r="J23" i="21"/>
  <c r="I23" i="21"/>
  <c r="J73" i="10"/>
  <c r="I73" i="10"/>
  <c r="K10" i="22"/>
  <c r="J10" i="22"/>
  <c r="K19" i="22"/>
  <c r="J19" i="22"/>
  <c r="J11" i="10"/>
  <c r="I11" i="10"/>
  <c r="J12" i="10"/>
  <c r="I12" i="10"/>
  <c r="J17" i="10"/>
  <c r="I17" i="10"/>
  <c r="J70" i="10"/>
  <c r="I70" i="10"/>
  <c r="J80" i="10"/>
  <c r="I80" i="10"/>
  <c r="J81" i="10"/>
  <c r="I81" i="10"/>
  <c r="J86" i="10"/>
  <c r="I86" i="10"/>
  <c r="I14" i="24"/>
  <c r="J25" i="23"/>
  <c r="L22" i="24"/>
  <c r="K22" i="24"/>
  <c r="G91" i="10"/>
  <c r="I19" i="15"/>
  <c r="K30" i="22"/>
  <c r="J30" i="22"/>
  <c r="K32" i="22"/>
  <c r="J32" i="22"/>
  <c r="K31" i="22"/>
  <c r="J31" i="22"/>
  <c r="K36" i="22"/>
  <c r="J36" i="22"/>
  <c r="K37" i="22"/>
  <c r="J37" i="22"/>
  <c r="K38" i="22"/>
  <c r="J38" i="22"/>
  <c r="K39" i="22"/>
  <c r="J39" i="22"/>
  <c r="K40" i="22"/>
  <c r="J40" i="22"/>
  <c r="K41" i="22"/>
  <c r="J41" i="22"/>
  <c r="H41" i="22"/>
  <c r="H40" i="22"/>
  <c r="H39" i="22"/>
  <c r="H38" i="22"/>
  <c r="H37" i="22"/>
  <c r="H36" i="22"/>
  <c r="K34" i="22"/>
  <c r="J34" i="22"/>
  <c r="K33" i="22"/>
  <c r="J33" i="22"/>
  <c r="K27" i="22"/>
  <c r="K28" i="22"/>
  <c r="H28" i="22"/>
  <c r="H27" i="22"/>
  <c r="K29" i="22"/>
  <c r="J29" i="22"/>
  <c r="K35" i="22"/>
  <c r="J35" i="22"/>
  <c r="K54" i="22"/>
  <c r="J54" i="22"/>
  <c r="K53" i="22"/>
  <c r="K55" i="22"/>
  <c r="J68" i="10"/>
  <c r="I68" i="10"/>
  <c r="L27" i="24"/>
  <c r="K27" i="24"/>
  <c r="L28" i="24"/>
  <c r="K28" i="24"/>
  <c r="L25" i="24"/>
  <c r="K25" i="24"/>
  <c r="L29" i="24"/>
  <c r="K29" i="24"/>
  <c r="L30" i="24"/>
  <c r="K30" i="24"/>
  <c r="L26" i="24"/>
  <c r="K26" i="24"/>
  <c r="L31" i="24"/>
  <c r="K31" i="24"/>
  <c r="L33" i="24"/>
  <c r="K33" i="24"/>
  <c r="L32" i="24"/>
  <c r="K32" i="24"/>
  <c r="L23" i="24"/>
  <c r="K23" i="24"/>
  <c r="L19" i="24"/>
  <c r="K19" i="24"/>
  <c r="L18" i="24"/>
  <c r="K18" i="24"/>
  <c r="L16" i="24"/>
  <c r="K16" i="24"/>
  <c r="L13" i="24"/>
  <c r="K13" i="24"/>
  <c r="L9" i="24"/>
  <c r="K9" i="24"/>
  <c r="L8" i="24"/>
  <c r="K8" i="24"/>
  <c r="M23" i="14"/>
  <c r="L23" i="14"/>
  <c r="M22" i="14"/>
  <c r="L22" i="14"/>
  <c r="M21" i="14"/>
  <c r="L21" i="14"/>
  <c r="M20" i="14"/>
  <c r="L20" i="14"/>
  <c r="M18" i="14"/>
  <c r="L18" i="14"/>
  <c r="M15" i="14"/>
  <c r="L15" i="14"/>
  <c r="M13" i="14"/>
  <c r="L13" i="14"/>
  <c r="M12" i="14"/>
  <c r="L12" i="14"/>
  <c r="M9" i="14"/>
  <c r="L9" i="14"/>
  <c r="M8" i="14"/>
  <c r="L8" i="14"/>
  <c r="K44" i="22"/>
  <c r="J44" i="22"/>
  <c r="J10" i="21"/>
  <c r="I10" i="21"/>
  <c r="J11" i="21"/>
  <c r="I11" i="21"/>
  <c r="J14" i="21"/>
  <c r="I14" i="21"/>
  <c r="J15" i="21"/>
  <c r="I15" i="21"/>
  <c r="J19" i="21"/>
  <c r="I19" i="21"/>
  <c r="J20" i="21"/>
  <c r="I20" i="21"/>
  <c r="J26" i="21"/>
  <c r="I26" i="21"/>
  <c r="L19" i="19"/>
  <c r="K19" i="19"/>
  <c r="L25" i="19"/>
  <c r="K25" i="19"/>
  <c r="L26" i="19"/>
  <c r="K26" i="19"/>
  <c r="L27" i="19"/>
  <c r="K27" i="19"/>
  <c r="L28" i="19"/>
  <c r="K28" i="19"/>
  <c r="L29" i="19"/>
  <c r="K29" i="19"/>
  <c r="L30" i="19"/>
  <c r="K30" i="19"/>
  <c r="J108" i="10"/>
  <c r="I108" i="10"/>
  <c r="J105" i="10"/>
  <c r="I105" i="10"/>
  <c r="J104" i="10"/>
  <c r="I104" i="10"/>
  <c r="J102" i="10"/>
  <c r="I102" i="10"/>
  <c r="J101" i="10"/>
  <c r="I101" i="10"/>
  <c r="J94" i="10"/>
  <c r="I94" i="10"/>
  <c r="J93" i="10"/>
  <c r="I93" i="10"/>
  <c r="J92" i="10"/>
  <c r="I92" i="10"/>
  <c r="J91" i="10"/>
  <c r="I91" i="10"/>
  <c r="J88" i="10"/>
  <c r="I88" i="10"/>
  <c r="J82" i="10"/>
  <c r="I82" i="10"/>
  <c r="J78" i="10"/>
  <c r="I78" i="10"/>
  <c r="J74" i="10"/>
  <c r="I74" i="10"/>
  <c r="J72" i="10"/>
  <c r="I72" i="10"/>
  <c r="J65" i="10"/>
  <c r="I65" i="10"/>
  <c r="J62" i="10"/>
  <c r="I62" i="10"/>
  <c r="J61" i="10"/>
  <c r="I61" i="10"/>
  <c r="J60" i="10"/>
  <c r="I60" i="10"/>
  <c r="J58" i="10"/>
  <c r="I58" i="10"/>
  <c r="J54" i="10"/>
  <c r="I54" i="10"/>
  <c r="J52" i="10"/>
  <c r="I52" i="10"/>
  <c r="J51" i="10"/>
  <c r="I51" i="10"/>
  <c r="J48" i="10"/>
  <c r="I48" i="10"/>
  <c r="J46" i="10"/>
  <c r="I46" i="10"/>
  <c r="J45" i="10"/>
  <c r="I45" i="10"/>
  <c r="J39" i="10"/>
  <c r="I39" i="10"/>
  <c r="J38" i="10"/>
  <c r="I38" i="10"/>
  <c r="J37" i="10"/>
  <c r="I37" i="10"/>
  <c r="J36" i="10"/>
  <c r="I36" i="10"/>
  <c r="J35" i="10"/>
  <c r="I35" i="10"/>
  <c r="J34" i="10"/>
  <c r="I34" i="10"/>
  <c r="J33" i="10"/>
  <c r="I33" i="10"/>
  <c r="J32" i="10"/>
  <c r="I32" i="10"/>
  <c r="J31" i="10"/>
  <c r="I31" i="10"/>
  <c r="J30" i="10"/>
  <c r="I30" i="10"/>
  <c r="J29" i="10"/>
  <c r="I29" i="10"/>
  <c r="J28" i="10"/>
  <c r="I28" i="10"/>
  <c r="J27" i="10"/>
  <c r="I27" i="10"/>
  <c r="J26" i="10"/>
  <c r="I26" i="10"/>
  <c r="J25" i="10"/>
  <c r="I25" i="10"/>
  <c r="J24" i="10"/>
  <c r="I24" i="10"/>
  <c r="J23" i="10"/>
  <c r="I23" i="10"/>
  <c r="J22" i="10"/>
  <c r="I22" i="10"/>
  <c r="J9" i="10"/>
  <c r="I9" i="10"/>
  <c r="J8" i="10"/>
  <c r="I8" i="10"/>
  <c r="L12" i="24"/>
  <c r="K12" i="24"/>
  <c r="K47" i="22"/>
  <c r="J47" i="22"/>
  <c r="J12" i="21"/>
  <c r="I12" i="21"/>
  <c r="J13" i="21"/>
  <c r="I13" i="21"/>
  <c r="L31" i="19"/>
  <c r="K31" i="19"/>
  <c r="L33" i="19"/>
  <c r="K33" i="19"/>
  <c r="L34" i="19"/>
  <c r="K34" i="19"/>
  <c r="L35" i="19"/>
  <c r="K35" i="19"/>
  <c r="L36" i="19"/>
  <c r="K36" i="19"/>
  <c r="L37" i="19"/>
  <c r="K37" i="19"/>
  <c r="L38" i="19"/>
  <c r="K38" i="19"/>
  <c r="L39" i="19"/>
  <c r="K39" i="19"/>
  <c r="L40" i="19"/>
  <c r="K40" i="19"/>
  <c r="J109" i="10"/>
  <c r="I109" i="10"/>
  <c r="J98" i="10"/>
  <c r="I98" i="10"/>
  <c r="J79" i="10"/>
  <c r="I79" i="10"/>
  <c r="J53" i="10"/>
  <c r="I53" i="10"/>
  <c r="J42" i="10"/>
  <c r="I42" i="10"/>
  <c r="J15" i="10"/>
  <c r="I15" i="10"/>
  <c r="M8" i="23"/>
  <c r="L8" i="23"/>
  <c r="M9" i="23"/>
  <c r="L9" i="23"/>
  <c r="M10" i="23"/>
  <c r="L10" i="23"/>
  <c r="M11" i="23"/>
  <c r="L11" i="23"/>
  <c r="M12" i="23"/>
  <c r="L12" i="23"/>
  <c r="L13" i="23"/>
  <c r="M14" i="23"/>
  <c r="L14" i="23"/>
  <c r="M15" i="23"/>
  <c r="L15" i="23"/>
  <c r="M16" i="23"/>
  <c r="L16" i="23"/>
  <c r="M17" i="23"/>
  <c r="L17" i="23"/>
  <c r="M19" i="23"/>
  <c r="L19" i="23"/>
  <c r="M23" i="23"/>
  <c r="L23" i="23"/>
  <c r="M24" i="23"/>
  <c r="L24" i="23"/>
  <c r="M25" i="23"/>
  <c r="L25" i="23"/>
  <c r="L8" i="19"/>
  <c r="K8" i="19"/>
  <c r="L9" i="19"/>
  <c r="K9" i="19"/>
  <c r="L10" i="19"/>
  <c r="K10" i="19"/>
  <c r="L11" i="19"/>
  <c r="K11" i="19"/>
  <c r="L12" i="19"/>
  <c r="K12" i="19"/>
  <c r="L13" i="19"/>
  <c r="K13" i="19"/>
  <c r="L14" i="19"/>
  <c r="K14" i="19"/>
  <c r="L16" i="19"/>
  <c r="K16" i="19"/>
  <c r="L17" i="19"/>
  <c r="K17" i="19"/>
  <c r="L18" i="19"/>
  <c r="K18" i="19"/>
  <c r="L20" i="19"/>
  <c r="K20" i="19"/>
  <c r="L21" i="19"/>
  <c r="K21" i="19"/>
  <c r="L22" i="19"/>
  <c r="K22" i="19"/>
  <c r="L23" i="19"/>
  <c r="K23" i="19"/>
  <c r="L24" i="19"/>
  <c r="K24" i="19"/>
  <c r="J107" i="10"/>
  <c r="I107" i="10"/>
  <c r="J103" i="10"/>
  <c r="I103" i="10"/>
  <c r="J100" i="10"/>
  <c r="I100" i="10"/>
  <c r="J97" i="10"/>
  <c r="I97" i="10"/>
  <c r="J96" i="10"/>
  <c r="I96" i="10"/>
  <c r="J89" i="10"/>
  <c r="I89" i="10"/>
  <c r="J87" i="10"/>
  <c r="I87" i="10"/>
  <c r="J84" i="10"/>
  <c r="I84" i="10"/>
  <c r="J83" i="10"/>
  <c r="I83" i="10"/>
  <c r="J77" i="10"/>
  <c r="I77" i="10"/>
  <c r="J76" i="10"/>
  <c r="I76" i="10"/>
  <c r="J75" i="10"/>
  <c r="I75" i="10"/>
  <c r="J69" i="10"/>
  <c r="I69" i="10"/>
  <c r="J67" i="10"/>
  <c r="I67" i="10"/>
  <c r="J59" i="10"/>
  <c r="I59" i="10"/>
  <c r="J57" i="10"/>
  <c r="I57" i="10"/>
  <c r="J56" i="10"/>
  <c r="I56" i="10"/>
  <c r="J47" i="10"/>
  <c r="I47" i="10"/>
  <c r="J44" i="10"/>
  <c r="I44" i="10"/>
  <c r="J43" i="10"/>
  <c r="I43" i="10"/>
  <c r="J41" i="10"/>
  <c r="I41" i="10"/>
  <c r="J13" i="10"/>
  <c r="I13" i="10"/>
  <c r="J10" i="10"/>
  <c r="I10" i="10"/>
  <c r="M18" i="23"/>
  <c r="L18" i="23"/>
  <c r="M21" i="23"/>
  <c r="L21" i="23"/>
  <c r="M11" i="14"/>
  <c r="L11" i="14"/>
  <c r="M10" i="14"/>
  <c r="L10" i="14"/>
  <c r="J28" i="22"/>
  <c r="J27" i="22"/>
  <c r="J27" i="21"/>
  <c r="I27" i="21"/>
  <c r="J28" i="21"/>
  <c r="I28" i="21"/>
  <c r="J90" i="10"/>
  <c r="I90" i="10"/>
  <c r="J106" i="10"/>
  <c r="I106" i="10"/>
  <c r="J66" i="10"/>
  <c r="I66" i="10"/>
  <c r="J64" i="10"/>
  <c r="I64" i="10"/>
  <c r="J19" i="10"/>
  <c r="I19" i="10"/>
  <c r="J99" i="10"/>
  <c r="I99" i="10"/>
  <c r="J21" i="10"/>
  <c r="I21" i="10"/>
  <c r="J14" i="10"/>
  <c r="I14" i="10"/>
  <c r="J71" i="10"/>
  <c r="I71" i="10"/>
  <c r="J55" i="10"/>
  <c r="I55" i="10"/>
  <c r="J20" i="10"/>
  <c r="I20" i="10"/>
  <c r="J16" i="21"/>
  <c r="I16" i="21"/>
  <c r="J18" i="21"/>
  <c r="I18" i="21"/>
  <c r="J21" i="21"/>
  <c r="I21" i="21"/>
  <c r="J22" i="21"/>
  <c r="I22" i="21"/>
  <c r="L7" i="24"/>
  <c r="K7" i="24"/>
  <c r="L18" i="15"/>
  <c r="K18" i="15"/>
  <c r="L14" i="15"/>
  <c r="K14" i="15"/>
  <c r="L10" i="15"/>
  <c r="K10" i="15"/>
  <c r="L17" i="15"/>
  <c r="K17" i="15"/>
  <c r="L13" i="15"/>
  <c r="K13" i="15"/>
  <c r="L9" i="15"/>
  <c r="K9" i="15"/>
  <c r="L8" i="15"/>
  <c r="K8" i="15"/>
  <c r="L16" i="15"/>
  <c r="K16" i="15"/>
  <c r="L12" i="15"/>
  <c r="K12" i="15"/>
  <c r="L19" i="15"/>
  <c r="K19" i="15"/>
  <c r="L15" i="15"/>
  <c r="K15" i="15"/>
  <c r="L11" i="15"/>
  <c r="K11" i="15"/>
  <c r="M7" i="23"/>
  <c r="L7" i="23"/>
  <c r="M7" i="14"/>
  <c r="L7" i="14"/>
  <c r="J8" i="21"/>
  <c r="I8" i="21"/>
  <c r="L7" i="19"/>
  <c r="K7" i="19"/>
  <c r="J7" i="10"/>
  <c r="I7" i="10"/>
  <c r="K8" i="22"/>
  <c r="J8" i="22"/>
  <c r="K61" i="22"/>
  <c r="J61" i="22"/>
  <c r="K60" i="22"/>
  <c r="J60" i="22"/>
  <c r="K59" i="22"/>
  <c r="J59" i="22"/>
  <c r="K58" i="22"/>
  <c r="J58" i="22"/>
  <c r="K57" i="22"/>
  <c r="J57" i="22"/>
  <c r="K56" i="22"/>
  <c r="J56" i="22"/>
  <c r="J55" i="22"/>
  <c r="J53" i="22"/>
  <c r="K7" i="28"/>
  <c r="J7" i="28"/>
  <c r="K17" i="28"/>
  <c r="J17" i="28"/>
  <c r="K16" i="28"/>
  <c r="J16" i="28"/>
  <c r="K12" i="28"/>
  <c r="J12" i="28"/>
  <c r="K11" i="28"/>
  <c r="J11" i="28"/>
  <c r="K14" i="28"/>
  <c r="J14" i="28"/>
  <c r="K13" i="28"/>
  <c r="J13" i="28"/>
  <c r="K10" i="28"/>
  <c r="J10" i="28"/>
  <c r="K9" i="28"/>
  <c r="J9" i="28"/>
  <c r="J8" i="28"/>
  <c r="M33" i="21"/>
  <c r="M34" i="21"/>
  <c r="L17" i="24"/>
  <c r="K17" i="24"/>
  <c r="L20" i="24"/>
  <c r="K20" i="24"/>
  <c r="L21" i="24"/>
  <c r="K21" i="24"/>
  <c r="J9" i="21"/>
  <c r="I9" i="21"/>
  <c r="O65" i="22"/>
  <c r="O66" i="22"/>
  <c r="N21" i="15"/>
  <c r="N22" i="15"/>
  <c r="O20" i="28"/>
  <c r="O21" i="28"/>
  <c r="Q34" i="37"/>
  <c r="N36" i="24"/>
  <c r="N37" i="24"/>
  <c r="M21" i="15"/>
  <c r="M22" i="15"/>
  <c r="N33" i="21"/>
  <c r="N34" i="21"/>
  <c r="O44" i="37"/>
  <c r="P44" i="37"/>
  <c r="Q44" i="37"/>
  <c r="N20" i="28"/>
  <c r="O44" i="32"/>
  <c r="N21" i="28"/>
  <c r="O45" i="32"/>
  <c r="G21" i="25"/>
  <c r="G22" i="25"/>
  <c r="M36" i="24"/>
  <c r="M37" i="24"/>
  <c r="O27" i="14"/>
  <c r="O31" i="23"/>
  <c r="N31" i="23"/>
  <c r="E56" i="32"/>
  <c r="F52" i="37"/>
  <c r="Q46" i="37"/>
  <c r="Q44" i="32"/>
  <c r="L24" i="24"/>
  <c r="K24" i="24"/>
  <c r="N65" i="22"/>
  <c r="N66" i="22"/>
  <c r="F53" i="37"/>
  <c r="Q45" i="32"/>
  <c r="Q41" i="32"/>
  <c r="Q46" i="32"/>
  <c r="Q34" i="32"/>
  <c r="N86" i="24"/>
  <c r="N87" i="24"/>
  <c r="N88" i="24"/>
  <c r="M86" i="24"/>
  <c r="N27" i="14"/>
  <c r="K52" i="37"/>
  <c r="Q52" i="37"/>
  <c r="J56" i="32"/>
  <c r="H56" i="32"/>
  <c r="M87" i="24"/>
  <c r="M88" i="24"/>
  <c r="F54" i="37"/>
  <c r="E56" i="37"/>
  <c r="O45" i="37"/>
  <c r="Q41" i="37"/>
  <c r="M56" i="32"/>
  <c r="K54" i="37"/>
  <c r="Q53" i="37"/>
  <c r="K53" i="37"/>
  <c r="J56" i="37"/>
  <c r="H56" i="37"/>
  <c r="P45" i="37"/>
  <c r="Q45" i="37"/>
  <c r="Q52" i="32"/>
  <c r="Q53" i="32"/>
  <c r="M56" i="37"/>
  <c r="Q54" i="32"/>
  <c r="Q56" i="32"/>
  <c r="N44" i="19"/>
  <c r="N45" i="19"/>
  <c r="Q54" i="37"/>
  <c r="Q56" i="37"/>
  <c r="E42" i="32"/>
  <c r="F42" i="32"/>
  <c r="J3" i="16"/>
  <c r="F38" i="16"/>
  <c r="M44" i="19"/>
  <c r="M45" i="19"/>
  <c r="K42" i="32"/>
  <c r="O43" i="32"/>
  <c r="J42" i="32"/>
  <c r="H51" i="11"/>
  <c r="G51" i="11"/>
  <c r="F51" i="11"/>
  <c r="E51" i="11"/>
  <c r="D51" i="11"/>
  <c r="C51" i="11"/>
  <c r="N19" i="11"/>
  <c r="M19" i="11"/>
  <c r="L19" i="11"/>
  <c r="K19" i="11"/>
  <c r="J19" i="11"/>
  <c r="I19" i="11"/>
  <c r="M42" i="32"/>
  <c r="C65" i="11"/>
  <c r="C64" i="11"/>
  <c r="C63" i="11"/>
  <c r="C61" i="11"/>
  <c r="C62" i="11"/>
  <c r="C46" i="11"/>
  <c r="C45" i="11"/>
  <c r="C37" i="11"/>
  <c r="C30" i="11"/>
  <c r="C31" i="11"/>
  <c r="C20" i="11"/>
  <c r="D65" i="11"/>
  <c r="D64" i="11"/>
  <c r="D63" i="11"/>
  <c r="D61" i="11"/>
  <c r="D62" i="11"/>
  <c r="D46" i="11"/>
  <c r="D45" i="11"/>
  <c r="D37" i="11"/>
  <c r="D30" i="11"/>
  <c r="D31" i="11"/>
  <c r="D20" i="11"/>
  <c r="E65" i="11"/>
  <c r="E64" i="11"/>
  <c r="E63" i="11"/>
  <c r="E61" i="11"/>
  <c r="E62" i="11"/>
  <c r="E46" i="11"/>
  <c r="E45" i="11"/>
  <c r="E37" i="11"/>
  <c r="E30" i="11"/>
  <c r="E31" i="11"/>
  <c r="E20" i="11"/>
  <c r="F65" i="11"/>
  <c r="F64" i="11"/>
  <c r="F63" i="11"/>
  <c r="F61" i="11"/>
  <c r="F62" i="11"/>
  <c r="F46" i="11"/>
  <c r="F45" i="11"/>
  <c r="F37" i="11"/>
  <c r="F30" i="11"/>
  <c r="F31" i="11"/>
  <c r="F20" i="11"/>
  <c r="G65" i="11"/>
  <c r="G64" i="11"/>
  <c r="G63" i="11"/>
  <c r="G61" i="11"/>
  <c r="G62" i="11"/>
  <c r="G46" i="11"/>
  <c r="G45" i="11"/>
  <c r="G37" i="11"/>
  <c r="G30" i="11"/>
  <c r="G31" i="11"/>
  <c r="G20" i="11"/>
  <c r="H65" i="11"/>
  <c r="H64" i="11"/>
  <c r="H63" i="11"/>
  <c r="H61" i="11"/>
  <c r="H62" i="11"/>
  <c r="H46" i="11"/>
  <c r="H45" i="11"/>
  <c r="H37" i="11"/>
  <c r="H30" i="11"/>
  <c r="H31" i="11"/>
  <c r="H20" i="11"/>
  <c r="Q42" i="32"/>
  <c r="R3" i="7"/>
  <c r="Q3" i="7"/>
  <c r="P3" i="7"/>
  <c r="O3" i="7"/>
  <c r="N3" i="7"/>
  <c r="M3" i="7"/>
  <c r="Q43" i="32"/>
  <c r="D65" i="7"/>
  <c r="D64" i="7"/>
  <c r="D63" i="7"/>
  <c r="D62" i="7"/>
  <c r="D61" i="7"/>
  <c r="D60" i="7"/>
  <c r="D59" i="7"/>
  <c r="D58" i="7"/>
  <c r="D57" i="7"/>
  <c r="D56" i="7"/>
  <c r="D55" i="7"/>
  <c r="D54" i="7"/>
  <c r="D53" i="7"/>
  <c r="D52" i="7"/>
  <c r="D51" i="7"/>
  <c r="D50" i="7"/>
  <c r="D49" i="7"/>
  <c r="D48" i="7"/>
  <c r="D47" i="7"/>
  <c r="D46" i="7"/>
  <c r="D45" i="7"/>
  <c r="D44" i="7"/>
  <c r="D43" i="7"/>
  <c r="D42" i="7"/>
  <c r="D41" i="7"/>
  <c r="D40" i="7"/>
  <c r="D39" i="7"/>
  <c r="D38" i="7"/>
  <c r="D37" i="7"/>
  <c r="D36" i="7"/>
  <c r="D35" i="7"/>
  <c r="D34" i="7"/>
  <c r="D33" i="7"/>
  <c r="D32" i="7"/>
  <c r="D31" i="7"/>
  <c r="D30" i="7"/>
  <c r="D29" i="7"/>
  <c r="D28" i="7"/>
  <c r="D27" i="7"/>
  <c r="D26" i="7"/>
  <c r="D25" i="7"/>
  <c r="D24" i="7"/>
  <c r="D23" i="7"/>
  <c r="D22" i="7"/>
  <c r="D21" i="7"/>
  <c r="D20" i="7"/>
  <c r="D19" i="7"/>
  <c r="D18" i="7"/>
  <c r="D17" i="7"/>
  <c r="D16" i="7"/>
  <c r="D15" i="7"/>
  <c r="D14" i="7"/>
  <c r="D13" i="7"/>
  <c r="D12" i="7"/>
  <c r="D11" i="7"/>
  <c r="D10" i="7"/>
  <c r="D9" i="7"/>
  <c r="D8" i="7"/>
  <c r="D7" i="7"/>
  <c r="D6" i="7"/>
  <c r="D5" i="7"/>
  <c r="E65" i="7"/>
  <c r="E64" i="7"/>
  <c r="E63" i="7"/>
  <c r="E62" i="7"/>
  <c r="E61" i="7"/>
  <c r="E60" i="7"/>
  <c r="E59" i="7"/>
  <c r="E58" i="7"/>
  <c r="E57" i="7"/>
  <c r="E56" i="7"/>
  <c r="E55" i="7"/>
  <c r="E54" i="7"/>
  <c r="E53" i="7"/>
  <c r="E52" i="7"/>
  <c r="E51" i="7"/>
  <c r="E50" i="7"/>
  <c r="E49" i="7"/>
  <c r="E48" i="7"/>
  <c r="E47" i="7"/>
  <c r="E46" i="7"/>
  <c r="E45" i="7"/>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F65" i="7"/>
  <c r="F64" i="7"/>
  <c r="F63" i="7"/>
  <c r="F62" i="7"/>
  <c r="F61" i="7"/>
  <c r="F60" i="7"/>
  <c r="F59" i="7"/>
  <c r="F58" i="7"/>
  <c r="F57" i="7"/>
  <c r="F56" i="7"/>
  <c r="F55" i="7"/>
  <c r="F54" i="7"/>
  <c r="F53" i="7"/>
  <c r="F52" i="7"/>
  <c r="F51" i="7"/>
  <c r="F50" i="7"/>
  <c r="F49" i="7"/>
  <c r="F48" i="7"/>
  <c r="F47" i="7"/>
  <c r="F46" i="7"/>
  <c r="F45" i="7"/>
  <c r="F44" i="7"/>
  <c r="F43" i="7"/>
  <c r="F42" i="7"/>
  <c r="F41" i="7"/>
  <c r="F40" i="7"/>
  <c r="F39" i="7"/>
  <c r="F38" i="7"/>
  <c r="F37" i="7"/>
  <c r="F36" i="7"/>
  <c r="F35" i="7"/>
  <c r="F34" i="7"/>
  <c r="F33" i="7"/>
  <c r="F32" i="7"/>
  <c r="F31" i="7"/>
  <c r="F30" i="7"/>
  <c r="F29" i="7"/>
  <c r="F28" i="7"/>
  <c r="F27" i="7"/>
  <c r="F26" i="7"/>
  <c r="F25" i="7"/>
  <c r="F24" i="7"/>
  <c r="F23" i="7"/>
  <c r="F22" i="7"/>
  <c r="F21" i="7"/>
  <c r="F20" i="7"/>
  <c r="F19" i="7"/>
  <c r="F18" i="7"/>
  <c r="F17" i="7"/>
  <c r="F16" i="7"/>
  <c r="F15" i="7"/>
  <c r="F14" i="7"/>
  <c r="F13" i="7"/>
  <c r="F12" i="7"/>
  <c r="F11" i="7"/>
  <c r="F10" i="7"/>
  <c r="F9" i="7"/>
  <c r="F8" i="7"/>
  <c r="F7" i="7"/>
  <c r="F6" i="7"/>
  <c r="F5" i="7"/>
  <c r="G65" i="7"/>
  <c r="G64" i="7"/>
  <c r="G63" i="7"/>
  <c r="G62" i="7"/>
  <c r="G61" i="7"/>
  <c r="G60" i="7"/>
  <c r="G59" i="7"/>
  <c r="G58" i="7"/>
  <c r="G57" i="7"/>
  <c r="G56" i="7"/>
  <c r="G55" i="7"/>
  <c r="G54" i="7"/>
  <c r="G53" i="7"/>
  <c r="G52" i="7"/>
  <c r="G51" i="7"/>
  <c r="G50" i="7"/>
  <c r="G49" i="7"/>
  <c r="G48" i="7"/>
  <c r="G47" i="7"/>
  <c r="G46" i="7"/>
  <c r="G45" i="7"/>
  <c r="G44" i="7"/>
  <c r="G43" i="7"/>
  <c r="G42" i="7"/>
  <c r="G41" i="7"/>
  <c r="G40" i="7"/>
  <c r="G39" i="7"/>
  <c r="G38" i="7"/>
  <c r="G37" i="7"/>
  <c r="G36" i="7"/>
  <c r="G35" i="7"/>
  <c r="G34" i="7"/>
  <c r="G33" i="7"/>
  <c r="G32" i="7"/>
  <c r="G31" i="7"/>
  <c r="G30" i="7"/>
  <c r="G29" i="7"/>
  <c r="G28" i="7"/>
  <c r="G27" i="7"/>
  <c r="G26" i="7"/>
  <c r="G25" i="7"/>
  <c r="G24" i="7"/>
  <c r="G23" i="7"/>
  <c r="G22" i="7"/>
  <c r="G21" i="7"/>
  <c r="G20" i="7"/>
  <c r="G19" i="7"/>
  <c r="G18" i="7"/>
  <c r="G17" i="7"/>
  <c r="G16" i="7"/>
  <c r="G15" i="7"/>
  <c r="G14" i="7"/>
  <c r="G13" i="7"/>
  <c r="G12" i="7"/>
  <c r="G11" i="7"/>
  <c r="G10" i="7"/>
  <c r="G9" i="7"/>
  <c r="G8" i="7"/>
  <c r="G7" i="7"/>
  <c r="G6" i="7"/>
  <c r="G5" i="7"/>
  <c r="H65" i="7"/>
  <c r="H64" i="7"/>
  <c r="H63" i="7"/>
  <c r="H62" i="7"/>
  <c r="H61" i="7"/>
  <c r="H60" i="7"/>
  <c r="H59" i="7"/>
  <c r="H58" i="7"/>
  <c r="H57" i="7"/>
  <c r="H56" i="7"/>
  <c r="H55" i="7"/>
  <c r="H54" i="7"/>
  <c r="H53" i="7"/>
  <c r="H52" i="7"/>
  <c r="H51" i="7"/>
  <c r="H50" i="7"/>
  <c r="H49" i="7"/>
  <c r="H48" i="7"/>
  <c r="H47" i="7"/>
  <c r="H46" i="7"/>
  <c r="H45" i="7"/>
  <c r="H44" i="7"/>
  <c r="H43" i="7"/>
  <c r="H42" i="7"/>
  <c r="H41" i="7"/>
  <c r="H40" i="7"/>
  <c r="H39" i="7"/>
  <c r="H38" i="7"/>
  <c r="H37" i="7"/>
  <c r="H36" i="7"/>
  <c r="H35" i="7"/>
  <c r="H34" i="7"/>
  <c r="H33" i="7"/>
  <c r="H32" i="7"/>
  <c r="H31" i="7"/>
  <c r="H30" i="7"/>
  <c r="H29" i="7"/>
  <c r="H28" i="7"/>
  <c r="H27" i="7"/>
  <c r="H26" i="7"/>
  <c r="H25" i="7"/>
  <c r="H24" i="7"/>
  <c r="H23" i="7"/>
  <c r="H22" i="7"/>
  <c r="H21" i="7"/>
  <c r="H20" i="7"/>
  <c r="H19" i="7"/>
  <c r="H18" i="7"/>
  <c r="H17" i="7"/>
  <c r="H16" i="7"/>
  <c r="H15" i="7"/>
  <c r="H14" i="7"/>
  <c r="H13" i="7"/>
  <c r="H12" i="7"/>
  <c r="H11" i="7"/>
  <c r="H10" i="7"/>
  <c r="H9" i="7"/>
  <c r="H8" i="7"/>
  <c r="H7" i="7"/>
  <c r="H6" i="7"/>
  <c r="H5" i="7"/>
  <c r="I65" i="7"/>
  <c r="I64" i="7"/>
  <c r="I63" i="7"/>
  <c r="I62" i="7"/>
  <c r="I61" i="7"/>
  <c r="I60" i="7"/>
  <c r="I59" i="7"/>
  <c r="I58" i="7"/>
  <c r="I57" i="7"/>
  <c r="I56" i="7"/>
  <c r="I55" i="7"/>
  <c r="I54" i="7"/>
  <c r="I53" i="7"/>
  <c r="I52" i="7"/>
  <c r="I51" i="7"/>
  <c r="I50" i="7"/>
  <c r="I49" i="7"/>
  <c r="I48" i="7"/>
  <c r="I47" i="7"/>
  <c r="I46" i="7"/>
  <c r="I45" i="7"/>
  <c r="I44" i="7"/>
  <c r="I43" i="7"/>
  <c r="I42" i="7"/>
  <c r="I41" i="7"/>
  <c r="I40" i="7"/>
  <c r="I39" i="7"/>
  <c r="I38" i="7"/>
  <c r="I37" i="7"/>
  <c r="I36" i="7"/>
  <c r="I35" i="7"/>
  <c r="I34" i="7"/>
  <c r="I33" i="7"/>
  <c r="I32" i="7"/>
  <c r="I31" i="7"/>
  <c r="I30" i="7"/>
  <c r="I29" i="7"/>
  <c r="I28" i="7"/>
  <c r="I27" i="7"/>
  <c r="I26" i="7"/>
  <c r="I25" i="7"/>
  <c r="I24" i="7"/>
  <c r="I23" i="7"/>
  <c r="I22" i="7"/>
  <c r="I21" i="7"/>
  <c r="I20" i="7"/>
  <c r="I19" i="7"/>
  <c r="I18" i="7"/>
  <c r="I17" i="7"/>
  <c r="I16" i="7"/>
  <c r="I15" i="7"/>
  <c r="I14" i="7"/>
  <c r="I13" i="7"/>
  <c r="I12" i="7"/>
  <c r="I11" i="7"/>
  <c r="I10" i="7"/>
  <c r="I9" i="7"/>
  <c r="I8" i="7"/>
  <c r="I7" i="7"/>
  <c r="I6" i="7"/>
  <c r="I5" i="7"/>
  <c r="E42" i="37"/>
  <c r="M114" i="10"/>
  <c r="M115" i="10"/>
  <c r="F42" i="37"/>
  <c r="K42" i="37"/>
  <c r="J42" i="37"/>
  <c r="O43" i="37"/>
  <c r="H50" i="32"/>
  <c r="N114" i="10"/>
  <c r="N115" i="10"/>
  <c r="P43" i="37"/>
  <c r="Q43" i="37"/>
  <c r="Q42" i="37"/>
  <c r="E50" i="37"/>
  <c r="E58" i="37"/>
  <c r="J50" i="37"/>
  <c r="J58" i="37"/>
  <c r="H50" i="37"/>
  <c r="H58" i="37"/>
  <c r="B17" i="40"/>
  <c r="J50" i="32"/>
  <c r="J58" i="32"/>
  <c r="H58" i="32"/>
  <c r="E50" i="32"/>
  <c r="E58" i="32"/>
  <c r="M50" i="37"/>
  <c r="M58" i="37"/>
  <c r="Q39" i="37"/>
  <c r="Q50" i="37"/>
  <c r="Q58" i="37"/>
  <c r="M50" i="32"/>
  <c r="M58" i="32"/>
  <c r="C17" i="40"/>
  <c r="D17" i="40"/>
  <c r="B12" i="40"/>
  <c r="B22" i="40"/>
  <c r="B23" i="40"/>
  <c r="B7" i="40"/>
  <c r="C12" i="40"/>
  <c r="Q39" i="32"/>
  <c r="Q50" i="32"/>
  <c r="Q58" i="32"/>
  <c r="D12" i="40"/>
  <c r="C7" i="40"/>
  <c r="C22" i="40"/>
  <c r="C23" i="40"/>
  <c r="D7" i="40"/>
  <c r="D22" i="40"/>
  <c r="D23" i="4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tc={DDDF002B-7217-48FB-8D34-F901625E6C62}</author>
  </authors>
  <commentList>
    <comment ref="W1" authorId="0" shapeId="0" xr:uid="{00000000-0006-0000-0000-000001000000}">
      <text>
        <t xml:space="preserve">[Threaded comment]
Your version of Excel allows you to read this threaded comment; however, any edits to it will get removed if the file is opened in a newer version of Excel. Learn more: https://go.microsoft.com/fwlink/?linkid=870924
Comment:
    Se suman solamente los IPC 2023 Resaltados en verde
</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Diana Carolina Infante Peña</author>
  </authors>
  <commentList>
    <comment ref="B19" authorId="0" shapeId="0" xr:uid="{00000000-0006-0000-0D00-000001000000}">
      <text>
        <r>
          <rPr>
            <sz val="11"/>
            <color theme="1"/>
            <rFont val="Calibri"/>
            <family val="2"/>
            <scheme val="minor"/>
          </rPr>
          <t xml:space="preserve">Diana Carolina Infante Peña:
esta objeto con seencuentra viabilizado revisar 
</t>
        </r>
      </text>
    </comment>
    <comment ref="B37" authorId="0" shapeId="0" xr:uid="{00000000-0006-0000-0D00-000002000000}">
      <text>
        <r>
          <rPr>
            <sz val="11"/>
            <color theme="1"/>
            <rFont val="Calibri"/>
            <family val="2"/>
            <scheme val="minor"/>
          </rPr>
          <t xml:space="preserve">Diana Carolina Infante Peña:
Colabores con esas dimensiones no hay, hay de 20 cm
</t>
        </r>
      </text>
    </comment>
    <comment ref="B69" authorId="0" shapeId="0" xr:uid="{00000000-0006-0000-0D00-000003000000}">
      <text>
        <r>
          <rPr>
            <sz val="11"/>
            <color theme="1"/>
            <rFont val="Calibri"/>
            <family val="2"/>
            <scheme val="minor"/>
          </rPr>
          <t>Diana Carolina Infante Peña:
revisar descripcion de licuadora yaque la descrita no esta en las viabilizaciones, la descripcion encontrada "Se debe capacitar sobre el uso adecuado del elemento, motor potencia mínima de 1/2 hp, jarra en acero inoxidable
304, con diseño que garantice el correcto licuado de los alimentos, totalmente en acero inoxidable, sistema volcable
(basculante) con pin de seguridad para evitar el volcamiento accidental del vaso o de vaso desmontable, con
capacidad entre 4 y 5 lts, con sello mecánico para evitar filtraciones de líquidos, eje de motor en acero, base en
tubería de acero inoxidable (para licuadoras volcables), cuadrante y acople de cuadrante en acero (vaso
desmontable), interruptor pulsador termo magnético automático para corte por sobrecarga en el caso que se frene el
motor y evitar que se queme."</t>
        </r>
      </text>
    </comment>
    <comment ref="B103" authorId="0" shapeId="0" xr:uid="{00000000-0006-0000-0D00-000004000000}">
      <text>
        <r>
          <rPr>
            <sz val="11"/>
            <color theme="1"/>
            <rFont val="Calibri"/>
            <family val="2"/>
            <scheme val="minor"/>
          </rPr>
          <t xml:space="preserve">Diana Carolina Infante Peña:
no se encuentra viabilizado
</t>
        </r>
      </text>
    </comment>
  </commentList>
</comments>
</file>

<file path=xl/sharedStrings.xml><?xml version="1.0" encoding="utf-8"?>
<sst xmlns="http://schemas.openxmlformats.org/spreadsheetml/2006/main" count="5186" uniqueCount="1927">
  <si>
    <t xml:space="preserve">Memorando </t>
  </si>
  <si>
    <t>Nombre</t>
  </si>
  <si>
    <t>Fecha de viabilidad</t>
  </si>
  <si>
    <t>Enero_23</t>
  </si>
  <si>
    <t>Febrero_23</t>
  </si>
  <si>
    <t>Marzo_23</t>
  </si>
  <si>
    <t>Abril_23</t>
  </si>
  <si>
    <t>Mayo_23</t>
  </si>
  <si>
    <t>Junio_23</t>
  </si>
  <si>
    <t>Julio_23</t>
  </si>
  <si>
    <t>Agosto_23</t>
  </si>
  <si>
    <t>Septiembre_23</t>
  </si>
  <si>
    <t>Octubre_23</t>
  </si>
  <si>
    <t>Noviembre_23</t>
  </si>
  <si>
    <t>Diciembre_23</t>
  </si>
  <si>
    <t>IPC_2023</t>
  </si>
  <si>
    <t>Enero_24</t>
  </si>
  <si>
    <t>Febrero_24</t>
  </si>
  <si>
    <t>Marzo_24</t>
  </si>
  <si>
    <t>Abril_24</t>
  </si>
  <si>
    <t>Mayo_24</t>
  </si>
  <si>
    <t>IPC_2024</t>
  </si>
  <si>
    <t>Suma Ipc_2023</t>
  </si>
  <si>
    <t>Suma IPC_2024</t>
  </si>
  <si>
    <t>IPC PERIODO</t>
  </si>
  <si>
    <t>IPC APLICADO</t>
  </si>
  <si>
    <t>I2023000881</t>
  </si>
  <si>
    <t>Carnicos con soporte</t>
  </si>
  <si>
    <t>I2023000889</t>
  </si>
  <si>
    <t>viveres y abarrotes</t>
  </si>
  <si>
    <t>I2023000944</t>
  </si>
  <si>
    <t>Panaderia con soportes</t>
  </si>
  <si>
    <t>I2023000994</t>
  </si>
  <si>
    <t>lacteeos 2023</t>
  </si>
  <si>
    <t>I2023001005</t>
  </si>
  <si>
    <t>huevos frutas y verduras</t>
  </si>
  <si>
    <t>I2023004856</t>
  </si>
  <si>
    <t>Cuidado transitorio</t>
  </si>
  <si>
    <t>I2023008278</t>
  </si>
  <si>
    <t>Externos Discapacidad</t>
  </si>
  <si>
    <t>I2023010652</t>
  </si>
  <si>
    <t>Aseo personal</t>
  </si>
  <si>
    <t>I2023015628</t>
  </si>
  <si>
    <t>Papeleria</t>
  </si>
  <si>
    <t>I2023018072</t>
  </si>
  <si>
    <t>menaje mobiliario</t>
  </si>
  <si>
    <t>I2023019873</t>
  </si>
  <si>
    <t>Comunidad de cuidado</t>
  </si>
  <si>
    <t>I2023024745</t>
  </si>
  <si>
    <t>Elementos de Ciodado Proteccion y Emergencias</t>
  </si>
  <si>
    <t>I2023027361</t>
  </si>
  <si>
    <t>Canecas</t>
  </si>
  <si>
    <t>I2023031011</t>
  </si>
  <si>
    <t>Lote 6 Lenceria</t>
  </si>
  <si>
    <t>I2023031084</t>
  </si>
  <si>
    <t>lote 2 menaje</t>
  </si>
  <si>
    <t>I2023031433</t>
  </si>
  <si>
    <t>lote 5 Biomédicos</t>
  </si>
  <si>
    <t>I2023031801</t>
  </si>
  <si>
    <t>Lote 1 Mobiliario</t>
  </si>
  <si>
    <t>I2023031991</t>
  </si>
  <si>
    <t>Lote 3 Industriales</t>
  </si>
  <si>
    <t>I2023032069</t>
  </si>
  <si>
    <t>Lote 4 Deportivos</t>
  </si>
  <si>
    <t>I2024004413</t>
  </si>
  <si>
    <t>Cofinanciados 885</t>
  </si>
  <si>
    <t>I2024004588</t>
  </si>
  <si>
    <t>Fórmulas lácteas 2024</t>
  </si>
  <si>
    <t>I2024004948</t>
  </si>
  <si>
    <t>Servicios de vigilancia</t>
  </si>
  <si>
    <t>i2024004988</t>
  </si>
  <si>
    <t>Cofinaciados especificos y servicios publicos</t>
  </si>
  <si>
    <t>I2024005209</t>
  </si>
  <si>
    <t>carnicos Pollo</t>
  </si>
  <si>
    <t>I2024011245</t>
  </si>
  <si>
    <t>Viveres y Abarrotes 2024</t>
  </si>
  <si>
    <t>I2024011415</t>
  </si>
  <si>
    <t>Productos lacteos</t>
  </si>
  <si>
    <t>I2024011757</t>
  </si>
  <si>
    <t>Cárnicos con soporte</t>
  </si>
  <si>
    <t>I2024012926</t>
  </si>
  <si>
    <t>Productos, Frutas, Huevos y Empaques</t>
  </si>
  <si>
    <t>I2024013575</t>
  </si>
  <si>
    <t>porductos panaderia</t>
  </si>
  <si>
    <t>I2024014734</t>
  </si>
  <si>
    <t>firma tercerizados</t>
  </si>
  <si>
    <t>ITEM</t>
  </si>
  <si>
    <t>ELEMENTO</t>
  </si>
  <si>
    <t>DESCRIPCION</t>
  </si>
  <si>
    <t>UNIDAD DE COSTEO</t>
  </si>
  <si>
    <t>RAD No. VIABILIZADO</t>
  </si>
  <si>
    <t>FECHA MEMORANDO DE VIABILIZACION</t>
  </si>
  <si>
    <t>VALOR UNITARIO MAS IVA SEGÚN MEMORANDO DE VIABILIZACION</t>
  </si>
  <si>
    <t>IPC MES A MES MARZO 2023 A  ABRIL 2024 (Fuente DANE)</t>
  </si>
  <si>
    <t>VALOR INDEXADO</t>
  </si>
  <si>
    <t>% INDEXADO</t>
  </si>
  <si>
    <t>DOTACION TALENTO HUMANO</t>
  </si>
  <si>
    <t>CHAQUETA INSTITUCIONAL</t>
  </si>
  <si>
    <t>Chaqueta con mangas removibles, material delgado, con los logos y del color establecido en el manual de imagen institucional de la Secretaría Distrital de Integración Social, tallas según se requieran</t>
  </si>
  <si>
    <t>UNIDAD</t>
  </si>
  <si>
    <t>TRAJE ANTIFLUIDO AZUL</t>
  </si>
  <si>
    <t>Traje anti fluido de dos (2) piezas, azul con los logos dispuestos como lo establece el manual de imagen institucional de la Secretaría Distrital de Integración Social . Tres (3) trajes para cada rol.</t>
  </si>
  <si>
    <t>TRAJE ANTIFLUIDO BLANCO</t>
  </si>
  <si>
    <t>Traje anti fluido de dos (2) piezas, blanco con los logos dispuestos como lo establece el manual de imagen institucional de la Secretaría Distrital de Integración Social . Tres (3) trajes para cada rol.</t>
  </si>
  <si>
    <t>TRAJE ANTIFLUIDO VERDE</t>
  </si>
  <si>
    <t>Traje anti fluido de dos (2) piezas, verde con los logos dispuestos como lo establece el manual de imagen institucional de la Secretaría Distrital de Integración Social . Tres (3) trajes para cada rol.</t>
  </si>
  <si>
    <t>UNIFORME SERVICIOS GENERALES</t>
  </si>
  <si>
    <t>Uniforme: Camisa y pantalón
Material: Tela, de cualquier color</t>
  </si>
  <si>
    <t>Unidad</t>
  </si>
  <si>
    <t>I2024004856</t>
  </si>
  <si>
    <t>OVEROL</t>
  </si>
  <si>
    <t>Overol. El material debe estar acorde con el clima en que se preste el servicio, tallas según se requieran.</t>
  </si>
  <si>
    <t>PETO PLASTICO</t>
  </si>
  <si>
    <t>Petos plásticos</t>
  </si>
  <si>
    <t>GORRO DE COCINA</t>
  </si>
  <si>
    <t>Gorro de cocina</t>
  </si>
  <si>
    <t>Paqute x 100</t>
  </si>
  <si>
    <t>GUANTES MANIPULACION DE ALIMENTOS</t>
  </si>
  <si>
    <t>guantes manipulación de alimentos</t>
  </si>
  <si>
    <t>Caja x 100 unidades</t>
  </si>
  <si>
    <t>COFIA Y / MALLA</t>
  </si>
  <si>
    <t>cofia y/o malla</t>
  </si>
  <si>
    <t>CALZADO TALENTO HUMANO</t>
  </si>
  <si>
    <t>Zapato cerrado, sin cordones, de material resistente, antideslizante, impermeable y de tacón bajo. No se permitirán zapatos tipo crocs que  presenten orificios.</t>
  </si>
  <si>
    <t>Par</t>
  </si>
  <si>
    <t>BOTAS DE CAUCHO</t>
  </si>
  <si>
    <t>Botas blancas de caucho</t>
  </si>
  <si>
    <t>GUANTES DE LATEX</t>
  </si>
  <si>
    <t>Guantes de látex de examen, cajas de</t>
  </si>
  <si>
    <t>TAPABOCAS</t>
  </si>
  <si>
    <t>Tapabocas elástico desechable con tiras elásticas (opcional N95), cajas de mínimo 100 unidades cada una</t>
  </si>
  <si>
    <t>Caja x 50 unidades</t>
  </si>
  <si>
    <t>BIENES NO CONSUMIBLES</t>
  </si>
  <si>
    <t>ABRELATAS</t>
  </si>
  <si>
    <t xml:space="preserve">abrelatas en forma de tijera, sistema de dos discos pequeños, uno con borde en serrucho y otro con borde cortante. </t>
  </si>
  <si>
    <t>ALMOHADA PARA ADULTO</t>
  </si>
  <si>
    <t>tamaño: 50cm x 75cm altura 8cm</t>
  </si>
  <si>
    <t>Desgaste y uso mensual por unidad</t>
  </si>
  <si>
    <t>ANAQUEL O ESTANTERÍAS</t>
  </si>
  <si>
    <t>Para ubicación de alimentos no perecederos (víveres y abarrotes), en material higiénico sanitario en acero inoxidable de 5 entrepaños para almacenamiento en seco,de 50 cm x 50 cm como minimo</t>
  </si>
  <si>
    <t>ARCHIVADOR VERTICAL 4 GAVETAS METÁLICO</t>
  </si>
  <si>
    <t>Materiales: Lámina Cold Rolled calibre 20 en pintura electrostática color gris claro, correderas independientes Full Extension, cerradura en la parte superior. Gavetas extraíbles (4 unidades), con sistema anti-vuelco de seguridad, apertura de solo un cajón al tiempo. Medidas: 136 cm alto x 47 cm ancho, 60 cm fondo. Medidas gaveta: 29 cm alto x 44 cm ancho x 55 cm fondo. Apoyos con niveladores.</t>
  </si>
  <si>
    <t>BACINILLAS O PATOS</t>
  </si>
  <si>
    <t>personas entre 1.53 a 1.75 mts de estatura, muletas</t>
  </si>
  <si>
    <t>BALANZA</t>
  </si>
  <si>
    <t>Balanza para pesaje de residuos ordinarios</t>
  </si>
  <si>
    <t>BALANZA 1</t>
  </si>
  <si>
    <t>Balanza para pesaje de residuos hospitalarios</t>
  </si>
  <si>
    <t>BALDE</t>
  </si>
  <si>
    <t>Balde con agarradera y tapa en material plastico con vertedero para controlar la salida del liquido. Capacidad de 13 Lts</t>
  </si>
  <si>
    <t>BANDEJA</t>
  </si>
  <si>
    <t>Bandejas plasticas para servir (en material higiénico sanitario) de mínimo 47 cm x 35,5  cm.</t>
  </si>
  <si>
    <t>BÁSCULA ELECTRÓNICA</t>
  </si>
  <si>
    <t>Balanza - Báscula para alimentos, Capacidad hasta de 150 Kg. Sensibilidad mínima de 50 gramos. Dimensión plataforma: mínima de 30 cm x 40 cm Certificado de calibración por laboratorio acreditado por la ONAC, cada año, incluyendo pilas o cargador para su funcionamiento.</t>
  </si>
  <si>
    <t>BÁSCULA ELECTRÓNICA INDUSTRIAL</t>
  </si>
  <si>
    <t>Bascula electrónica industrial diseñada para trabajo continuo, con plataforma robusta.
Plataforma en acero inoxidable, Indicador: electrónico con función de TARA/HOLD, Capacidad mínima: 150 kg
División/ precisión mínima: 50 g., Precisión máxima: 100g., Dimensión plataforma: (lxaxh) 70 cm x 70 cm.x15cm (+/- 30%), Peso de bascula: máximo de 40kg., Batería: recargable con autonomía mínima de 24 horas de uso
Accesorios: adaptador / cargador de batería.
La báscula debe ser entregada con certificado de aprobación de modelo acorde con OIML R 76-1 o la norma correspondiente según el país o región de origen, informe de verificación inicial acorde con OIML R 76-1 o la NTC 2031:2002. Debe tener identificación metrológica de origen (etiqueta o placa) con información relacionada con clase, capacidad máxima, capacidad mínima, escalón de verificación (e) y división de escala (d)). Cada equipo deberá tener un empaque que facilite su almacenamiento y transporte y que garanticen las condiciones necesarias para mantener la calibración. Los equipos antropométricos deben comprarse con certificado de calibración, acreditado ante la ONAC (Organismo Nacional de Acreditación de Colombia) en Masa. Garantía mínima de 3 años de conformidad con lo estipulado en el capítulo 1 del título 3 de la ley 1480 de 2011 (estatuto de protección al consumidor). Deberá ser entregado con los manuales de calibración y manejo del equipo</t>
  </si>
  <si>
    <t>BASCULA ELECTRÓNICA PESA PERSONAS</t>
  </si>
  <si>
    <t>Báscula grado médico para paciente adulto con certificado de conformidad expedido por el país de origen.Funcionamiento digital con pantalla de visualización LCD.Capacidad de carga ≥ 180KG. Con funciones: Desconexión automática, 2 en 1 o madre bebe, auto HOLD y conmutación de kgs/lbs. Plataforma antideslizante. Alimentación eléctrica suministrada por pilas y con opción de alimentación eléctrica por cargador a pared.Escala de división de 100 gr o menos.Soportes con sistema de nivelación de altura para garantizar una medición correcta. Con opción para ajuste del factor gravitacional del lugar de instalación.Material de fabricación: ABS grado médico.</t>
  </si>
  <si>
    <t>BATA BLANCA</t>
  </si>
  <si>
    <t>Bata blanca</t>
  </si>
  <si>
    <t>BOTIQUIN TIPO A</t>
  </si>
  <si>
    <t>Botiquín tipo A - fijo botiquín de primeros auxilios fabricado en lámina. Fijo con dos entrepaños y cavidad para variedad de frascos. Puerta de vidrio enmarcada con cerradura. Terminado en pintura electrostática, el cual debe contener todos los elementos mencionados en la resolución 0705 DE 2007.</t>
  </si>
  <si>
    <t>BOTIQUIN TIPO A - PORTATIL</t>
  </si>
  <si>
    <t>MALETÍN ELABORADO EN LONA COLOR ROJO, TOTALMENTE IMPERMEABLE ABULLONADO Y FORRADO CON EL LOGO DE CRUZ Y LEYENDA INFORMATIVA “BOTIQUIN PRIMEROS AUXILIOS”, MEDIDAS APROXIMADAS DEL MALETIN 40 X 30 X 15 CM, CORREA Y CREMALLERA .1 COMPARTIMIENTOS + 4 BOLSILLOS INTERNOS. ESTE BOTIQUÍN DEBE CONTENER CADA UNO DE LOS ELEMENTOS ESTABLECIDOS POR LA RESOLUCION 705 DE 2007 EXPEDIDO POR LA SECRETARÍA DISTRITAL DE SALUD: GASA ESTÉRIL:  *GASA DE 3" X 3" 10 SOBRES CON 2 UNIDADES CADA UNO.  *ESPARADRAPO DE TELA: 1 ROLLO DE 4" X 5 YD  *BAJA LENGUAS EN MADERA: 1 PAQUETE X 20 UNIDADES  *GUANTES E LÁTEX: 1 CAJA X 100 UNIDADES *VENDA ELÁSTICA: 1 UNIDAD DE 2" X 5 YD  *VENDA ELÁSTICA: 1 UNIDAD DE 3" X 5 YD  *VENDA ELÁSTICA: 1 UNIDAD DE 5" X 5 YD *VENDA DE ALGODÓN LAMINADO: 1 UNIDAD DE 3”  X 5 YD *VENDA DE ALGODÓN LAMINADO: 1 UNIDAD DE 5” X 5 YD  *YODOPOVIDONA (JABÓN QUIRÚRGICO): 1 FRASCO X 120 ML *SUERO FISIOLÓGICO: 5 BOLSAS X 100 ML O 2 BOLSAS X 250 ML  *TERMÓMETRO CLÍNICO DIGITAL (ORAL): 1 NIDAD   *ALCOHOL ANTISÉPTICO: 1 FRASCO X 350 ML NOTA: FECHAS DE VENCIMIENTO MÍNIMO 18 MESES</t>
  </si>
  <si>
    <t>BOTIQUÍN TIPO B</t>
  </si>
  <si>
    <t>(1) Botiquín tipo B de fácil traslado, teniendo en cuenta lo establecido en la Resolución 705 de 2007 de la Secretaría Distrital de Salud (Anexo tecnico Componentes ambientes adecuados y seguros Tabla 15. Relación de elementos Botiquín tipo B)</t>
  </si>
  <si>
    <t>CABINA DE SONIDO</t>
  </si>
  <si>
    <t>torre de sonido con entrada de audio analógico aux, lector usb – bluetooth – fm – sd, reproductor de música mp3 y mp4, control remoto, potencia de salida 200 w, energía 110v/60hz, 3 canales de potencia y altura aproximada de 56 cm. batería recargable y micrófono incluido.</t>
  </si>
  <si>
    <t>CALDERO</t>
  </si>
  <si>
    <t>Caldero hondo de aluminio de alta pureza, fundido con capacidad de 75 litros extrafuerte con tapa.
Dimensiones: Alto 53,5 cm y diámetro 54 cm. Color: Gris</t>
  </si>
  <si>
    <t>CAMAROTE</t>
  </si>
  <si>
    <t xml:space="preserve">Camarote sencillo en tubo metálico redondo de 2” calibre 18. Largueros en ángulo de hierro perfil en L de 1 ½” x 3/16”. Escalera fija en el piecero. Soldadura MIG. Tablado en madera cepillada firmemente unidos por listones de 3cm x 1cm x 190cm. Acabados en pintura electrostática. imensiones: alto 140cm x  ancho 100cm x largo 190 cm. </t>
  </si>
  <si>
    <t>CAMILLA FIJA ADULTO</t>
  </si>
  <si>
    <t xml:space="preserve">Camilla fija sencilla, Fabricado en tubo cuadrado de 1 1/4" Cold Rolled Cal. 18, Tapizado en cordobán lavable y espuma de 5cm color Negro, con refuerzo en tablex de alta resistencia, Refuerzo en tubo redondo de 7/8" cold rolled Cal 18, 4 tapones plásticos de 1 ¼ externos, Dimensiones: argo 1.80 m, Ancho 0.55 m, Altura 0.80 m, Capacidad de carga: 120kg - 150kg, Terminado en pintura electrostática color Blanco. </t>
  </si>
  <si>
    <t>CAMINADOR ADULTO/A</t>
  </si>
  <si>
    <t>Caminador plegable: con función de paso a paso y fijo, estructura liviana en aluminio cromado, regatones de goma antideslizantes y manillares de espuma ergonómicos, ajustable y plegable para facilitar su almacenamiento, cuenta con sistema de activación reciproco mediante la presión de un pin y agarraderas de espuma, plegable con doble soporte frontal, en aluminio, plegable con un solo botón, con asas acolchadas y puntales de goma antideslizante,
estructura de 4 patas construido en aluminio anodizado, regulable en altura cada 2,5 cm desde los 82 a los 92 cm, peso máximo soportado 100 kg, color plateado.</t>
  </si>
  <si>
    <t>CANASTILLAS</t>
  </si>
  <si>
    <t>Canastillas plásticas para frutas y verduras, de 50 / 55 cms de largo x 30 /38 cm de ancho.</t>
  </si>
  <si>
    <t>CANECA PARA EL DESCOMIDE CON TAPA HERMÉTICA</t>
  </si>
  <si>
    <t>Una  (1) caneca con tapa hermética  - Color Negro - Capacidad 40 litros</t>
  </si>
  <si>
    <t>CANECA PARA LA COCINA CON TAPA HERMÉTICA</t>
  </si>
  <si>
    <t>Una  (1) caneca con tapa hermética  - Color Verde o Negro - Capacidad 70 litros</t>
  </si>
  <si>
    <t>CANECA PARA LOS PAÑALES CON TAPA HERMÉTICA</t>
  </si>
  <si>
    <t>CANECA PARA PUNTO ECOLÓGICO BLANCA</t>
  </si>
  <si>
    <t>Una  (1) caneca tipo vaiven para punto ecológico - Blanco - Capacidad 40 litros</t>
  </si>
  <si>
    <t>CANECA PARA PUNTO ECOLÓGICO NEGRA</t>
  </si>
  <si>
    <t>Una  (1) caneca tipo vaiven para punto ecológico - negro - Capacidad 40 litros</t>
  </si>
  <si>
    <t>CANECA TIPO PEDAL PARA BAÑOS</t>
  </si>
  <si>
    <t>Una  (1) caneca tipo pedal - Color Negro - Capacidad 12 litros</t>
  </si>
  <si>
    <t>CANECA TIPO PEDAL PARA RIESGO BIOLÓGICO</t>
  </si>
  <si>
    <t>Una  (1) caneca tipo pedal - Color rojo - Capacidad 12 litros</t>
  </si>
  <si>
    <t>CANECA TIPO PEDAL RIESGO QUÍMICO (BLÍSTER)</t>
  </si>
  <si>
    <t>Una  (1) caneca tipo pedal - Color rojo - Capacidad 50 litros</t>
  </si>
  <si>
    <t>CANECA TIPO PEDAL RIESGO QUÍMICO (ENVASES PLÁSTICOS Y DE VIDRIO)</t>
  </si>
  <si>
    <t>CANECA TIPO PEDAL RIESGO QUÍMICO (PRESURIZADOS)</t>
  </si>
  <si>
    <t>CANECAS CON TAPA PARA EL CUARTO DE ALMACENAMIENTO BLANCO</t>
  </si>
  <si>
    <t>Una  (1) caneca con tapa - Color Blanco - Capacidad 208 litros</t>
  </si>
  <si>
    <t>CANECAS CON TAPA PARA EL CUARTO DE ALMACENAMIENTO VERDE</t>
  </si>
  <si>
    <t>Una  (1) caneca con tapa - Color Verde  - Capacidad 208 litros</t>
  </si>
  <si>
    <t>CANECAS CON TAPA PARA EL CUARTO DE ALMACENAMIENTO NEGRO</t>
  </si>
  <si>
    <t>Una  (1) caneca con tapa - Color  Negro - Capacidad 208 litros</t>
  </si>
  <si>
    <t>CANECAS CON TAPA PARA EL CUARTO DE ALMACENAMIENTO ROJO</t>
  </si>
  <si>
    <t>Una  (1) caneca con tapa - Color Rojo - Capacidad 208 litros</t>
  </si>
  <si>
    <t xml:space="preserve">CANECAS PLÁSTICAS CON TAPA </t>
  </si>
  <si>
    <t>Canecas plásticas con tapa 37 litros para almacenamiento de granos</t>
  </si>
  <si>
    <t>CARRO ORGANIZADOR DE PAPEL</t>
  </si>
  <si>
    <t>Carro organizador de papel compuesto por tres gavetas plástico</t>
  </si>
  <si>
    <t>CINTA MÉTRICA</t>
  </si>
  <si>
    <t>Con características flexibles, inextensible e impermeable con divisiones cada 1mm, con máximo 0,5 cm de ancho y alcance de 150cm.</t>
  </si>
  <si>
    <t>COBIJA, MANTA O FRAZADA TÉRMICA</t>
  </si>
  <si>
    <t>Cobija, Manta o frazada térmica calibre 10 gruesa para clima frío, para cama sencilla. 90 cm x 1.90 cm</t>
  </si>
  <si>
    <t>COLADOR EN ACERO GRANDE</t>
  </si>
  <si>
    <t xml:space="preserve">coladores metálico (acero inoxidable) de 33 a 40 cm. </t>
  </si>
  <si>
    <t>COLCHÓN</t>
  </si>
  <si>
    <t xml:space="preserve">Colchón de acuerdo con las medidas de la cama sencilla, con una altura mínima de 17 cm. 90 cm X 1.90 cm </t>
  </si>
  <si>
    <t>COLCHONETAS</t>
  </si>
  <si>
    <t xml:space="preserve">Colchonetas grandes de 120 cm x 60 cm, 5 cm espesor, densidad de 23 kg </t>
  </si>
  <si>
    <t>COLCHONETA</t>
  </si>
  <si>
    <t>colchoneta en espuma de poliuretano, forrada en tela kodra azul para descanso. colchoneta de 190x90x20 cms densidad 30, forrada en lona kodra azul oscuro textil: 100 % pvc, filamentos de poliéster 30%, participación del recubrimiento 70%. impermeable 100%, flexible, antideslizante, cremallera en ele, dos (2) agarraderas verticales ubicadas al lado contrario de la cremallera y dos (2) respiradores.</t>
  </si>
  <si>
    <t>COMPUTADOR</t>
  </si>
  <si>
    <t xml:space="preserve">Computador con procesador mínimo 8 núcleos (o su equivalente) y disco duro mínimo 500 gigas, 4 gigas de memoria RAM, teclado, mouse y licencia Office acceso a internet </t>
  </si>
  <si>
    <t>CONGELADOR</t>
  </si>
  <si>
    <t>Congelador inoxidable. Mínimo 250 litros</t>
  </si>
  <si>
    <t>CONTENEDORES PLÁSTICOS</t>
  </si>
  <si>
    <t xml:space="preserve">Contenedores plásticos con tapa para el almacenamiento individual de medicamentos con medidas de 17cm X 8cm X 4.5 cm como mínimo. </t>
  </si>
  <si>
    <t>CUBIERTOS CUCHARA SOPA</t>
  </si>
  <si>
    <t>Cucharas de sopa, en acero inoxidable.</t>
  </si>
  <si>
    <t>CUBIERTOS CUCHARA POSTRE</t>
  </si>
  <si>
    <t>Cucharas para postre, en acero inoxidable.</t>
  </si>
  <si>
    <t>CUBRE LECHO</t>
  </si>
  <si>
    <t>Cubrelecho 180 x 230 cm + 1 Funda de 50 x 70 cm, 1 funda incluida, microfibra 100%, color el supervisor escoga, fondo entero, compuesto de dos capas de tela con relleno de silicona. (Margen 10%+/-)</t>
  </si>
  <si>
    <t>CUCHARA DE SERVIR PASTAS</t>
  </si>
  <si>
    <t>Cuchara de servir pastas en acero inoxidable de medidas aproximadas de 30 cm</t>
  </si>
  <si>
    <t>CUCHARA PARA PREPARACIÓN</t>
  </si>
  <si>
    <t>Cuchara para preparación en acero inoxidable y/o aluminio Largo 36.5 cm</t>
  </si>
  <si>
    <t>CUCHARA PARA SERVIR</t>
  </si>
  <si>
    <t>Cuchara para servir en acero inoxidable de minimo 34 cm de largo</t>
  </si>
  <si>
    <t>CUCHARA PERFORADA PARA SERVIR ENSALADA</t>
  </si>
  <si>
    <t>Cuchara perforada para servir ensalada en acero inoxidable.</t>
  </si>
  <si>
    <t>CUCHARAS ESPUMADERAS</t>
  </si>
  <si>
    <t xml:space="preserve">cucharas espumaderas en aluminio de 16 x 44 cm. </t>
  </si>
  <si>
    <t>CUCHARAS PARA SERVIR</t>
  </si>
  <si>
    <t xml:space="preserve">cucharas para servir pasta en material plástico de 30 a 35 cm. </t>
  </si>
  <si>
    <t>CUCHARON</t>
  </si>
  <si>
    <t>Cucharon en aluminio de 30 a 35 cm de largo, resistente a la corrosión 
y al calor y de fácil agarre</t>
  </si>
  <si>
    <t>CUCHILLOS JUEGO</t>
  </si>
  <si>
    <t>Juego de Cuchillos Profesionales con hoja en acero inoxidable y mango polipropileno ergonómico, texturizado y antibacterial. Un (1) Cuchillo para Pan tipo sierra, un (1) Cuchillo para frutas y verduras, un (1) Cuchillo deshuesador, una (1) Mancheta, una (1) tijera para cocina, dos (2) Peladores universales, una (1) Chaira Profesional y colgador magnético de 30 40 cm. El colgador magnético debe entregarse instalado donde el coordinador de la unidad operativa solicite</t>
  </si>
  <si>
    <t>CUCHILLOS</t>
  </si>
  <si>
    <t xml:space="preserve">Dos (2) cuchillos cocineros - hoja en acero inoxidable de 15 cm, mango en polipropileno. </t>
  </si>
  <si>
    <t>DISPENSADOR DE AGUA</t>
  </si>
  <si>
    <t>dispensador de agua</t>
  </si>
  <si>
    <t>DURAKART</t>
  </si>
  <si>
    <t>Color rojo - Capacidad 208 litros</t>
  </si>
  <si>
    <t>EMBUDO DE PLÁSTICO MEDIANO</t>
  </si>
  <si>
    <t xml:space="preserve">Embudo aceite de cocina con malla para filtrar particulas </t>
  </si>
  <si>
    <t>i2023008278</t>
  </si>
  <si>
    <t>ESCURRIDOR POR CADA COCINETA</t>
  </si>
  <si>
    <t>en aluminio de 40 cm, con base metálica.</t>
  </si>
  <si>
    <t>ESTANTERIA</t>
  </si>
  <si>
    <t>Material metálico con pintura electrostática, 3 entrepaños desmontables (graduables en altura según uso) con refuerzos diseñados para soportar 30 Kg por bandeja. Medidas: Alto 200cm, Fondo 45cm y ancho 70cm. Color: Gris Claro. Apoyos con niveladores</t>
  </si>
  <si>
    <t>ESTANTES 5</t>
  </si>
  <si>
    <t>estantes en acero inoxidable de 5 entrepaños para almacenamiento en seco, de 50 cm x 50 cm como mínimo</t>
  </si>
  <si>
    <t>ESTANTES 3</t>
  </si>
  <si>
    <t>estantes en acero inoxidable de 3 entrepaños para almacenamiento en seco, de 50 cm x 50 cm como mínimo</t>
  </si>
  <si>
    <t>ESTIBAS</t>
  </si>
  <si>
    <t>Estiba plástica para la alacena, de 60x60</t>
  </si>
  <si>
    <t>ESTUFA INDUSTRIAL CON HORNO</t>
  </si>
  <si>
    <t>Cuatro puestos grandes. Parrillas en fundición de hierro. Quemadores indeformables en hierro, de alto rendimiento. Mueble y entrepaño en acero inoxidable. Encendido electrónico. Patas en tubo de acero inoxidable con nivelador. Dimensiones: 100 x 88 x 87 cm. Potencia: 88.000 BTU/h. A gas.</t>
  </si>
  <si>
    <t>EXTRACTOR DE OLORES</t>
  </si>
  <si>
    <t>Campanas tipo pared, central o lisa manufacturada en acero inoxidable calibre 18/20 tipo 304-430 antiácidos, dotada con filtros. 60 x 103 x 50cm</t>
  </si>
  <si>
    <t>FONDOS</t>
  </si>
  <si>
    <t xml:space="preserve">Dos (2) fondos de 75 litros, tapa metálica, olla en aluminio recortado </t>
  </si>
  <si>
    <t xml:space="preserve">FORRO PARA ALMOHADA </t>
  </si>
  <si>
    <t>Forro para almohada en material lona anti fluido tipo hospitalario que cubra la totalidad de la almohada y con cierre de cremallera.</t>
  </si>
  <si>
    <t>FORRO PARA COLCHÓN</t>
  </si>
  <si>
    <t>Forro para Colchón de material lona anti fluido tipo hospitalario para cama sencilla, que cubra la totalidad del colchón y con cierre de cremallera.</t>
  </si>
  <si>
    <t>GRAMERA DIGITAL PARA ALIMENTOS</t>
  </si>
  <si>
    <t>Gramera digital capacidad de 10 Kg con sensibilidad de 1 gramo, con función Tara. Incluyendo pilas o cargador para su funcionamiento.</t>
  </si>
  <si>
    <t>HORNO MICROONDAS</t>
  </si>
  <si>
    <t>Casero mínimo de 17 litros</t>
  </si>
  <si>
    <t>IMPRESORA MULTIFUNCIONAL</t>
  </si>
  <si>
    <t xml:space="preserve">impresora láser o led formato de impresión a4, multifuncional, impresión blanco y negro, volumen mensaul recomendado minimo 3,000 paginas, 32 ppm </t>
  </si>
  <si>
    <t>JARRA DE ALUMINIO</t>
  </si>
  <si>
    <t xml:space="preserve">Jarra de Aluminio de 5 Lts. </t>
  </si>
  <si>
    <t>JARRA PLÁSTICA CON TAPA DE 5 LITROS</t>
  </si>
  <si>
    <t>Jarra plástica con tapa de 5 litros</t>
  </si>
  <si>
    <t>JUEGO DE SÁBANAS</t>
  </si>
  <si>
    <t>Juego de cama: sabanas de tres piezas 1 Sábana ajustable 100 cm x 190 cm
1 Sobre sábana 100 x 250 cm
1 funda 50 x 70 cms diseño 1 solo color (colores variados), gramaje de 90 grms en material 100% microfibra (Margen 10%+/-).</t>
  </si>
  <si>
    <t>LAVADORA</t>
  </si>
  <si>
    <t>Lavadoras en buen estado de mantenimiento con capacidad de garantizar la correcta limpieza del 20% del vestuario y lencería en la periodicidad requerida con capacidad mínima de 20 kg entre los equipos requeridos.</t>
  </si>
  <si>
    <t>LAVAPLATOS</t>
  </si>
  <si>
    <t>de dos cubetas en electro plata o acero inoxidable medidas: 
Alto 15.2 Cm, Ancho 44.6 Cm, Largo 76.8 Cm</t>
  </si>
  <si>
    <t>LICUADORAS</t>
  </si>
  <si>
    <t>Licuadora semi-industrial o familiar mínimo 2 litros de capacidad.</t>
  </si>
  <si>
    <t>LICUADORAS INDUSTRIALES</t>
  </si>
  <si>
    <t>Se debe capacitar sobre el uso adecuado del elemento, motor potencia mínima de 1/2 hp, jarra en acero inoxidable 304, con diseño que garantice el correcto licuado de los alimentos, totalmente en acero inoxidable, sistema volcable (basculante) con pin de seguridad para evitar el volcamiento accidental del vaso o de vaso desmontable, con capacidad entre 4 y 5 lts, con sello mecánico para evitar filtraciones de líquidos, eje de motor en acero, base en tubería de acero inoxidable (para licuadoras volcables), cuadrante y acople de cuadrante en acero (vaso desmontable), interruptor pulsador termo magnético automático para corte por sobrecarga en el caso que se frene el motor y evitar que se queme.</t>
  </si>
  <si>
    <t xml:space="preserve">LOCKERS DOBLE </t>
  </si>
  <si>
    <t>LOCKER 2 CUERPOS alto 2 m x ancho 65 cm x fondo 35 cms Metálica, Coll rolled Calibre de la lámina 22 locker de 6 compartimentos y 2 cuerpos estructura en coll rolled pintura electrostática en polvo, previo proceso de desengrase y fosfatizado Porta candado con manija Parche</t>
  </si>
  <si>
    <t xml:space="preserve">LOCKERS PARA  TALENTO HUMANO </t>
  </si>
  <si>
    <t>Torre de Lockers por 3 unidades con su respectivo candado, que garanticen la seguridad de los elementos, con un cajon mínimo de 25 x 50 cm</t>
  </si>
  <si>
    <t>MESA DE TRABAJO</t>
  </si>
  <si>
    <t>Mesa de trabajo lisa en material higiénico sanitario, bordes sin aristas de las siguientes medidas aproximadas altura minima :84 cm, largo minimo :150 cm, ancho minimo :50cm</t>
  </si>
  <si>
    <t xml:space="preserve">MESAS </t>
  </si>
  <si>
    <t>Mesas Plástica (En material higiénico sanitario) desarmables, de 4 puestos, de 80,5 cm x 80, 5 x 72,5 cm</t>
  </si>
  <si>
    <t>MESAS PLASTICAS - 6 PUESTOS</t>
  </si>
  <si>
    <t>Mesas plasticas - 6 puestos altura 70 Cm, ancho 80 cm. Largo 120 cm</t>
  </si>
  <si>
    <t>MICRÓFONO</t>
  </si>
  <si>
    <t>Micrófono con sistema inalámbrico alcance 30 metros de distancia.</t>
  </si>
  <si>
    <t>MOLINILLO</t>
  </si>
  <si>
    <t>Molinillo en material plástico de 30 a 35 cm. -</t>
  </si>
  <si>
    <t>MULETAS</t>
  </si>
  <si>
    <t>Par de muletas para adulto talla S Para personas entre 1.20 a 1.52 mts de estatura y talla M Para personas entre 1.53  a 1.75 mts de estatura, muletas axilares fabricadas en aluminio, manijas y axilares acolchadas, con tapones ntideslizantes de goma, graduación de altura por medio de Pin, capacidad de carga 125 Kg.</t>
  </si>
  <si>
    <t>NEVERA</t>
  </si>
  <si>
    <t>Nevera vertical mixta (refrigeración- congelación) mínimo de 1000 litros axilares fabricadas en aluminio, manijas y axilares  - nevera de 21 pies</t>
  </si>
  <si>
    <t>NEVERA VERTICAL TIPO MINI BAR MÍNIMO DE 50 LTS</t>
  </si>
  <si>
    <t>Nevera vertical tipo mini bar mínimo de 50 lts</t>
  </si>
  <si>
    <t>OLLA A PRESIÓN</t>
  </si>
  <si>
    <t xml:space="preserve"> Olla a presión de mínimo 20 litros con asas, fabricada en Aluminio de alta pureza certificado. Con válvula reguladora de precisión, doble posición para dosificar la salidas del vapor y controlar la cocción. Cuerpo fondo reforzado con disco difusor de calor.</t>
  </si>
  <si>
    <t>OLLA NUMERO 40</t>
  </si>
  <si>
    <t>Dos (2) ollas No. 40, tapa metálica calibre mínimo 1,8 mm., con fondo difusor para distribuir el calor.</t>
  </si>
  <si>
    <t xml:space="preserve"> I2023018072</t>
  </si>
  <si>
    <t>OLLAS EN ALUMINIO NÚMERO 30 CON TAPA</t>
  </si>
  <si>
    <t>Ollas en aluminio número 30 con tapa</t>
  </si>
  <si>
    <t>OLLAS EN ALUMINIO NÚMERO 36 CON TAPA</t>
  </si>
  <si>
    <t>Ollas en aluminio número 36 con tapa</t>
  </si>
  <si>
    <t>OLLETA CHOCOLATERA EN METAL</t>
  </si>
  <si>
    <t xml:space="preserve"> chocolateras de 5 litros</t>
  </si>
  <si>
    <t>OLLETA CON TAPA DE DOS LITROS</t>
  </si>
  <si>
    <t>Olleta con tapa de dos litros</t>
  </si>
  <si>
    <t>PAILAS</t>
  </si>
  <si>
    <t>Pailas en aluminio fundido mínimo de 46 cm</t>
  </si>
  <si>
    <t>PELA PAPAS INDUSTRIAL.</t>
  </si>
  <si>
    <t>Pela papas industrial. Fabricación en acera inoxidable 304L, calibre 18. Capacidad 12 libras. Entrada para el agua. Salida del producto y salida de residuos. Abrasivo en la parte interna de la pela papa. Motor de 1 hp</t>
  </si>
  <si>
    <t>PERFORADORA</t>
  </si>
  <si>
    <t>Perforadora Industrial Promedio de Folios De 100</t>
  </si>
  <si>
    <t>I2024017767</t>
  </si>
  <si>
    <t>PINZA</t>
  </si>
  <si>
    <t>Pinza en acero inoxidable de mínimo 15 cm de largo, mango de acero inoxidable y punta dentada.</t>
  </si>
  <si>
    <t>PLATOS</t>
  </si>
  <si>
    <t>Plato pando material higiénico sanitario para seco de mínimo 24 cm
Plato hondo material higiénico sanitario para sopa de mínimo 18cm
Plato para postre en material higiénico sanitario de mínimo 10 cm.
No se permiten materiales como acero inoxidable, metal, aluminio o desechable.</t>
  </si>
  <si>
    <t>POCILLO CHOCOLATERO</t>
  </si>
  <si>
    <t xml:space="preserve">pocillos chocolateros en material polipropileno, con capacidad mínima de 200 ml. </t>
  </si>
  <si>
    <t>PONCHERAS</t>
  </si>
  <si>
    <t xml:space="preserve"> poncheras plásticas de 35 cm. de diámetro con capacidad de 4.5 a 5.5 lts. Con tapa – circulare</t>
  </si>
  <si>
    <t>PUESTO DE TRABAJO- ESCRITORIO</t>
  </si>
  <si>
    <t>Mesa para el equipo de cómputo de la oficina administrativa y de coordinación.
ALTO 73cm, ANCHO150 cm, PROFUNDIDAD 60 cm
ANCHO MÉNIMO ENTRE PEDESTAL Y ARCHIVADOR
101cm, ANCHO DEL PEDESTAL 52 cm</t>
  </si>
  <si>
    <t>PULSIOXÍMETRO CON SPO2</t>
  </si>
  <si>
    <t>Pulsioxímetro con SpO2, PR y las medidas de fuerza del pulso interfaz de un solo botón, apagado automático. Pilas comunes AAA alcalinas          o          pilas
recargables de soporte de 3 horas continuas de trabajo</t>
  </si>
  <si>
    <t>PUNTO ECOLÓGICO COMPLETO</t>
  </si>
  <si>
    <t>Punto ecologico con base metalica, y panel superior para identificar tipo de residuos de dos puestos para contenedores Blanco y negro  de plástico con capacidad de 40 litros. tapa tipo vaiven. con canecas blanco y negro</t>
  </si>
  <si>
    <t>RALLADOR</t>
  </si>
  <si>
    <t>ralladores en acero inoxidable de 4 caras, con base de 9.5 x 12.5 cm. y 22 cm. de altura aproximadamente. Con material de fácil limpieza y desinfección.</t>
  </si>
  <si>
    <t xml:space="preserve">RECIPIENTE EN PLÁSTICO PARA ALMACENAR </t>
  </si>
  <si>
    <t xml:space="preserve"> recipientes de almacenamiento plásticos con tapa de alta resistencia,
capacidad de 3 lts.</t>
  </si>
  <si>
    <t>RECIPIENTE EN PLÁSTICO PARA DESINFECCIÓN DEL FRUVER</t>
  </si>
  <si>
    <t>Recipiente en plástico para desinfección del fruver, con capacidad de 10 litros.</t>
  </si>
  <si>
    <t xml:space="preserve">RECIPIENTE GUARDIAN </t>
  </si>
  <si>
    <t>Recipiente guardián desechos cortopunzantes</t>
  </si>
  <si>
    <t>RECIPIENTE PLÁSTICO PARA ENSALADAS CON TAPA</t>
  </si>
  <si>
    <t>Recipiente plástico para ensaladas con tapa de 8 libras</t>
  </si>
  <si>
    <t>RECIPIENTES METÁLICOS</t>
  </si>
  <si>
    <t xml:space="preserve">Recipientes metálicos en acero inoxidable para postre. </t>
  </si>
  <si>
    <t>REFRIGERADOR INDUSTRIAL</t>
  </si>
  <si>
    <t>Refrigerador industrial de un cuerpo con una puerta en acero inoxidable, capacidad entre 23 a 26 pies cúbicos. 
Cuerpo exterior en acero inoxidable calibre 18 o 20, interior en acero inoxidable. Paredes inyectadas en poliuretano a 
una densidad de 35 kgs metro cúbico. 3 parrillas o entrepaños removibles, luz interior. Control digital y sistema de 
monitoreo que mantenga optima temperatura para rápida reacción a cambios de temperatura, montada sobre 
rodachinas, voltaje 115v, consumo en amperios entre 3 a 4.5 amperios, dimensiones: frente 75 cm, fondo 82 cm, 
alto entre 188 cm. El refrigerador debe contar con sello energy star (consumo eficiente de energía).</t>
  </si>
  <si>
    <t>REPRODUCTOR DVD</t>
  </si>
  <si>
    <t>Reproductor de DVD, puertos USB, hdmi, full HD.</t>
  </si>
  <si>
    <t>SACA GANCHOS</t>
  </si>
  <si>
    <t>Saca ganchos metálico</t>
  </si>
  <si>
    <t>SECADORA</t>
  </si>
  <si>
    <t>Secadoras en buen estado de mantenimiento con capacidad de garantizar la correcta limpieza de la totalidad del vestuario y lencería en la periodicidad requerida con capacidad mínima de 10 kg entre los equipos requeridos.</t>
  </si>
  <si>
    <t xml:space="preserve">SET DE CUCHARAS MEDIDORAS </t>
  </si>
  <si>
    <t>Un (1) set de cinco (5) cucharas medidoras en plástico resistente a temperaturas 
altas no deformables, 1/8 de copa – 30 ml, ¼ de copa – 60 ml., 1/3 de copa – 80 
ml., media taza – 125 ml., 1 taza – 250 ml</t>
  </si>
  <si>
    <t xml:space="preserve">SILLAS </t>
  </si>
  <si>
    <t>En material plástico con espaldar y brazos.</t>
  </si>
  <si>
    <t>SILLAS EN MATERIAL PLÁSTICO CON ESPALDAR BRAZOS</t>
  </si>
  <si>
    <t>Sillas en material plástico con espaldar</t>
  </si>
  <si>
    <t>SILLAS PARA PUESTOS DE TRABAJO</t>
  </si>
  <si>
    <t xml:space="preserve"> Sillas ergonómicas ejecutivas tapizadas con brazos.</t>
  </si>
  <si>
    <t>SILLAS PATO PARA ADULTO</t>
  </si>
  <si>
    <t>Sillas Pato para adulto</t>
  </si>
  <si>
    <t xml:space="preserve">TABLA PARA PICADO </t>
  </si>
  <si>
    <t xml:space="preserve">Juego de cinco (5) tablas acrílicas para picar en poliuretano de alta densidad, de 40 cm x 30 cm x 1.9 cm, color según uso: verde – frutas y verduras, amarilla – aves, blanca –productos cocidos, azul – pescado y roja – carnes. </t>
  </si>
  <si>
    <t>TABLERO ACRILICO</t>
  </si>
  <si>
    <t>Tablero acrílico, elaborado en fórmica blanca. Incluye borrador y repisa portamarcadores. Medidas ancho 120 cm x alto 80 cm. Incluye los herrajes necesarios para colocar en la pared.</t>
  </si>
  <si>
    <t>TABLERO DE CORCHO</t>
  </si>
  <si>
    <t>Cartelera-Tablero corcho mínimo 60cm x 80cm</t>
  </si>
  <si>
    <t>TALLÍMETRO</t>
  </si>
  <si>
    <t>Tallímetro análogo con base de plataforma.Escala de división de 1 mm.Rango de medición de 20 a 200 cm como mínimo. Escala de división con grabación a laser. Material de fabricación: ABS grado médico.Peso no superior a 3 kg. Sistema móvil o portátil para fácil transporte.Con indicador de nivel de burbuja para garantizar una correcta medición, con certificado de conformidad expedido por el país de origen</t>
  </si>
  <si>
    <t>TANQUES</t>
  </si>
  <si>
    <t>tanque con tapa de 50 litros</t>
  </si>
  <si>
    <t>TELEVISOR SMART TV</t>
  </si>
  <si>
    <t>Televisor SMART TV DE 60 pulgadas con TDT incorporada y acceso a internet.</t>
  </si>
  <si>
    <t>TELÓN PORTÁTIL O FIJO</t>
  </si>
  <si>
    <t>Telón Portátil o fijo</t>
  </si>
  <si>
    <t>TENEDOR DE COCINA O TRINCHE</t>
  </si>
  <si>
    <t>tenedores de cocina con dos dientes – liso, en acero inoxidable con mango en prolipropileno</t>
  </si>
  <si>
    <t xml:space="preserve">TENSIÓMETRO GENÉRICO </t>
  </si>
  <si>
    <t xml:space="preserve">Tensiómetro genérico para adulto Portátil aneroide manómetro y bomba 300hg brazalete ajustable en velcro y gancho </t>
  </si>
  <si>
    <t xml:space="preserve">TERMO TÉRMICO </t>
  </si>
  <si>
    <t>Termo térmico de 1.9 litros, exterior en acero inoxidable, base giratoria, temperatura hasta por 8 horas.</t>
  </si>
  <si>
    <t>TERMOHIGRÓMETRO DIGITAL (ÁREA DE MEDICAMENTOS)</t>
  </si>
  <si>
    <t>Termohigrómetro digital (área de medicamentos)</t>
  </si>
  <si>
    <t>TERMÓMETRO CLÍNICO DIGITAL PARA ADULTO.</t>
  </si>
  <si>
    <t>Termómetro digital con pantalla digital de fácil lectura, alarma que indica cuando la medición esta lista, apagado automático, con 60 segundos de medición de temperatura corporal, con rangos de medición de ± 0.1 grados ºC rangos de medición de 32ºC a 42ºC. Certificado por el fabricante.</t>
  </si>
  <si>
    <t>TERMÓMETROS DE ALIMENTOS FRIO</t>
  </si>
  <si>
    <t>Termómetro digital de punzón para productos frío.</t>
  </si>
  <si>
    <t>TERMÓMETROS DE ALIMENTOS CALIENTE</t>
  </si>
  <si>
    <t>Termómetro digital de punzón para productos calientes.</t>
  </si>
  <si>
    <t>TIJERAS PARA COCINA</t>
  </si>
  <si>
    <t>Tijeras para cocina largo mínimo 20 cm, con mango en polipropileno</t>
  </si>
  <si>
    <t>TOALLA DE BAÑO</t>
  </si>
  <si>
    <t xml:space="preserve">Toalla de felpa para el cuerpo en colores oscuros, medidas 60 cms de ancho por 120 cms de largo
</t>
  </si>
  <si>
    <t>VASO MEDIDOR</t>
  </si>
  <si>
    <t>Vaso medidor con sensibilidad 10cc</t>
  </si>
  <si>
    <t>VASO METÁLICO PARA JUGO</t>
  </si>
  <si>
    <t xml:space="preserve">VASO PARA JUGO 3 - Vaso para jugo en material de Acero Inoxidable resistente a impactos, apto para el contacto humano y con alimentos.  Capacidad 250 m </t>
  </si>
  <si>
    <t>VIDEO BEAM</t>
  </si>
  <si>
    <t xml:space="preserve">Video Beam 3000 Tecnología LCD 1280X800 MEGAPIXELES CONTRASTE 15,000:1 Ciclo de reemplazo de lámpara modo normal lámpara 200WUEH conectividad HDMI X1 VIDEO DE COMPUTADORA COMPONENTE D SUB 15PIN Entrada de audio RCAx2 proyecta audio y video compatible con PC Y Mac. Con cables y estuche.  </t>
  </si>
  <si>
    <t>VITRINA MOSTRADOR</t>
  </si>
  <si>
    <t xml:space="preserve">Vitrina mostrador en aluminio de 120 cm - con entrepaños variables para almacenamiento de medicamentos, que permita el almacenamiento bajo llave de los medicamentos de control. </t>
  </si>
  <si>
    <t>ZONA DE PICADO</t>
  </si>
  <si>
    <t>Zona de picado en acero inoxidable </t>
  </si>
  <si>
    <t>LAVANDERIA</t>
  </si>
  <si>
    <t>DESINFECTANTE HIPOCLORITO</t>
  </si>
  <si>
    <t>Desinfectante hipoclorito, concentración 5.25%, Bidón de 20 litros,  Cantidad suficiente de acuerdo con las necesidades.</t>
  </si>
  <si>
    <t>Lts</t>
  </si>
  <si>
    <t>VARSOL SIN OLOR</t>
  </si>
  <si>
    <t>Varsol sin olor,  Cantidad suficiente de acuerdo con las necesidades.</t>
  </si>
  <si>
    <t>DETERGENTE LÍQUIDO</t>
  </si>
  <si>
    <t>Jabón detergente liquido biodegradable, Bidón mínimo por 20 litros; Cantidad suficiente de acuerdo con las necesidades.</t>
  </si>
  <si>
    <t>DESENGRASANTE</t>
  </si>
  <si>
    <t>Desengrasante Bidón de 20 litros</t>
  </si>
  <si>
    <t>JABÓN EN BARRA AZUL</t>
  </si>
  <si>
    <t xml:space="preserve">Barra Jabon azul </t>
  </si>
  <si>
    <t>ASEO INSTITUCIONAL</t>
  </si>
  <si>
    <t>ALCOHOL ANTICEPTICO</t>
  </si>
  <si>
    <t>Alcohol anticeptico tipo 1  frasco por 3.5 ml AlcOHol etilico solucion topica (Rrgistro Invima)</t>
  </si>
  <si>
    <t>AMBIENTADOR DESINFECTANTE</t>
  </si>
  <si>
    <t>cuñete (galón) x 4. lts</t>
  </si>
  <si>
    <t>Galon 4 Lts</t>
  </si>
  <si>
    <t>AMONIO CUATERNIO</t>
  </si>
  <si>
    <t>Bidón 5 lts </t>
  </si>
  <si>
    <t>Galón 3,8 lts</t>
  </si>
  <si>
    <t>3 bidones de 20 litros mensuales por 50 personas mayores, concentración 5.25%</t>
  </si>
  <si>
    <t>Bidón por 20 litros</t>
  </si>
  <si>
    <t>BOLSA BLANCA</t>
  </si>
  <si>
    <t>paquete de 90x120</t>
  </si>
  <si>
    <t>BOLSAS PARA MANEJO DE RESIDUOS 1</t>
  </si>
  <si>
    <t>Bolsa color negro, Rojo 55x40 Calibre 1.4  (De acuerdo con el PGIRS de cada centro)</t>
  </si>
  <si>
    <t>BOLSAS PARA MANEJO DE RESIDUOS 2</t>
  </si>
  <si>
    <t>Bolsa color negro 90x60 Calibre 1.4  (De acuerdo con el PGIRS de cada centro)</t>
  </si>
  <si>
    <t>BOLSAS PARA MANEJO DE RESIDUOS 3</t>
  </si>
  <si>
    <t>Bolsa color negro, blanco  80x110 Calibre 1.4  (De acuerdo con el PGIRS de cada centro)</t>
  </si>
  <si>
    <t>BOLSAS PARA MANEJO DE RESIDUOS 4</t>
  </si>
  <si>
    <t>Bolsa color, blanca, roja  60x80 Calibre 1.4  (De acuerdo con el PGIRS de cada centro)</t>
  </si>
  <si>
    <t>BOLSAS PARA MANEJO DE RESIDUOS 5</t>
  </si>
  <si>
    <t>Bolsa color negra 60x80 Calibre 1.4  (De acuerdo con el PGIRS de cada centro)</t>
  </si>
  <si>
    <t>BOLSAS PARA MANEJO DE RESIDUOS 6</t>
  </si>
  <si>
    <t>Bolsas verde, negra y blanca 45 x 60</t>
  </si>
  <si>
    <t>CEPILLO PARA ROPA</t>
  </si>
  <si>
    <t>unidas</t>
  </si>
  <si>
    <t>CEPILLO SANITARIO</t>
  </si>
  <si>
    <t>Frasco x 700 ml</t>
  </si>
  <si>
    <t>DETERGENTE EN POLVO</t>
  </si>
  <si>
    <t>2 bolsas de detergente en polvo en presentación de 1.000 gr cada mes</t>
  </si>
  <si>
    <t>unidad</t>
  </si>
  <si>
    <t>ESCOBA</t>
  </si>
  <si>
    <t>10 escobas cada 2 meses</t>
  </si>
  <si>
    <t>ESPONJILLA DE BRILLO</t>
  </si>
  <si>
    <t>Paquete x 24 unidades </t>
  </si>
  <si>
    <t>ESPONJILLA MULTIUSO</t>
  </si>
  <si>
    <t>Paquete x 12 unidades </t>
  </si>
  <si>
    <t>JABÓN DE MANOS</t>
  </si>
  <si>
    <t>Frasco x 300 ml</t>
  </si>
  <si>
    <t>JABÓN LAVAPLATOS</t>
  </si>
  <si>
    <t>(lava loza) galón </t>
  </si>
  <si>
    <t>LIMPIONES EN TELA TOALLA GRUESA Y ESTAMPADA</t>
  </si>
  <si>
    <t>medidas 70*50 1:25 </t>
  </si>
  <si>
    <t>PAÑOS ABSORBENTES</t>
  </si>
  <si>
    <t>10 rollos de paños absorbentes reutilizables cada mes</t>
  </si>
  <si>
    <t>rollo</t>
  </si>
  <si>
    <t>PAPEL HIGIÉNICO</t>
  </si>
  <si>
    <t>Paquete x 12 unidades</t>
  </si>
  <si>
    <t>paca x 48</t>
  </si>
  <si>
    <t>RECOGEDOR BASURA</t>
  </si>
  <si>
    <t>10 recogedores cada 3    meses</t>
  </si>
  <si>
    <t>SERVILLETA</t>
  </si>
  <si>
    <t>Dobladas en 2 paquete x 200</t>
  </si>
  <si>
    <t>Paquete x 200</t>
  </si>
  <si>
    <t>TOALLAS DE COCINA</t>
  </si>
  <si>
    <t>aBOSRBENTES DE PAPEL TIPO DESECHABLE MULTIUSO DE 22.5X49 X57.5</t>
  </si>
  <si>
    <t>TRAPERO MEDIANO</t>
  </si>
  <si>
    <t>10 traperos de 500 gr cada - 2 meses</t>
  </si>
  <si>
    <t>TALLERES Y PAPELERIA</t>
  </si>
  <si>
    <t>ACEITE ESENCIAL DE CEDRO</t>
  </si>
  <si>
    <t>Aceite Esencial x 500 ml de fragancias variadas: de jazmín 1 -de rosas 1 - de cedro 1- de lavanda 1- eucalipto 1, limón 1.</t>
  </si>
  <si>
    <t>ACEITE ESENCIAL DE CIPRÉS</t>
  </si>
  <si>
    <t>ACEITE ESENCIAL DE ENEBRO</t>
  </si>
  <si>
    <t>ACEITE ESENCIAL DE JAZMÍN</t>
  </si>
  <si>
    <t>ACEITE ESENCIAL DE LAVANDA</t>
  </si>
  <si>
    <t>ACEITE ESENCIAL DE MANZANILLA</t>
  </si>
  <si>
    <t>ACEITE ESENCIAL DE ORÉGANO</t>
  </si>
  <si>
    <t>AEROSOLES PARA GRAFITIS</t>
  </si>
  <si>
    <t>Pintura en aeropsol x 400 ml</t>
  </si>
  <si>
    <t>ALGODÓN EN BOLAS</t>
  </si>
  <si>
    <t>Paquete de Bolas de Algodón x 100</t>
  </si>
  <si>
    <t>ARCILLA</t>
  </si>
  <si>
    <t>Arcilla bolsas por libras</t>
  </si>
  <si>
    <t>Libra</t>
  </si>
  <si>
    <t xml:space="preserve">AROS PLÁSTICOS </t>
  </si>
  <si>
    <t>Aros p´lasticos de diferentes colores para adulto</t>
  </si>
  <si>
    <t>BALON DE PILATES - YOGA</t>
  </si>
  <si>
    <t>Balones terapéuticos de diferentes diámetros (65, 75, 80, 85 cm)</t>
  </si>
  <si>
    <t>BALON MEDICINAL</t>
  </si>
  <si>
    <t>Balón medicinal 4 kg diámetro 70 cm s, esférico de cuero, goma o plástico.</t>
  </si>
  <si>
    <t>BISTURÍ</t>
  </si>
  <si>
    <t>Bisturí Grande</t>
  </si>
  <si>
    <t>BORRADO DE NATA</t>
  </si>
  <si>
    <t>Borrador Para Lápiz, Nata, Tamaño 5.5 Cm X 2cm. Caja de 24 unidades</t>
  </si>
  <si>
    <t>caja x 20</t>
  </si>
  <si>
    <t>BROCHAS 1</t>
  </si>
  <si>
    <t>pequeña 1 Pulgada</t>
  </si>
  <si>
    <t>BROCHAS 2</t>
  </si>
  <si>
    <t>Mediana 2 Pulgadas</t>
  </si>
  <si>
    <t>CAJAS DE MARCADORES PERMANENTES</t>
  </si>
  <si>
    <t>Marcadores Gruesos Secos Para Tablero Acrílico Diferentes Colores De Alto Rendimiento</t>
  </si>
  <si>
    <t>Estuche por 4 unidades</t>
  </si>
  <si>
    <t>CARTÓN CARTULINA</t>
  </si>
  <si>
    <t>Pliego</t>
  </si>
  <si>
    <t>CARTÓN PAJA</t>
  </si>
  <si>
    <t>CARTULINA BLANCA</t>
  </si>
  <si>
    <t>Octavos</t>
  </si>
  <si>
    <t>OCTAVOS
PAQUETE X 100</t>
  </si>
  <si>
    <t>CARTULINA DE COLORES SURTIDOS</t>
  </si>
  <si>
    <t>CINTA DE ENMASCARAR</t>
  </si>
  <si>
    <t>Rollo x 40 mts</t>
  </si>
  <si>
    <t xml:space="preserve">Rollo </t>
  </si>
  <si>
    <t>CINTA TRANSPARENTE 48MM</t>
  </si>
  <si>
    <t>Rollo</t>
  </si>
  <si>
    <t>COJÍN</t>
  </si>
  <si>
    <t>"Cojín antiescaras para silla de ruedas, con forro 
antifluido 100% impermeable con cierre para fácil 
limpieza, material tela antifluido largo 40 cm, ancho 
40 cm y altura de 4,5 cm"</t>
  </si>
  <si>
    <t>I2023001433</t>
  </si>
  <si>
    <t>COLCHONETA 8MM YOGA</t>
  </si>
  <si>
    <t>Colchoneta de Yoga. Material: TPE. Espesor: 6mm. Medidas: 181 x 61 x 0.6 cm. Peso: 1.3 kg</t>
  </si>
  <si>
    <t>CRAYOLAS</t>
  </si>
  <si>
    <t>Caja * 10</t>
  </si>
  <si>
    <t>Caja x 10 unidades</t>
  </si>
  <si>
    <t>CUERDA DE FIQUE</t>
  </si>
  <si>
    <t>Rollo cabuya de fique de colores  x200 m</t>
  </si>
  <si>
    <t>ESPONJAS</t>
  </si>
  <si>
    <t>Espuma de poliuretano</t>
  </si>
  <si>
    <t>ESTROPAJO</t>
  </si>
  <si>
    <t>DIMENSIONES APROXIMADAS (10%+/-) MINIMO 20 CMS DE LARGO 15 CM DE ANCHO, ESPECIFICACIONES CON BORDE POR UN LADO TELA, POR EL OTRO ESTROPAJO. DATOS EN EL EMPAQUE QUE INCLUYA NOMBRE DEL PRODUCTO Y NOMBRE DEL FABRICANTE.</t>
  </si>
  <si>
    <t>GLOBOS</t>
  </si>
  <si>
    <t>Bombas R12 colores surtidos paquete x 24 unidades</t>
  </si>
  <si>
    <t>Paquete</t>
  </si>
  <si>
    <t>GUITARRA</t>
  </si>
  <si>
    <t>Guitarra Clásica</t>
  </si>
  <si>
    <t>HOJAS BLANCAS TAMAÑO CARTA</t>
  </si>
  <si>
    <t>Resma de papel tamaño carta ecológico x 500 hojas</t>
  </si>
  <si>
    <t>LAMPARA COLORES</t>
  </si>
  <si>
    <t>Lámpara mediana con proyección de luces de colores</t>
  </si>
  <si>
    <t>LANA (COLORES SURTIDOS)</t>
  </si>
  <si>
    <t>Madeja x 50 mts</t>
  </si>
  <si>
    <t>LAPICEROS NEGROS</t>
  </si>
  <si>
    <t>Esfero Tipo Bic Rojo, azul o negro. cajas por 12 unidades</t>
  </si>
  <si>
    <t>Caja x 12 unidades</t>
  </si>
  <si>
    <t>LÁPICES NEGROS</t>
  </si>
  <si>
    <t>Lapiz negro HB Nro 2</t>
  </si>
  <si>
    <t>caja x 12</t>
  </si>
  <si>
    <t>LIJAS</t>
  </si>
  <si>
    <t>Lijas para pulir madera en seco: Lijas medias de 150 mímino granos. Presentación Hojas. Texturas diferentes</t>
  </si>
  <si>
    <t>MARACAS</t>
  </si>
  <si>
    <t>par de maracas en totumo, semillas y
mango natural. medidas 6 cm de
diámetro x 18 cm de largo. excelente
pegado y terminados de alta calidad</t>
  </si>
  <si>
    <t>par</t>
  </si>
  <si>
    <t>PALOS DE PINCHO</t>
  </si>
  <si>
    <t>Paquete de palos de pincho por 100 unidades</t>
  </si>
  <si>
    <t>Paquete por 100 unidades</t>
  </si>
  <si>
    <t>PANDERETA</t>
  </si>
  <si>
    <t xml:space="preserve">Panderetas - ELABORADA EN MADERA CON CUERO TEMPLADO Y SONAJAS DE LATA, MEDIDAS APROX. 15 CMS DE DIÁMETRO. </t>
  </si>
  <si>
    <t>PAPEL CONTACT, DIFERENTES COLORES</t>
  </si>
  <si>
    <t>Rollo por 20 metrosx 50 cm</t>
  </si>
  <si>
    <t>Rollo por 20 metros</t>
  </si>
  <si>
    <t>PAPEL IRIS</t>
  </si>
  <si>
    <t>Block</t>
  </si>
  <si>
    <t>paquete x 20</t>
  </si>
  <si>
    <t>PAPEL KRAFT</t>
  </si>
  <si>
    <t>Rollo de 60 GMS. De 61 cms por 7,2 kilos</t>
  </si>
  <si>
    <t>PAPEL PERIÓDICO</t>
  </si>
  <si>
    <t>PEGANTE LÍQUIDO</t>
  </si>
  <si>
    <t>Silicona Liquida 500 Ml</t>
  </si>
  <si>
    <t>PIMPÓN</t>
  </si>
  <si>
    <t>Pelota pimpón paquete x 20</t>
  </si>
  <si>
    <t>Paquete x 20</t>
  </si>
  <si>
    <t>PINCELES PELO DE CERDA REDONDO Y PLANO</t>
  </si>
  <si>
    <t>Set de pinceles planos x 6 Unidades</t>
  </si>
  <si>
    <t>PISTÓLA DE SILICONA</t>
  </si>
  <si>
    <t>Pistóla de Silicona Gruesa</t>
  </si>
  <si>
    <t>PLUMONES DE DIFERENTES COLORES</t>
  </si>
  <si>
    <t>Plumones caja x 12 unidades</t>
  </si>
  <si>
    <t>Caja por 12 unidades</t>
  </si>
  <si>
    <t>REGLAS PLÁSTICAS RÍGIDAS EN T</t>
  </si>
  <si>
    <t>50 cm</t>
  </si>
  <si>
    <t>SILICONA</t>
  </si>
  <si>
    <t>Silicona gruesa</t>
  </si>
  <si>
    <t>Kilos</t>
  </si>
  <si>
    <t>TABLEROS DE CORCHO</t>
  </si>
  <si>
    <t>80 x 1.20 mts</t>
  </si>
  <si>
    <t>TAJALAPIZ</t>
  </si>
  <si>
    <t>Tajalapiz medida estandar</t>
  </si>
  <si>
    <t>Caja por 24 unidades</t>
  </si>
  <si>
    <t>TAMBORES</t>
  </si>
  <si>
    <t>Tambores Medianos</t>
  </si>
  <si>
    <t>TAPETE DE YOGA</t>
  </si>
  <si>
    <t xml:space="preserve">Medidas 173 x 61 x 0.4 cm,  
material espuma, de diferentes  
colores </t>
  </si>
  <si>
    <t>TIJERAS PUNTA ROMA</t>
  </si>
  <si>
    <t>tijeras punta roma Medianas</t>
  </si>
  <si>
    <t>VINILO AMARILLO</t>
  </si>
  <si>
    <t>Temperas o vinilos  colores   variados   vinilos   de   colores básicos, frascos de 250 ml  - por color 140</t>
  </si>
  <si>
    <t>VINILO AZUL</t>
  </si>
  <si>
    <t>VINILO BLANCO</t>
  </si>
  <si>
    <t>VINILO NEGRO</t>
  </si>
  <si>
    <t>VINILO ROJO</t>
  </si>
  <si>
    <t>ACTIVIDADES RECREODEPORTIVAS</t>
  </si>
  <si>
    <t>AJEDRÉZ</t>
  </si>
  <si>
    <t>Juego de mesa completo para adultos</t>
  </si>
  <si>
    <t>ARO HULAHULA</t>
  </si>
  <si>
    <t>Aro hula hula De 60 cm  de diametro diferentes colores</t>
  </si>
  <si>
    <t>BALÓN BALONCESTO</t>
  </si>
  <si>
    <t>Balón de baloncesto No.7, con caucho reforzado con nylon, válvula automática.</t>
  </si>
  <si>
    <t>BALÓN FÚTBOL</t>
  </si>
  <si>
    <t>Balón de fútbol No. 5.</t>
  </si>
  <si>
    <t>BALÓN MICROFÚTBOL</t>
  </si>
  <si>
    <t>Balón de fútbol sala cubierta en cuero, válvula de goma.</t>
  </si>
  <si>
    <t>BALONES MEDICINAL 3</t>
  </si>
  <si>
    <t>Peso de 3 kilos, esférico de cuero, goma o plástico.</t>
  </si>
  <si>
    <t>BALONES MEDICINAL 4</t>
  </si>
  <si>
    <t>Peso de 4 kilos, esférico de cuero, goma o plástico.</t>
  </si>
  <si>
    <t>BALONES MEDICINAL 5</t>
  </si>
  <si>
    <t>Peso de 5 kilos, esférico de cuero, goma o plástico.</t>
  </si>
  <si>
    <t>BALÓN VOLEIBOL</t>
  </si>
  <si>
    <t>Balón de voleibol cubierta resistente, cocido a mano, tamaño y peso oficial.</t>
  </si>
  <si>
    <t>BALONES DE YOGA</t>
  </si>
  <si>
    <t>Balon terapéutico De PVC durable, con textura antideslizante, de 65 cms, de diferentes colores  </t>
  </si>
  <si>
    <t xml:space="preserve">I2023004856 </t>
  </si>
  <si>
    <t>BANDAS DE RESISTENCIA</t>
  </si>
  <si>
    <t>Thera Band Cinco (5) juegos de bandas elásticas cada juego contiene cinco (5) bandas en látex por colores, cada color tiene un nivel de resistencia diferente.</t>
  </si>
  <si>
    <t>SET DE 5 BANDAS</t>
  </si>
  <si>
    <t>BINGO</t>
  </si>
  <si>
    <t>CAMINADORA ELÉCTRICA.</t>
  </si>
  <si>
    <t>Caminadora eléctrica.</t>
  </si>
  <si>
    <t>COLCHONETA CON FORRO ANTIFLUIDO</t>
  </si>
  <si>
    <t>CUCUNUBA</t>
  </si>
  <si>
    <r>
      <rPr>
        <sz val="10"/>
        <rFont val="Arial"/>
        <family val="2"/>
      </rPr>
      <t>Dimensiones: 105 x 20 cm, fabricado en tablex, pintado, seis bolas para
lanzar.</t>
    </r>
  </si>
  <si>
    <t>DOMINO</t>
  </si>
  <si>
    <t>LAZO DE SALTO INDIVIDUAL</t>
  </si>
  <si>
    <t>3 mts. de largo.</t>
  </si>
  <si>
    <t>MALLA PARA MICROFURTBOL</t>
  </si>
  <si>
    <t>Juegos de malla, tipo cabaña en nylon No. 2 </t>
  </si>
  <si>
    <t>MANCUERNAS EN CAUCHO 2</t>
  </si>
  <si>
    <t>1 par por  2 lb.</t>
  </si>
  <si>
    <t>MANCUERNAS EN CAUCHO 4</t>
  </si>
  <si>
    <t>1 par por  4 lb.</t>
  </si>
  <si>
    <t>MANCUERNAS EN CAUCHO 5</t>
  </si>
  <si>
    <t>1 par  5 lb.</t>
  </si>
  <si>
    <t>MINI TEJO</t>
  </si>
  <si>
    <r>
      <rPr>
        <sz val="10"/>
        <rFont val="Arial"/>
        <family val="2"/>
      </rPr>
      <t>Dimensiones: 50 X 50 cm, fabricada en ángulo y tablex, tejos y bocín en acero, plastilina para clima frio y
caliente y espaldar plegable (par).</t>
    </r>
  </si>
  <si>
    <t>PARQUÉS</t>
  </si>
  <si>
    <t>Cuatro (4) juegos de mesa completos.</t>
  </si>
  <si>
    <t>PELOTAS DE CAUCHO</t>
  </si>
  <si>
    <t>De caucho, livianas, de 20 cms de diámetro</t>
  </si>
  <si>
    <t>RANA</t>
  </si>
  <si>
    <r>
      <rPr>
        <sz val="10"/>
        <rFont val="Arial"/>
        <family val="2"/>
      </rPr>
      <t>Dimensiones: 40 X 40 cm, Alto 80 cm, fabricado en tablex, uno o dos sapos en aluminio y
juego de seis argollas para lanzar.</t>
    </r>
  </si>
  <si>
    <t>SACO O TULA DE BOXEO</t>
  </si>
  <si>
    <t>En lona de poliuretano tamaño de 100 X 30 cm.Tula de boxeo - Saco de boxeo Incluye cadena mosquetón y chazo expansivo Relleno : Aserrin. medidas 110 centimetros por 90 centimetros de contorno Peso: 100 lbs o 50 kgs Diametro:30 CM Altura: 100 CM, incluye soporte en hierro para pared o techo para colgar bolsa de boxeo, incluye toda la tornillería de ensamble que certifique el anclaje para un peso de 120 kg, no ensamblar en paredes cocas o drywall (debe entregarse debidamente instalado donde el coordinador de la unidad operativa solicite).</t>
  </si>
  <si>
    <t>SILVATO</t>
  </si>
  <si>
    <t>Pito para arbitro</t>
  </si>
  <si>
    <t>TRX</t>
  </si>
  <si>
    <t>Bandas suspensión soporta 300 kilos reales comprobados ,mide 3,20 mts alta calidad hebillas en acero , herrajes en acero q no se oxidan ,manilares en goma que no se razgan como los de espuma , tela de seguridad alta carga, incluye Soporte en hierro para pared o techo para colgar TRX, incluye toda la tornillería de ensamble que certifique el anclaje para un peso de 120 kg, no ensamblar en paredes cocas o drywall (debe entregarse debidamente instalado donde el coordinador de la unidad operativa solicite).</t>
  </si>
  <si>
    <t>TALLER AGRO</t>
  </si>
  <si>
    <t>ALAMBRE</t>
  </si>
  <si>
    <t>alambre calibre 12 para tutorado decultivos</t>
  </si>
  <si>
    <t>ALICATE</t>
  </si>
  <si>
    <t>Alicate electricista 7 pulgadas</t>
  </si>
  <si>
    <t>ALICATE DIABLO</t>
  </si>
  <si>
    <t>Alicate Diablo  11 pulgadas uso profesional</t>
  </si>
  <si>
    <t>ALICATE PUNTA DE LORO</t>
  </si>
  <si>
    <t>Alicate articulado de extencion 10 pulgadas.</t>
  </si>
  <si>
    <t>ASPERSORES PARA RIEGO</t>
  </si>
  <si>
    <t xml:space="preserve">Aspersores plastico graduable 1/2 </t>
  </si>
  <si>
    <t>AZADÓN</t>
  </si>
  <si>
    <t>Azadón papero 4 lbs</t>
  </si>
  <si>
    <t>BANDEJAS (VIVERO)</t>
  </si>
  <si>
    <t xml:space="preserve">Bandeja de 5 cm de profundidad con capacidad promedio para 50 plantulas </t>
  </si>
  <si>
    <t>BOMBA DE ESPALDA</t>
  </si>
  <si>
    <t>Bomba fumigadora espalda capacidfad 20 Lts</t>
  </si>
  <si>
    <t>BOTA EN PVC</t>
  </si>
  <si>
    <t>Bota en PVC línea básica sanitizada, reforzada en punta
y talón.</t>
  </si>
  <si>
    <t>CAL AGRÍCOLA</t>
  </si>
  <si>
    <t>Cal agrícola sustrato organico fertilizante</t>
  </si>
  <si>
    <t>Kg</t>
  </si>
  <si>
    <t>CARETA PARA FUMIGAR 3M</t>
  </si>
  <si>
    <t>Mascara industrial doble  filtro de gases, fumigacion</t>
  </si>
  <si>
    <t>CAUCHO PARA FORRAR VIVERO</t>
  </si>
  <si>
    <t>Plástico transparente calibre 720 para invernadero 30 mts cuadrados</t>
  </si>
  <si>
    <t>MTS2</t>
  </si>
  <si>
    <t>CINTA PARA MARCAR</t>
  </si>
  <si>
    <t>Cinta De Enmascarar, Multipropósitos, (48mmx40m).</t>
  </si>
  <si>
    <t xml:space="preserve">I2023015628 </t>
  </si>
  <si>
    <t>FERTILIZANTES EDÁFICOS Y FOLIRARES (EL PRODUCTO A UTILIZAR ESTARÁ ACORDE AL TIPO DE CULTIVOS QUE PRESENTEN EN LA PROPUESTA)</t>
  </si>
  <si>
    <t>(Microrrizas)</t>
  </si>
  <si>
    <t xml:space="preserve"> (Triple 15 )</t>
  </si>
  <si>
    <t>(Dap )</t>
  </si>
  <si>
    <t>(Cloruro de Potasio )</t>
  </si>
  <si>
    <t>(Nitrato de Calcio )</t>
  </si>
  <si>
    <t>(Agrimins )</t>
  </si>
  <si>
    <t>FUNGICIDA</t>
  </si>
  <si>
    <t xml:space="preserve">Fungicida orgánico </t>
  </si>
  <si>
    <t>Lt</t>
  </si>
  <si>
    <t>GAFAS PROTECTORAS</t>
  </si>
  <si>
    <t>Gafas protectoras</t>
  </si>
  <si>
    <t>GUANTES DE LONA</t>
  </si>
  <si>
    <t>guantes de lona proteccion y seguridad</t>
  </si>
  <si>
    <r>
      <rPr>
        <sz val="9"/>
        <rFont val="Arial MT"/>
        <family val="2"/>
      </rPr>
      <t>Guantes negros industriales</t>
    </r>
  </si>
  <si>
    <t>Guantes Negros Calibre 35, que permitan la manipulación de concreto, arena y otros productos químicos, con grabado que mejora el agarre en húmedo y en seco, mayor
resistencia a productos químicos: Cetonas, sales, detergentes, alcoholes, bases y grasas</t>
  </si>
  <si>
    <t>INSECTICIDA</t>
  </si>
  <si>
    <t>Insecticida</t>
  </si>
  <si>
    <t>LIMAS</t>
  </si>
  <si>
    <t>Limas  triangular agrícola con mango, 6 pulgadas</t>
  </si>
  <si>
    <t>CAJA X 10</t>
  </si>
  <si>
    <t>MACHETE</t>
  </si>
  <si>
    <t>Machete  3 canales 22 pulgadas</t>
  </si>
  <si>
    <t>MANGUERA DE RIEGO DE 1/2</t>
  </si>
  <si>
    <t>Manguera de riego de 1/2 pulgada para media presion</t>
  </si>
  <si>
    <t>Mt</t>
  </si>
  <si>
    <t>OVEROLES TIPO PILOTO</t>
  </si>
  <si>
    <t xml:space="preserve">Overol tipo piloto </t>
  </si>
  <si>
    <t>OZ MEDIA LUNA</t>
  </si>
  <si>
    <t>hoz dentada 18 pulgadas mango madera</t>
  </si>
  <si>
    <t>PALA</t>
  </si>
  <si>
    <t>Pala redonda #2 con mango madera</t>
  </si>
  <si>
    <t>PALA CUADRADA</t>
  </si>
  <si>
    <t>Pala cuadrada #2 con ,mango madera</t>
  </si>
  <si>
    <t>PALA DRAGA/ AHOLLADORA MECÁNICA</t>
  </si>
  <si>
    <t xml:space="preserve">Pala draga/ aholladora mecánica 35cmm x 14 cmm con mango </t>
  </si>
  <si>
    <t>PICA</t>
  </si>
  <si>
    <t>Pica 2,3 KG 110MM mango madera  90 cmm</t>
  </si>
  <si>
    <t>RASTRILLO</t>
  </si>
  <si>
    <t>Rastrillo metalico de jardineria 22 dientes</t>
  </si>
  <si>
    <t>REGADERA PARA PLANTAS</t>
  </si>
  <si>
    <t>Regadera para plantas de plástico mínimo de 1.5 lts</t>
  </si>
  <si>
    <t>SEMILLAS
(HORTALIZAS, CEREALES, AROMÁTICAS, LEGUMINOSAS, FRUTALES, ETC.) LAS ESPECIES ESTÁN SUJETAS AL RANGO DE ALTITUD DEL PREDIO</t>
  </si>
  <si>
    <r>
      <rPr>
        <sz val="10"/>
        <rFont val="Arial"/>
        <family val="2"/>
      </rPr>
      <t>1 kilogramo de semillas variadas de aromáticas, lechuga, acelga, cilantro, habichuela, repollo, perejil, tomillo y demás
que proponga el contratista</t>
    </r>
  </si>
  <si>
    <t>Paquete 5 gr</t>
  </si>
  <si>
    <r>
      <rPr>
        <sz val="10"/>
        <rFont val="Arial"/>
        <family val="2"/>
      </rPr>
      <t>1 kilogramo de semillas variadas de maíz, fríjol, cebolla, arveja, etc, y demás que proponga el
contratista</t>
    </r>
  </si>
  <si>
    <t>SERRUCHO PICO DE LORO</t>
  </si>
  <si>
    <t>Serrucho pico de loro  12 pulgadas</t>
  </si>
  <si>
    <t>SERRUCHO</t>
  </si>
  <si>
    <t>Serrucho Profesional 8 DPP 20 pulg 15-559</t>
  </si>
  <si>
    <t>SISTEMA DE RIEGO CON GOTEO</t>
  </si>
  <si>
    <t>Compuesto por los siguientes accesorios: Manguera de 16 mm x 25 mts. Gotero autocompensado de 2, 4 y 8 LPH X 30 unidades. Tapón final 16 mm x 5 unidades. Codo 16 mm x 6 unidades. Tee 16 mm x 4 unidades. Adaptador macho 1/2 x 16 mm x 1 unidad. Válvula 16 x 16 mm x 2 unidades. Perforador 3 mm x 1 unidad. Microtubo 4 mm x 15 mts. Microconectór 4 mm x 30 unidades
- Racor plástico manguera 3/4 x 16 mm x 1 unidad.
- Abrazadera cremallera de 1/2 x 2 unidades.
- Tapón de reparación 4 mm x 6 unidades.
- Unión 16 mm x 4 unidades.</t>
  </si>
  <si>
    <t>Mt2</t>
  </si>
  <si>
    <t>TIJERAS DE PODA</t>
  </si>
  <si>
    <t>TRAJE DE
FUMIGACIÓN COMPLETO</t>
  </si>
  <si>
    <t xml:space="preserve">Overol  traje antifluido bioseguridad, lavable e impermeable. </t>
  </si>
  <si>
    <t>TURBA (VIVERO)</t>
  </si>
  <si>
    <t>Turba rubia sustrato</t>
  </si>
  <si>
    <t>KG</t>
  </si>
  <si>
    <t>YODO (VIVERO)</t>
  </si>
  <si>
    <t>Yodo (vivero)</t>
  </si>
  <si>
    <t>BANDEJAS DE GERMINACION</t>
  </si>
  <si>
    <t>Bandejas de 5 cm de profundidad con capacidad en promedio para 50 plántulas</t>
  </si>
  <si>
    <t>BOTA EN PVC LÍNEA BÁSICA SANITIZADA,
REFORZADA EN PUNTA Y TALÓN.</t>
  </si>
  <si>
    <t>Botas Cerrado, impermeable, antideslizante y de tacón bajo para las actividades de limpieza y desinfección de las áreas (semestral)</t>
  </si>
  <si>
    <t>CASCARILLA DE ARROZ QUEMADO</t>
  </si>
  <si>
    <t>Treinta (30) bultos de 10 Kg. cada uno</t>
  </si>
  <si>
    <t>kg</t>
  </si>
  <si>
    <t>COMPOST/ HUMUS DE LOMBRIZ</t>
  </si>
  <si>
    <t>Veinte (20) bultos de 30 Kg. cada uno</t>
  </si>
  <si>
    <t>CONTENEDORES O RECIPIENTES</t>
  </si>
  <si>
    <t>Los contenedores o recipientes pueden ser cajones de madera o guacales,
canaletas</t>
  </si>
  <si>
    <t>GUANTES NEGROS INDUSTRIALES</t>
  </si>
  <si>
    <t>PLÁSTICO O MALLA POLISOMBRA</t>
  </si>
  <si>
    <t>malla polisombra para vivero cobertura 80% 4mts ancho</t>
  </si>
  <si>
    <t>mt</t>
  </si>
  <si>
    <t>SISTEMA DE RIEGO MANUAL</t>
  </si>
  <si>
    <t>Una (1) manguera
de 100 m2</t>
  </si>
  <si>
    <t>TIERRA NEGRA</t>
  </si>
  <si>
    <t>Treinta (30) bultos de 25Kg cada uno</t>
  </si>
  <si>
    <t>COMPONENTE GESTION DOCUMENTAL</t>
  </si>
  <si>
    <t>TINTA IMPRESORA</t>
  </si>
  <si>
    <t>Tinta para impresora por litro</t>
  </si>
  <si>
    <t>Litro</t>
  </si>
  <si>
    <t>I2023019398</t>
  </si>
  <si>
    <t>CAJAS DE ALMACENAMIENTO</t>
  </si>
  <si>
    <t>Dimensiones internas: ancho: 20 cm. x alto: 28.5 cm. x largo: 39 cm. 
Dimensiones externas: ancho: 21 cm. x alto: 30 cm. x largo: 40 cm. 
La tapa debe ir impresa a una tinta, en color negro llevando el logo de la entidad y un recuadro impreso para el número de la caja únicamente, se debe implementar el Formato Rótulo para caja de archivo (FOR-GD-007) establecido por la Secretaría Distrital de Integración Social.</t>
  </si>
  <si>
    <t xml:space="preserve"> I2024004070</t>
  </si>
  <si>
    <t>CARPETA EN CARTÓN YUTE 600 GR</t>
  </si>
  <si>
    <t>Carpeta en cartón yute 600 gr</t>
  </si>
  <si>
    <t>I2023015407</t>
  </si>
  <si>
    <t>GANCHOS LEGAJADOR</t>
  </si>
  <si>
    <t>Ganchos plásticos de polipropileno</t>
  </si>
  <si>
    <t>Caja</t>
  </si>
  <si>
    <t>LÁPIZ</t>
  </si>
  <si>
    <t>Lápiz para escritura con borrador, mina negra No.2.</t>
  </si>
  <si>
    <t>Cajas de 12 unidades</t>
  </si>
  <si>
    <t>BORRADOR PARA LÁPIZ, NATA, TAMAÑO 5.5 CM X 2CM.</t>
  </si>
  <si>
    <t>Borrador Para Lápiz, Nata, Tamaño 5.5 Cm X 2cm.</t>
  </si>
  <si>
    <t>Caja de 24 unidades</t>
  </si>
  <si>
    <t xml:space="preserve">RESMAS DE PAPEL TAMAÑO CARTA </t>
  </si>
  <si>
    <t>Resmas de papel tamaño carta x 500 Hojas</t>
  </si>
  <si>
    <t>RESMAS DE PAPEL TAMAÑO OFICIO</t>
  </si>
  <si>
    <t>Resmas de papel tamaño oficio x 500 Hojas</t>
  </si>
  <si>
    <t>ESFERO TIPO BIC NEGRO</t>
  </si>
  <si>
    <t>Esfero Tipo Bic Rojo, azul o negro</t>
  </si>
  <si>
    <t xml:space="preserve">cajas por 12 </t>
  </si>
  <si>
    <t>COSEDORA DE OFICINA</t>
  </si>
  <si>
    <t>Cosedora de oficina 20 hojas</t>
  </si>
  <si>
    <t xml:space="preserve">GUANTES </t>
  </si>
  <si>
    <t>Guantes estériles de látex</t>
  </si>
  <si>
    <t>PIEZAS COMUNICATIVAS</t>
  </si>
  <si>
    <t>PENDÓN</t>
  </si>
  <si>
    <t>Un pendón o aviso de identificación del Centro, el cual debe tener el logotipo de la Secretaría Distrital de Integración Social y el nombre de la Modalidad de Atención o Servicio. Pendón para colgar, Banner 13 Onzas, Tubo arriba y abajo, cordel. Medidas: 1.30 x 180 cms</t>
  </si>
  <si>
    <t>ASEO PARTICIPANTES</t>
  </si>
  <si>
    <t>CEPILLO DE DIENTES ECOLÓGICO PARA ADULTO</t>
  </si>
  <si>
    <r>
      <rPr>
        <sz val="10"/>
        <rFont val="Arial"/>
        <family val="2"/>
      </rPr>
      <t>Forma del mango curvo, tipo de cabeza diamante o redondo.
Datos en el empaque que incluya nombre del producto, fecha de vencimiento y nombre del fabricante, empaque estuche en plástico y cartón totalmente sellado.</t>
    </r>
  </si>
  <si>
    <t>TUBO DE CREMA DENTAL</t>
  </si>
  <si>
    <t>Tubo x 100 cc,  componentes aproximados fluoruro de sodio, sorbitrol; anticaries, triple acción, con sabor a menta clásica o refrescante. Datos en el empaque que incluya nombre del producto, nombre del fabricante, fecha de vencimiento y número de registro sanitario.</t>
  </si>
  <si>
    <t>JABÓN DE BAÑO</t>
  </si>
  <si>
    <r>
      <rPr>
        <sz val="10"/>
        <rFont val="Arial"/>
        <family val="2"/>
      </rPr>
      <t>Peso 125 - 130 gms, empaque individual, fragancia floral o frutal o compuesto de avena, que cree una barrera de protección antibacterial prolongada; composición aproximada agua, glicerina y sodio.
Datos en el empaque que incluya nombre del producto, nombre del
fabricante y número de registro sanitario.</t>
    </r>
  </si>
  <si>
    <t>JABÓN LÍQUIDO DE BAÑO</t>
  </si>
  <si>
    <t>De  400  ml,  empaque  individual,  con fragancia. Datos   en   el   empaque   que   incluya nombre   del   producto,   nombre   del fabricante    y    número    de    registro sanitario.</t>
  </si>
  <si>
    <t>DESODORANTE ANTITRANSPIRANTE UNISEX</t>
  </si>
  <si>
    <r>
      <rPr>
        <sz val="10"/>
        <rFont val="Arial"/>
        <family val="2"/>
      </rPr>
      <t>Sobre, en presentación de aluminio, de 15 gr, textura cremosa, acción desodorante y antitranspirante.
Datos en el empaque que incluya nombre del producto, nombre del fabricante, fecha de vencimiento y número de registro sanitario.</t>
    </r>
  </si>
  <si>
    <t>Barra de 75 ml, acción desodorante y antitranspirante. Datos   en   el   empaque   que   incluya nombre   del   producto,   nombre   del fabricante,   fecha   de  vencimiento   y número de registro sanitario.</t>
  </si>
  <si>
    <t>TALCO PARA PIES</t>
  </si>
  <si>
    <r>
      <rPr>
        <sz val="10"/>
        <rFont val="Arial"/>
        <family val="2"/>
      </rPr>
      <t>Frasco de 150 gr. empaque de plástico; especificaciones triclosan, antibacterial y extracto de avena; tipo de cierre giratorio, con orificios para la dosificación del producto.
Datos en el empaque que incluya nombre del producto, nombre del fabricante, fecha de vencimiento y número de registro sanitario.</t>
    </r>
  </si>
  <si>
    <t>ROLLO DE PAPEL HIGIÉNICO</t>
  </si>
  <si>
    <t>Doble hoja, mínimo de 25 mts, color blanco, acolchado</t>
  </si>
  <si>
    <t>TOALLAS HIGIÉNICAS</t>
  </si>
  <si>
    <r>
      <rPr>
        <sz val="10"/>
        <rFont val="Arial"/>
        <family val="2"/>
      </rPr>
      <t>Paquete x 10 unidades, mínimo de 2 clases de acuerdo al flujo menstrual (flujo normal o flujo abundante), tela tipo algodón, zona antiderrames, ajuste seguro con alas, componentes: cuerpo absorbente, barrera protectora, cinta siliconada, cubierta, capa de adquisición, adhesivo de construcción y autoadhesivo.
Datos en el empaque que incluya nombre del producto, nombre del fabricante, fecha de vencimiento y
número de registro sanitario.</t>
    </r>
  </si>
  <si>
    <t>Paquete x 10 unidades</t>
  </si>
  <si>
    <t>MÁQUINA DE AFEITAR</t>
  </si>
  <si>
    <r>
      <rPr>
        <sz val="10"/>
        <rFont val="Arial"/>
        <family val="2"/>
      </rPr>
      <t>Desechable, con banda suavizante de tres cuchillas, con aloe, material plástico, tipo de mango con goma antideslizante, cabeza móvil.
Datos en el empaque que incluya nombre del producto, nombre del fabricante y número de registro sanitario.</t>
    </r>
  </si>
  <si>
    <t>PAÑALES PARA ADULTO</t>
  </si>
  <si>
    <r>
      <rPr>
        <sz val="10"/>
        <rFont val="Arial"/>
        <family val="2"/>
      </rPr>
      <t>Pañal absorbente para incontinencia fuerte, diseño anatómico, con gel absorbente y sustancia control de olor, cubierta exterior suave tipo tela (excepto donde se adhiere las cintas de fijación del pañal, esta zona puede ser en polietileno), barreras laterales anti derrame, con cinta adhesiva resellable, elástico en cintura y pierna con zona de absorción, con indicador de humedad.
Datos en el empaque que incluya el nombre del producto, nombre del fabricante, cantidad, fecha de vencimiento, composición del producto, indicaciones de uso y número de registro sanitario.</t>
    </r>
  </si>
  <si>
    <t>paquete x30</t>
  </si>
  <si>
    <t>CHAMPÚ</t>
  </si>
  <si>
    <t>Frasco plástico de 300 ml,  para todo tipo de cabello, con fragancia, con tapa dosificadora de cierre a presión. Datos en el empaque que incluya nombre del producto, nombre del fabricante, fecha de vencimiento y número de registro sanitario.</t>
  </si>
  <si>
    <t>ACONDICIONADOR</t>
  </si>
  <si>
    <t>Un (1) frasco de 200 ml para las mujeres, presentación envase plástico tapa dosificadora a presión; componentes mínimo agua, cetyl alcohol, parfum, disodium; fragancia. datos en el empaque que incluya nombre del producto, nombre del fabricante, número de registro sanitario que sea reparador o restaurador</t>
  </si>
  <si>
    <t>PEINILLA DE BOLSILLO</t>
  </si>
  <si>
    <t>De mínimo 10 cm de largo, material plástico, con cerda de plástico y puntas recubiertas del mismo material</t>
  </si>
  <si>
    <t>CEPILLO Y/O PEINILLA GRUESA</t>
  </si>
  <si>
    <t>Para mujeres</t>
  </si>
  <si>
    <t>BLOQUEADOR SOLAR</t>
  </si>
  <si>
    <r>
      <rPr>
        <sz val="10"/>
        <rFont val="Arial"/>
        <family val="2"/>
      </rPr>
      <t>Frasco de 50 g, con protección alta contra quemaduras solares (UVB), FPS 50, a prueba de agua, para todo tipo de piel.
Datos en el empaque que incluya nombre del producto, nombre del fabricante, fecha de vencimiento y número de registro sanitario.</t>
    </r>
  </si>
  <si>
    <t>CREMA HUMECTANTE</t>
  </si>
  <si>
    <r>
      <rPr>
        <sz val="10"/>
        <rFont val="Arial"/>
        <family val="2"/>
      </rPr>
      <t>Frasco de 200 ml, para todo tipo de piel, con textura cremosa.
Datos en el empaque que incluya nombre del producto, nombre del fabricante, fecha de vencimiento y número de registro sanitario.</t>
    </r>
  </si>
  <si>
    <t>CREMA HUMECTANTE PARA CUERPO</t>
  </si>
  <si>
    <t>Frasco  de  400  ml,  para  todo  tipo  de piel, para manos y cuerpo, con textura cremosa. Datos   en   el   empaque   que   incluya nombre   del   producto,   nombre   del fabricante,   fecha   de  vencimiento   y número de registro sanitario.</t>
  </si>
  <si>
    <t>CREMA HIDRATANTE PARA ROSTRO</t>
  </si>
  <si>
    <t>Frasco de 200 gr, humectación de larga duración, la crema se deberá escoger de acuerdo al tipo de piel de cada participante, rápida absorción. Datos en el empaque que incluya nombre del producto, nombre del fabricante, fecha de vencimiento y número de registro sanitario</t>
  </si>
  <si>
    <t>GEL PARA CABELLO</t>
  </si>
  <si>
    <t>Sachets de 27 ml, tipo de gel denso, no líquido, con fragancia, sin alcohol. Datos en el empaque que incluya nombre del producto, nombre del fabricante, fecha de vencimiento y número de registro sanitario.</t>
  </si>
  <si>
    <t>CORTAUÑAS</t>
  </si>
  <si>
    <t>De acero inoxidable, dimensiones aproximadas 6 cm de largo, con lima. Datos en el empaque que incluya nombre del producto y nombre del fabricante, empaque en plástico y cartón totalmente sellado.</t>
  </si>
  <si>
    <t>VESTUARIO PARTICIPANTES</t>
  </si>
  <si>
    <t>ROPA INTERIOR MUJER</t>
  </si>
  <si>
    <t>Pantis clásico en material de algodón y brasier sin arco con copa completa en material de algodón licrado</t>
  </si>
  <si>
    <t>ROPA INTERIOR HOMBRE</t>
  </si>
  <si>
    <t>Bóxer en algodón de las tallas: S, M, L, y, XL.</t>
  </si>
  <si>
    <t>MEDIAS</t>
  </si>
  <si>
    <t>Unisex, en algodón, unicolor de color oscuro, media pierna y/o tobillera teniendo en cuenta la preferencia del participante.</t>
  </si>
  <si>
    <t>PAR</t>
  </si>
  <si>
    <t>CALZADO FORMAL</t>
  </si>
  <si>
    <r>
      <rPr>
        <sz val="10"/>
        <rFont val="Arial"/>
        <family val="2"/>
      </rPr>
      <t>Formal, que permita la transpiración, material en cuero, tela o sintético, acorde al gusto del participante, suela en caucho pegada y cocido
al interior.</t>
    </r>
  </si>
  <si>
    <t>CALZADO DEPORTIVO</t>
  </si>
  <si>
    <r>
      <rPr>
        <sz val="10"/>
        <rFont val="Arial"/>
        <family val="2"/>
      </rPr>
      <t>Calzado deportivo que permita la transpiración, material en tela o sintético, acorde al gusto del participante, suela en caucho pegada y cocido
al interior</t>
    </r>
  </si>
  <si>
    <t>CALZADO CHANCLAS</t>
  </si>
  <si>
    <t>Chanclas con correa, caucho y suela antideslizante para hombres y mujeres.</t>
  </si>
  <si>
    <t>PIJAMA</t>
  </si>
  <si>
    <t>Pantalón corto y camiseta manga corta (clima cálido), en algodón. Pantalón largo y camiseta manga largas (clima frio), en algodón.</t>
  </si>
  <si>
    <t>SALIDAS DE BAÑO</t>
  </si>
  <si>
    <t>Bata para mujeres, para salida de baño en polialgodón</t>
  </si>
  <si>
    <t>ROPA DE CALLE BLUSA</t>
  </si>
  <si>
    <t>blusa</t>
  </si>
  <si>
    <t>ROPA DE CALLE CAMISETA DAMA</t>
  </si>
  <si>
    <t>camiseta</t>
  </si>
  <si>
    <t>ROPA DE CALLE FALDA O PANTALÓN</t>
  </si>
  <si>
    <t>Pantalon Jean</t>
  </si>
  <si>
    <t>ROPA DE CALLE LEGGINS</t>
  </si>
  <si>
    <t>Pantalon Leggins</t>
  </si>
  <si>
    <t>SUDADERA MUJER</t>
  </si>
  <si>
    <t xml:space="preserve"> (1) sudadera con chaqueta y pantalón con pretina elástica (caucho en la cintura), sin cordón, con bolsillos</t>
  </si>
  <si>
    <t>ROPA DE CALLE CAMISA</t>
  </si>
  <si>
    <t>camisa</t>
  </si>
  <si>
    <t>ROPA DE CALLE CAMISETA HOMBRE</t>
  </si>
  <si>
    <t>ROPA DE CALLE DRIL</t>
  </si>
  <si>
    <t>pantalon Dril</t>
  </si>
  <si>
    <t>ROPA DE CALLE JEAN</t>
  </si>
  <si>
    <t>SUDADERA HOMBRE</t>
  </si>
  <si>
    <t>ROPA PARA ACTIVIDAD DEPORTIVA PANTALONETA</t>
  </si>
  <si>
    <t>una (1) pantaloneta  para hombres y mujeres</t>
  </si>
  <si>
    <t>ROPA PARA ACTIVIDAD DEPORTIVA CAMISETA</t>
  </si>
  <si>
    <t>una (1) camiseta para hombres y mujeres</t>
  </si>
  <si>
    <t>BABERO PARA ADULTO</t>
  </si>
  <si>
    <r>
      <rPr>
        <sz val="10"/>
        <rFont val="Arial"/>
        <family val="2"/>
      </rPr>
      <t>Babero reusable, suave tejido de poliéster elástico sin rizo que evite la acumulación de residuos de alimento. En el reverso tejido de uretano impermeable, las dos caras son hidrófugas, lo cual
impide que se humedezca.</t>
    </r>
  </si>
  <si>
    <t>TRAJE DE BAÑO:  MUJER - PARA EL CASO DE QUE EL SERVICIO SE PRESTE EN CLIMA CÁLIDO</t>
  </si>
  <si>
    <r>
      <rPr>
        <sz val="9"/>
        <rFont val="Arial MT"/>
        <family val="2"/>
      </rPr>
      <t>Para mujeres: traje enterizo y elástico</t>
    </r>
  </si>
  <si>
    <t>TRAJE DE BAÑO: HOMBRE - PARA EL CASO DE QUE EL SERVICIO SE PRESTE EN CLIMA CÁLIDO</t>
  </si>
  <si>
    <r>
      <rPr>
        <sz val="9"/>
        <rFont val="Arial MT"/>
        <family val="2"/>
      </rPr>
      <t>Para hombres: pantaloneta de baño</t>
    </r>
  </si>
  <si>
    <t>IPC MES A MES FEBRERO 2023 A  ABRIL 2024 (Fuente DANE)</t>
  </si>
  <si>
    <t>% INDEXADO *9,28%</t>
  </si>
  <si>
    <t>Valor Indexado</t>
  </si>
  <si>
    <t>ALIMENTACION</t>
  </si>
  <si>
    <t>CROISSANT, HORNEADO*20G</t>
  </si>
  <si>
    <t>GALLETA DE AVENA*40G</t>
  </si>
  <si>
    <t>MANTECADA* 30G</t>
  </si>
  <si>
    <t>MOGOLLA INTEGRAL * 50 G</t>
  </si>
  <si>
    <t>MOGOLLA* 30G</t>
  </si>
  <si>
    <t>PAN BLANDO  40 G</t>
  </si>
  <si>
    <t>PAN BLANDO 50G</t>
  </si>
  <si>
    <t>PAN DE QUESO, HORNEADO</t>
  </si>
  <si>
    <t>PAN HOJALDRADO 40G</t>
  </si>
  <si>
    <t>PAN INTEGRAL TAJADO * 550G</t>
  </si>
  <si>
    <t>TORTA DE BANANO</t>
  </si>
  <si>
    <t xml:space="preserve">ESTRUCTURA DE COSTOS </t>
  </si>
  <si>
    <t xml:space="preserve">In IPC TH </t>
  </si>
  <si>
    <t>7948  Desarrollo del abordaje integral del fenómeno de habitabilidad en calle para contribuir a la reducción de las formas extremas de exclusión en Bogotá D.C.</t>
  </si>
  <si>
    <t>Proy IPC SDIS</t>
  </si>
  <si>
    <t xml:space="preserve">SERVICIO DE ATENCIÓN COMUNIDAD DE VIDA PARA PERSONAS HABITANTES DE CALLE </t>
  </si>
  <si>
    <t>Objeto: Brindar procesos de atención integral orientados a la población habitante de calle de 29 años de edad en adelante, a través de un servicio de comunidad de vida dirigido a la superación de las formas extremas de exclusión asociadas a las dinámicas de vida en la calle.</t>
  </si>
  <si>
    <t>Objeto:  Brindar procesos de atención integral orientados a la población habitante de calle de 29 años de edad en adelante, a través de un servicio de comunidad de vida dirigido a la superación de las formas extremas de exclusión asociadas a las dinámicas de vida en la calle.</t>
  </si>
  <si>
    <t>PLAZO: 15 MESES</t>
  </si>
  <si>
    <t>COBERTURA (# DE CUPOS):</t>
  </si>
  <si>
    <t>CUPO 130</t>
  </si>
  <si>
    <t>TOTAL ESTRUCTURA</t>
  </si>
  <si>
    <t xml:space="preserve">PLAZO: </t>
  </si>
  <si>
    <t xml:space="preserve">3 MESES </t>
  </si>
  <si>
    <t>PLAZ0 12 MESES</t>
  </si>
  <si>
    <t>PLAZO TOTAL 15 MESES</t>
  </si>
  <si>
    <t>CANTIDAD</t>
  </si>
  <si>
    <t>FORMULA</t>
  </si>
  <si>
    <t>VALOR UNITARIO MES 2024</t>
  </si>
  <si>
    <t>VALOR MENSUAL 2024</t>
  </si>
  <si>
    <t>PERIODO MESES 30 DIAS (CF) DIAS CALENDARIO (CV)</t>
  </si>
  <si>
    <t>VALOR VIGENCIA 1 DE OCTUBRE DE 2024 AL 31 DE DICIEMBRE DE 2024</t>
  </si>
  <si>
    <t>VALOR UNITARIO MES 2025</t>
  </si>
  <si>
    <t>VALOR MENSUAL 2025</t>
  </si>
  <si>
    <t>VIGENCIA 01 ENERO  A  DICIEBRE 31 DE 2025</t>
  </si>
  <si>
    <t>VIGENCIA 2024</t>
  </si>
  <si>
    <t>VIGENCIA FUTURAS (2025)</t>
  </si>
  <si>
    <t xml:space="preserve">TOTAL </t>
  </si>
  <si>
    <t>COSTOS FIJOS</t>
  </si>
  <si>
    <t>TALENTO HUMANO</t>
  </si>
  <si>
    <t>COORDINADOR/A O RESPONSABLE</t>
  </si>
  <si>
    <t>Valor mensual x periodo</t>
  </si>
  <si>
    <t>NUTRICIONISTA DIETISTA</t>
  </si>
  <si>
    <t>PROFESIONAL EN PEDAGOGÍA REEDUCADOR O LICENCIADO EN PEDAGOGIA</t>
  </si>
  <si>
    <t>PROFESIONAL EN PSICOLOGÍA</t>
  </si>
  <si>
    <t>TERAPEUTA OCUPACIONAL</t>
  </si>
  <si>
    <t>TRABAJADOR (A) SOCIAL</t>
  </si>
  <si>
    <t>EDUCADOR FÍSICO</t>
  </si>
  <si>
    <t>PROMOTORES (AS) SOCIAL</t>
  </si>
  <si>
    <t>TECNICO OPERATIVO</t>
  </si>
  <si>
    <t>TÉCNICO  ADMINISTRATIVO</t>
  </si>
  <si>
    <t>TÉCNICO(A) O TECNÓLOGO(A) AMBIENTAL</t>
  </si>
  <si>
    <t>TÉCNICO(A) O TECNÓLOGO(A) EN ALIMENTOS</t>
  </si>
  <si>
    <t>TALLERISTA</t>
  </si>
  <si>
    <t>AUXILIAR DE ENFERMERÍA</t>
  </si>
  <si>
    <t>AUXILIAR DE GESTIÓN DOCUMENTAL</t>
  </si>
  <si>
    <t>AUXILIAR DE LAVANDERÍA</t>
  </si>
  <si>
    <t>AUXILIAR DE MANTENIMIENTO</t>
  </si>
  <si>
    <t>MANIPULADOR DE ALIMENTOS</t>
  </si>
  <si>
    <t>SERVICIOS GENERALES</t>
  </si>
  <si>
    <t>DOTACION DE TALENTO HUMANO</t>
  </si>
  <si>
    <t>VIGILANCIA + TARIFA ADMINISTRACION Y SUPERVISION+AIU (DEL 01 ENERO AL 14 DE JULIO PARA CADA VIGENCIAS)</t>
  </si>
  <si>
    <t>Valor unitario día x días</t>
  </si>
  <si>
    <t>VIGILANCIA + TARIFA ADMINISTRACION Y SUPERVISION+AIU (DEL 15 DE JULIO AL 31 DE DICIEMBREPARA CADA VIGENCIA)</t>
  </si>
  <si>
    <t>VIGILANCIA + MEDIO TECNOLOGICO</t>
  </si>
  <si>
    <t>TRANSPORTE</t>
  </si>
  <si>
    <t>ACTIVIDADES PEDAGOGICAS, LUDICAS, RECREATIVAS, DEPORTIVAS</t>
  </si>
  <si>
    <t>Talleres y papelería + Actividades recreo deportivas</t>
  </si>
  <si>
    <t>ACTIVIDADES AGRO RURAL + URBANA</t>
  </si>
  <si>
    <t>COMPONENTE DE GESTION DOCUMENTAL</t>
  </si>
  <si>
    <t>PIEZAS COMUNICATIVAS Y DE DIFUSIÓN</t>
  </si>
  <si>
    <t>RECONOCIMIENTO DE INMUEBLE</t>
  </si>
  <si>
    <t>MANTENIMIENTO DEL INMUEBLE</t>
  </si>
  <si>
    <t>SUBTOTAL COSTOS FIJOS</t>
  </si>
  <si>
    <t>COSTOS VARIABLES</t>
  </si>
  <si>
    <t>SERVICIOS PÚBLICOS</t>
  </si>
  <si>
    <t>Valor unitario día x días calendario</t>
  </si>
  <si>
    <t>ASEO PERSONAL PARA LOS PARTICIPANTES</t>
  </si>
  <si>
    <t>VESTUARIO PARA LOS PARTICIPANTES</t>
  </si>
  <si>
    <t>SUBTOTAL COSTOS VARIABLES</t>
  </si>
  <si>
    <t>TOTAL COSTOS ESTRUCTURA</t>
  </si>
  <si>
    <r>
      <t>Nota 1: Calculo de precios unitarios:</t>
    </r>
    <r>
      <rPr>
        <sz val="12"/>
        <color theme="1"/>
        <rFont val="Arial Narrow"/>
        <family val="2"/>
      </rPr>
      <t xml:space="preserve"> Las estructuras de costos, se calcularon con los precios unitarios del estudio de mercado con base a los valores unitarios viabilizados por la Subdirección de Diseño, Evaluación y Sistematización de la Secretaría Distrital de Integración Social - SDIS. </t>
    </r>
  </si>
  <si>
    <t>Los ajustes del IPC, para la vigencia 2025 se realizaron tomando como base el valor de la vigencia anterior, para el caso del recurso Humano teniendo en cuenta el análisis del comportamiento del IPC mensual desde el mes de enero del año 2020 al mes de abril del  año 2024 dando como resultado un índice del 7.04%, Además, se tuvo en cuenta el aumento del salario mínimo en los años 2022 y 2023 para mantener dicho índice. Para lo otros ítems se incrementó en el 3%.</t>
  </si>
  <si>
    <r>
      <t xml:space="preserve">Nota 2: Indexación de precios: </t>
    </r>
    <r>
      <rPr>
        <sz val="12"/>
        <color theme="1"/>
        <rFont val="Arial Narrow"/>
        <family val="2"/>
      </rPr>
      <t>Para facilitar el proceso de ajuste por viabilización se adjunta Archivo con el cálculo de la indexación mes a mes para cada uno de los productos, de acuerdo con las fechas de cada uno de los memorandos de viabilización expedidos por la Subdirección de Diseño, Evaluación y Sistematización de la Secretaría Distrital de Integración Social - SDIS y la información mensual del IPC emitida por el DANE. Para este registro una vez calculado, se toma el porcentaje de IPC acumulado y el precio calculado para el mes de Abril de 2024, Documento Estudio de mercado Hoja llamada “INDEXACION PRODUCTOS MES A MES”</t>
    </r>
  </si>
  <si>
    <r>
      <t>Nota 3:  Talento Humano:</t>
    </r>
    <r>
      <rPr>
        <sz val="12"/>
        <color theme="1"/>
        <rFont val="Arial Narrow"/>
        <family val="2"/>
      </rPr>
      <t xml:space="preserve"> teniendo en cuenta la resolución de honorarios No. 30 del 5 de enero de 2024 expedida por la Secretaría Distrital de Integración Social, para el talento Humano se calculó el valor unitario mensual, y con base a este se calcula el período así: multiplicando el valor unitario mensual por cada perfil y a su vez por la cantidad de meses, tres (3) para 2024. Y doce (12) meses para la Vigencia 2025. se proyecta el talento humano con un incremento sobre el valor al cierre de la vigencia anterior del 7,04% para el 2025, se hará el incremento de acuerdo con lo que se estipule en las actualizaciones de la resolución de honorarios respectiva, emitida por la Entidad o cualquier otro documento que expida la SDIS para el incremento del talento humano de convenios o contratos.</t>
    </r>
  </si>
  <si>
    <t>Nota 4: Dotación talento humano: Para el cálculo de la dotación de talento Humano se toma la información de los elementos exigidos en el anexo técnico y los precios indexados. este ítem se encuentra viabilizado por la Subdirección de Diseño, Evaluación y sistematización de la Secretaría Distrital de Integración Social - SDIS a través de los memorandos No. I2023004856 del 17/02/2024; I2023008278 del 17/03/2024; I2024004413 del 16/02/20024; I2024014734 del 29/05/2024. con las condiciones que se especifican a continuación, el cálculo se realiza con la formula "Valor unitario cupo día x cupos x días". Para el 2025 se incremento un 3% con respecto al precio del 2024</t>
  </si>
  <si>
    <r>
      <t>Nota 5 Vigilancia - medio humano</t>
    </r>
    <r>
      <rPr>
        <sz val="12"/>
        <color theme="1"/>
        <rFont val="Arial Narrow"/>
        <family val="2"/>
      </rPr>
      <t>:  De conformidad con la circular externa No. 20231300001105 del 30 de diciembre del 2023 emitida por la Superintendencia de Vigilancia y memorando de la Subdirección Administrativa y Financiera No. I2024000033 del 02 de enero de 2024; para la prestación de este servicio se requiere que la empresa de vigilancia se contrate de la siguiente manera:   Se debe garantizar un servicio de 24 horas los siete días de la semana, comunicación permanente con la central de operaciones, dos guardas de seguridad debidamente uniformados, entrenados y capacitados, sin armas (1 guarda en puesto fijo y un guarda en recorrido por el centro de atención). De igual manera, supervisión permanente del personal que ingresa y sale del servicio. Se calculo con la formula  "(Valor unitario mes / 30)  x cantidades x días". Para las vigencias 2024, y 2025. se calculo de acuerdo con cada periodo como se especifica en la circular así:  del 1 de octubre al 31 de diciembre de 2024, del 1 de enero de 2025 al 14 de Julio de 2025, del 15 de julio al 31 de Diciembre de 2025. Para el 2025 se incrementó un 3% con respecto al precio del 2024. Para el 2025 en la ejecución del contrato y con el fin de establecer el precio de referencia de vigilancia se tendrá en cuenta la circular que emita la supervigilancia.</t>
    </r>
  </si>
  <si>
    <t>Según la circular externa emitida por la Superintendencia de Vigilancia y memorando de la Subdirección Administrativa y Financiera para la vigencia (2025), este comprende dos periodos para su cálculo, Un primer periodo que va del 1 enero al 14 de julio de cada año y el segundo que va del 15 de julio al 31 de diciembre o hasta finalizar el contrato.  Razón por la cual se aclara, que para determinar la suma total de costo fijo mes, sólo se debe tener en cuenta el valor que aplica para cada periodo.</t>
  </si>
  <si>
    <r>
      <t>Nota 6: Vigilancia Medio Tecnológico</t>
    </r>
    <r>
      <rPr>
        <sz val="12"/>
        <color theme="1"/>
        <rFont val="Arial Narrow"/>
        <family val="2"/>
      </rPr>
      <t xml:space="preserve">: Debe contar con Circuito cerrado de televisión con cámaras dentro del espacio funcional cubriendo las diferentes áreas que requieran vigilancia permanente, asegurando la cobertura total del centro de atención. El CCTV, debe tener las siguientes especificaciones técnicas mínimas: tecnología digital tríplex, de alta definición, grabación en tiempo real, almacenamiento digital de 180 días calendario.  Se calcula el servicio con la formula  "Valor unitario mes x cantidades x días" de acuerdo con el precio viabilizado por la  Subdirección de Diseño, Evaluación y sistematización de la Secretaría Distrital de Integración Social - SDIS memorando No: I2024004948. Para el 2025 se incrementó un 3% con respecto al precio del 2024. </t>
    </r>
  </si>
  <si>
    <t>Nota 7 Transporte:  Este ítem se encuentra viabilizado por la Subdirección de Diseño, Evaluación y sistematización de la Secretaría Distrital de Integración Social - SDIS a través de Memorando No. I2024014734 del 29/05/2024. con las condiciones que se especifican en hoja No. 4 del estudio de mercado “Transporte" el cálculo se realiza con la formula "Valor unitario cupo día x cupos x días" donde por cantidad se toma como un (1) servicio integral comprende  2 vehículos uno por 12 horas y otro por 24 horas (incluido el conductor en ambos casos) Para el 2025 se incrementó un 3% con respecto al precio del 2024.</t>
  </si>
  <si>
    <t>Nota 8 Bienes no consumibles: en este ítem se incluyeron todos los elementos necesarios para el servicio que no son consumibles, equipos, mobiliario, maquinas, etc.  Se realizó el cálculo del valor unitario mes, a partir de los costos unitarios de los elementos viabilizados por la Subdirección de Diseño, Evaluación y sistematización de la Secretaría Distrital de Integración Social - SDIS mediante los memorandos I2023004856 DEL 17/02/2023; I2023018072 del 23/06/2023; I2023031991 del 20/10/2023; I2023031433 del 13/10/2023; I2023031084 del 11/10/52024; I2023008278 del 17/03/2023; I2023024745 del 23/08/2023;  I2024014734 del 29/05/2024; I2024004413 del 16/02/2024", se manejó una indexación mes a mes para cada producto de acuerdo con la fecha de emisión del cada uno de los memorandos de viabilización correspondientes al año 2023 este proceso se encuentra detallado en la hoja "INDEXACION DE PRODUCTOS MES A MES" del estudio de mercado, y para los productos viabilizados en el 2024 se tomo la información de los memorandos expedidos en este año. la fórmula para el cálculo es "Valor unitario cupo día x cupos x días". Para el 2025 se incrementó un 3% con respecto al precio del 2024.</t>
  </si>
  <si>
    <r>
      <t>Nota 9 Los bienes consumibles:</t>
    </r>
    <r>
      <rPr>
        <sz val="12"/>
        <color theme="1"/>
        <rFont val="Arial Narrow"/>
        <family val="2"/>
      </rPr>
      <t xml:space="preserve"> se encuentran distribuidos en los ítems Lavandería, Aseo Institucional, actividades pedagógicas (Talleres y papelería y Actividades recreo deportivas), y el Componente de gestión documental.</t>
    </r>
  </si>
  <si>
    <t>Nota 10 Los Productos correspondientes a Lavandería: se encuentran viabilizados por la Subdirección de Diseño, Evaluación y Sistematización de la Secretaría Distrital de Integración Social - SDIS con los memorandos No.  I2023004856 del 17/02/2023; I2023019873 del  10/07/2023 el cálculo se realización la fórmula  "Valor unitario cupo día x cupos x días". Se manejó una indexación mes a mes para cada producto de acuerdo con la fecha de emisión del cada uno de los memorandos de viabilización correspondientes al año 2023 este proceso se encuentra detallado en la hoja "INDEXACION DE PRODUCTOS MES A MES" del estudio de mercado. Para el 2025 se incrementó un 3% con respecto al precio del 2024.</t>
  </si>
  <si>
    <t>Nota 11 Los Productos de talleres y Papelería: se encuentran viabilizados por la Subdirección de Diseño, Evaluación y Sistematización de la Secretaría Distrital de Integración Social - SDIS con los memorandos No.  I2023004856 del 17/02/2023; I2023008278 del 17/03/2023; I2023015628 del 30/05/2023; I2024004413 del 16/02/2024; I2024014734 del 29/05/2024 el cálculo se realización la fórmula  "Valor unitario cupo día x cupos x días" se manejó una indexación mes a mes para cada producto de acuerdo con la fecha de emisión del cada uno de los memorandos de viabilización correspondientes al año 2023 este proceso se encuentra detallado en la hoja "INDEXACION DE PRODUCTOS MES A MES" del estudio de mercado, y para los productos viabilizados en el 2024 se tomo la información de los memorandos expedidos en este año. Para el 2025 se incrementó un 3% con respecto al precio del 2024.</t>
  </si>
  <si>
    <t xml:space="preserve">Nota 12 Productos Recreo deportivos: se encuentran viabilizados por la Subdirección de Diseño, Evaluación y Sistematización de la Secretaría Distrital de Integración Social - SDIS con los memorandos No.  I2023004856 del 17/02/2023; I2023008278 del 17/03/2023; I2023019873 del 10/07/2023; I2023032069 del 10/10/2024 del 30/05/2023; I2024014734 del 29/05/2024 el cálculo se realización la fórmula "Valor unitario cupo día x cupos x días" </t>
  </si>
  <si>
    <r>
      <t xml:space="preserve">se manejó una indexación mes a mes para cada producto de acuerdo con la fecha de emisión del cada uno de los memorandos de viabilización correspondientes al año 2023 este proceso se encuentra detallado en la hoja </t>
    </r>
    <r>
      <rPr>
        <b/>
        <sz val="12"/>
        <color theme="1"/>
        <rFont val="Arial Narrow"/>
        <family val="2"/>
      </rPr>
      <t>"INDEXACION DE PRODUCTOS MES A MES"</t>
    </r>
    <r>
      <rPr>
        <sz val="12"/>
        <color theme="1"/>
        <rFont val="Arial Narrow"/>
        <family val="2"/>
      </rPr>
      <t xml:space="preserve"> del estudio de mercado, y para los productos viabilizados en el 2024 se tomo la información de los memorandos expedidos en este año. Para el 2025 se incrementó un 3% con respecto al precio del 2024.</t>
    </r>
  </si>
  <si>
    <t>Nota 13 Talleres Agrícolas: Los Productos se encuentran viabilizados por la Subdirección de Diseño, Evaluación y Sistematización de la Secretaría Distrital de Integración Social - SDIS con los memorandos No.  I2023004856 del 17/02/2023; I2023008278 del 17/03/2023; I2023019873 del 10/07/2023; I2023015628 del 30/05/2023; I2024004413 del 16/02/2024; I2024014734 del 29/05/2024 el cálculo se realización la fórmula "Valor unitario cupo día x cupos x días". se manejó una indexación mes a mes para cada producto de acuerdo con la fecha de emisión del cada uno de los memorandos de viabilización correspondientes al año 2023 este proceso se encuentra detallado en la hoja "INDEXACION DE PRODUCTOS MES A MES" del estudio de mercado, y para los productos viabilizados en el 2024 se tomo la información de los memorandos expedidos en este año. Para el 2025 se incrementó un 3% con respecto al precio del 2024.</t>
  </si>
  <si>
    <t>Nota 14 Aseo Institucional: se encuentran viabilizados por la Subdirección de Diseño, Evaluación y Sistematización de la Secretaría Distrital de Integración Social - SDIS con los memorandos No.  I2023004856 del 17/02/2023; I2023008278 del 17/03/2023; I2023019873 del 10/07/2023; I2024004413 del 16/02/2024 el cálculo se realización la fórmula "Valor unitario cupo día x cupos x días". se manejó una indexación mes a mes para cada producto de acuerdo con la fecha de emisión del cada uno de los memorandos de viabilización correspondientes al año 2023 este proceso se encuentra detallado en la hoja "INDEXACION DE PRODUCTOS MES A MES" del estudio de mercado, y para los productos viabilizados en el 2024 se tomo la información de los memorandos expedidos en este año. Para el 2025 se incrementó un 3% con respecto al precio del 2024.</t>
  </si>
  <si>
    <t>Nota 15 Aseo Participantes:  Se encuentran viabilizados por la Subdirección de Diseño, Evaluación y Sistematización de la Secretaría Distrital de Integración Social - SDIS con los memorandos No.  I2023008278 del 17/03/2023; I2023019873 del 10/07/2023; I2023010652 del 14/04/2023; I2024014734 del 29/05/2024 el cálculo se realización la fórmula Valor unitario cupo día x cupos x días calendario". se manejó una indexación mes a mes para cada producto de acuerdo con la fecha de emisión del cada uno de los memorandos de viabilización correspondientes al año 2023 este proceso se encuentra detallado en la hoja "INDEXACION DE PRODUCTOS MES A MES" del estudio de mercado, y para los productos viabilizados en el 2024 se tomo la información de los memorandos expedidos en este año. Para el 2025 se incrementó un 3% con respecto al precio del 2024.</t>
  </si>
  <si>
    <t>Nota 16 Vestuario Participantes: Se encuentran viabilizados por la Subdirección de Diseño, Evaluación y Sistematización de la Secretaría Distrital de Integración Social - SDIS con los memorandos No.  I2023004856 del 17/02/2023; I2023019873 del 10/07/2023; I2024014734 del 29/05/2024 el cálculo se realización la fórmula Valor unitario cupo día x cupos x días calendario". se manejó una indexación mes a mes para cada producto de acuerdo con la fecha de emisión del cada uno de los memorandos de viabilización correspondientes al año 2023 este proceso se encuentra detallado en la hoja "INDEXACION DE PRODUCTOS MES A MES" del estudio de mercado, y para los productos viabilizados en el 2024 se tomo la información de los memorandos expedidos en este año. Para el 2025 se incrementó un 3% con respecto al precio del 2024.</t>
  </si>
  <si>
    <t>Nota 17: Alimentación participantes: De acuerdo con aporte nutricional definido para el servicio, con base en las recomendaciones de ingesta de calorías y nutrientes para la población habitante de calle o en riesgo de estarlo, de 29 años en adelante y la minuta definida por la Dirección de Nutrición y Abastecimiento, se realizó el cálculo del costo mensual, a partir de los costos unitarios de los alimentos viabilizados por la Subdirección de Diseño, Evaluación y sistematización de la Secretaría Distrital de Integración Social - SDIS mediante los radicados definidos  I2024011245 26/04/2024; I2024012926 14/05/2024; I2024011757 1/05/2024; I2024011415 29/04/2024; I2024005209 24/02/2024, I2024013739  21/05/2024. Así mismo, El cálculo se realiza con la siguiente formula  Valor unitario cupo día x cupos x días calendario calendario" Para el 2025 se incrementó un 3% con respecto al precio del 2024.</t>
  </si>
  <si>
    <r>
      <t>Nota 18: Productos de Panadería para la alimentación de los participantes:</t>
    </r>
    <r>
      <rPr>
        <sz val="12"/>
        <color theme="1"/>
        <rFont val="Arial Narrow"/>
        <family val="2"/>
      </rPr>
      <t xml:space="preserve"> se tuvo en cuenta para los productos de panadería los precios suministrados por la Dirección de Nutrición Y Abastecimiento viabilizados según correo enviado el miércoles 5 de junio de 2024.  este proceso se encuentra detallado en la hoja </t>
    </r>
    <r>
      <rPr>
        <b/>
        <sz val="12"/>
        <color theme="1"/>
        <rFont val="Arial Narrow"/>
        <family val="2"/>
      </rPr>
      <t>"INDEXACION DE PRODUCTOS MES A MES"</t>
    </r>
    <r>
      <rPr>
        <sz val="12"/>
        <color theme="1"/>
        <rFont val="Arial Narrow"/>
        <family val="2"/>
      </rPr>
      <t xml:space="preserve"> del estudio de mercado, y para los productos viabilizados en el 2024 se tomo la información de los memorandos expedidos en este año. Para el 2025 se incrementó un 3% con respecto al precio del 2024.</t>
    </r>
  </si>
  <si>
    <t xml:space="preserve">Nota 19 Reconocimiento del Inmueble; se encuentran viabilizados por la Subdirección de Diseño, Evaluación y Sistematización de la Secretaría Distrital de Integración Social - SDIS con los memorandos No.   I2024014734 del 29/05/2024 el calculo se realización la fórmula  "Valor unitario cupo día x cupos x días". Para el 2025 se incrementó un 3% con respecto al precio del 2024. </t>
  </si>
  <si>
    <t>Nota 20 Mantenimiento del Inmueble; se encuentran viabilizados por la Subdirección de Diseño, Evaluación y Sistematización de la Secretaría Distrital de Integración Social - SDIS con los memorandos No.   I2024014734 del 29/05/2024 el calculo se realización la fórmula  "Valor unitario cupo día x cupos x días". Para el 2025 se incrementó un 3% con respecto al precio del 2024.</t>
  </si>
  <si>
    <t>Nota 21 Servicios Públicos: Para el caso de los servicios Públicos, Energía, Acueducto, gas, aseo, telefonía e internet se encuentra viabilizado por la Subdirección de Diseño, Evaluación y Sistematización de la Secretaría Distrital de Integración Social - SDIS con los memorandos No.   I2024014734 del 29/05/2024, este se toma como un costo variable por tanto la formula para el calculo en la estructura es la siguiente: Valor unitario cupo día x cupos x días calendario" Para el 2025 se incrementó un 3% con respecto al precio del 2024.</t>
  </si>
  <si>
    <r>
      <t>Nota 22: EL Incremento del IPC para la Vigencias 2025</t>
    </r>
    <r>
      <rPr>
        <sz val="12"/>
        <color theme="1"/>
        <rFont val="Arial Narrow"/>
        <family val="2"/>
      </rPr>
      <t>: Durante la ejecución del contrato para la vigencia 2025 Se tendrá en cuenta el IPC publicado por el Departamento Administrativo Nacional de Estadística DANE. Y la oferta comercial adjudicada. Para este cálculo se aplicará el valor de la diferencia sea por encima o por debajo sobre el porcentaje de incremento aplicado en la oferta comercial para la vigencia 2025. Como resultado se obtendrá unos nuevos precios de referencia para cada ítem, a excepción de talento humano y vigilancia medio Humano.</t>
    </r>
  </si>
  <si>
    <r>
      <t>Talento Humano- 2025</t>
    </r>
    <r>
      <rPr>
        <sz val="12"/>
        <color theme="1"/>
        <rFont val="Arial Narrow"/>
        <family val="2"/>
      </rPr>
      <t xml:space="preserve"> se hará teniendo en cuenta la oferta comercial adjudicada y el incremento de acuerdo con lo que se estipule en las actualizaciones de la resolución de honorarios respectiva, emitida por la SDIS o cualquier otro documento que expida la SDIS para el incremento del talento humano de convenios o contratos.</t>
    </r>
  </si>
  <si>
    <r>
      <t>Vigilancia - 2025</t>
    </r>
    <r>
      <rPr>
        <sz val="12"/>
        <color theme="1"/>
        <rFont val="Arial Narrow"/>
        <family val="2"/>
      </rPr>
      <t xml:space="preserve"> medio Humano: se hará teniendo en cuenta la circular que expida la superintendencia para el 2025.</t>
    </r>
  </si>
  <si>
    <t>Si por necesidades del servicio se requiere modificar el plazo del contrato después de la fecha de terminación, para los precios de referencia se tendrá en cuenta las reglas antes citadas.</t>
  </si>
  <si>
    <r>
      <t>Nota 23 Los costos fijos:</t>
    </r>
    <r>
      <rPr>
        <sz val="12"/>
        <color theme="1"/>
        <rFont val="Arial Narrow"/>
        <family val="2"/>
      </rPr>
      <t xml:space="preserve"> Se calculan sobre la base en meses de 30 días, independientemente que el mes a liquidar tenga 28, 29, 30 o 31 día y se reconocen a partir del cumplimiento de los requisitos del Anexo técnico, siempre y cuando, no superen el promedio establecido para el periodo de ejecución y cuenten con los soportes financieros y contables respectivos.</t>
    </r>
  </si>
  <si>
    <r>
      <t>Nota 24</t>
    </r>
    <r>
      <rPr>
        <sz val="12"/>
        <color theme="1"/>
        <rFont val="Arial Narrow"/>
        <family val="2"/>
      </rPr>
      <t xml:space="preserve"> </t>
    </r>
    <r>
      <rPr>
        <b/>
        <sz val="12"/>
        <color theme="1"/>
        <rFont val="Arial Narrow"/>
        <family val="2"/>
      </rPr>
      <t>Los costos variables</t>
    </r>
    <r>
      <rPr>
        <sz val="12"/>
        <color theme="1"/>
        <rFont val="Arial Narrow"/>
        <family val="2"/>
      </rPr>
      <t xml:space="preserve">: se calculan sobre la base de días calendario de acuerdo con la cobertura realmente atendida, estos deben contar con los soportes financieros y contables respectivos. </t>
    </r>
  </si>
  <si>
    <r>
      <t>Nota 25:</t>
    </r>
    <r>
      <rPr>
        <sz val="12"/>
        <color theme="1"/>
        <rFont val="Arial Narrow"/>
        <family val="2"/>
      </rPr>
      <t xml:space="preserve"> Teniendo en cuenta que los precios de referencia que se publican en SECOP “Oferta Económica” Identificados en las columnas como “valor unitario Cupo Dia 2024” y “valor unitario cupo día 2025” es el valor máximo por ítem para que el proponente presente su propuesta; por lo anterior de conformidad con su oferta económica el proponente debe diligenciar el Formato XXX donde indique para cada ítem de la estructura el porcentaje de menor o mayor valor frente al valor unitario mes 2024 y 2025.Porcentaje base para actualizar los precios del 2025.</t>
    </r>
  </si>
  <si>
    <t>CUPO 100</t>
  </si>
  <si>
    <t>VALOR UNITARIO CUPO DIA 2024</t>
  </si>
  <si>
    <t>VALOR  MENSUAL 2024</t>
  </si>
  <si>
    <t>VALOR UNITARIO CUPO DIA 2025</t>
  </si>
  <si>
    <t>VALOR  MENSUAL 2025</t>
  </si>
  <si>
    <t>VIGENCIA FUTURA (2025)</t>
  </si>
  <si>
    <t>SERVICIO COMUNIDADES DE VIDA</t>
  </si>
  <si>
    <t>LOTE 1 CUPOS 130</t>
  </si>
  <si>
    <t>Concepto</t>
  </si>
  <si>
    <t>VIGENCIA 2025</t>
  </si>
  <si>
    <t>TOTAL</t>
  </si>
  <si>
    <t>valor</t>
  </si>
  <si>
    <t>SMLMV</t>
  </si>
  <si>
    <t>LOTE 2 CUPOS 130</t>
  </si>
  <si>
    <t>LOTE 3 CUPOS 100</t>
  </si>
  <si>
    <t>TOTAL 3 LOTES</t>
  </si>
  <si>
    <t>COMUNIDADES DE VIDA</t>
  </si>
  <si>
    <t>ROL</t>
  </si>
  <si>
    <t>PERFIL ACADEMICO</t>
  </si>
  <si>
    <t>EXPERIENCIA LABORAL</t>
  </si>
  <si>
    <t>SUFICIENCIA</t>
  </si>
  <si>
    <t>TALENTO HUMANO SEGÚN ANEXO ACTUAL</t>
  </si>
  <si>
    <t>COBERTURA - CIUDADANAS (OS)</t>
  </si>
  <si>
    <t>DEDICACION</t>
  </si>
  <si>
    <t>Coordinador/a o Responsable</t>
  </si>
  <si>
    <t>Título profesional en ciencias sociales, ciencias humanas, ciencias políticas, ciencias de la educación, ciencias de la salud, ciencias económicas o ingenierías.</t>
  </si>
  <si>
    <t>Con experiencia profesional mínima de 24 meses, que incluya seis (6) meses de experiencia específica en actividades administrativas de coordinación o dirección de servicios sociales con población vulnerable</t>
  </si>
  <si>
    <t>1 por centro de atencion</t>
  </si>
  <si>
    <t>Tiempo completo</t>
  </si>
  <si>
    <t>Profesional en Enfermería</t>
  </si>
  <si>
    <t>NA</t>
  </si>
  <si>
    <t>Profesional Operativo</t>
  </si>
  <si>
    <t>Tecnico Operativo</t>
  </si>
  <si>
    <t>Deberá certificar formación técnica, tecnológica o seis (6) semestres de educación superior</t>
  </si>
  <si>
    <t>experiencia mínima de un año relacionada con las funciones</t>
  </si>
  <si>
    <t>Nutricionista Dietista</t>
  </si>
  <si>
    <t>Título profesional en nutrición y dietética</t>
  </si>
  <si>
    <t>Con experiencia profesional de seis (6) meses. 
Debe contar con carné de manipulación de alimentos vigente</t>
  </si>
  <si>
    <t>2 por centro de atencion</t>
  </si>
  <si>
    <t>Por producto </t>
  </si>
  <si>
    <t>Profesional en Psicología</t>
  </si>
  <si>
    <t>Título profesional en psicología</t>
  </si>
  <si>
    <t>Con experiencia profesional mínima de un (1) año que incluya tres (3) meses en atención a población vulnerable</t>
  </si>
  <si>
    <t>1 x 26 ciudadanos (as)</t>
  </si>
  <si>
    <t>Técnico  Administrativo</t>
  </si>
  <si>
    <t>Título en formación técnica o tecnológica en gestión administrativa, en archivo, secretariado o carreras afines o seis (6) semestres de Educación Superior</t>
  </si>
  <si>
    <t>Experiencia laboral de un (1) año</t>
  </si>
  <si>
    <t>Terapeuta Ocupacional</t>
  </si>
  <si>
    <t>Título profesional en terapia ocupacional</t>
  </si>
  <si>
    <t>Un (1) año de experiencia profesional en atención a población vulnerable</t>
  </si>
  <si>
    <t>Terapeuta Físico</t>
  </si>
  <si>
    <t>Trabajador (a) Social</t>
  </si>
  <si>
    <t>Título profesional en trabajo social</t>
  </si>
  <si>
    <t>Educador Físico</t>
  </si>
  <si>
    <t>Título profesional en ciencias del deporte, educación física o en licenciatura relacionada con estas áreas</t>
  </si>
  <si>
    <t>Seis (6) meses de experiencia profesional</t>
  </si>
  <si>
    <t>1 x 65 ciudadanos (as)</t>
  </si>
  <si>
    <t>Profesional en pedagogía reeducador o licenciado en pedagogia</t>
  </si>
  <si>
    <t>Titulo profesional Pedagogía Reeducativa o Licenciatura en Pedagogía o Educación</t>
  </si>
  <si>
    <t>experiencia profesional mínima de un (1) año relacionado con las funciones u obligaciones.</t>
  </si>
  <si>
    <t>Profesional Atención y Seguimiento Casos de Violencia</t>
  </si>
  <si>
    <t>Auxiliar de enfermería</t>
  </si>
  <si>
    <t>Titulo Auxiliar de enfermería</t>
  </si>
  <si>
    <t xml:space="preserve">Con experiencia laboral de un (2) años </t>
  </si>
  <si>
    <t>1 x 35 ciudadanos (as)</t>
  </si>
  <si>
    <t>Tallerista</t>
  </si>
  <si>
    <t>Título de formación técnica o tecnológica o seis (6) semestres aprobados de educación superior en ciencias de la educación o las bellas artes, que estén relacionadas con el taller a dictar</t>
  </si>
  <si>
    <t>1 x 40 ciudadanos (as)</t>
  </si>
  <si>
    <t>Promotores (as) Social</t>
  </si>
  <si>
    <t xml:space="preserve">Formación técnica o tecnológica o seis (6) semestres aprobados de educación superior en cualquier núcleo básico del conocimiento </t>
  </si>
  <si>
    <t xml:space="preserve">Experiencia laboral de dos (2) años </t>
  </si>
  <si>
    <t>5 x 33 ciudadanos (as)</t>
  </si>
  <si>
    <t xml:space="preserve">Tiempo completo 
- trabaja por 
turnos
</t>
  </si>
  <si>
    <t>digitadores (as) SIRBE</t>
  </si>
  <si>
    <t>Técnico(a) o tecnólogo(a) ambiental</t>
  </si>
  <si>
    <t>Con título técnico o tecnológico profesional en manejo o gestión ambiental</t>
  </si>
  <si>
    <t xml:space="preserve">Experiencia laboral de un (1) año, relacionada con las obligaciones o funciones. </t>
  </si>
  <si>
    <t>Auxiliar de Lavandería</t>
  </si>
  <si>
    <t>Título de bachiller</t>
  </si>
  <si>
    <t xml:space="preserve">experiencia laboral relacionada de seis (6) meses. </t>
  </si>
  <si>
    <t>1  x 65 ciudadanos (as)</t>
  </si>
  <si>
    <t>Técnico(a) o tecnólogo(a) en alimentos</t>
  </si>
  <si>
    <t>Profesional en alimentos o en control de calidad en alimentos. Con experiencia laboral de un (1) año.  </t>
  </si>
  <si>
    <t xml:space="preserve">Experiencia Laboral de un (1) año debe presentar carnet de manipulador de alimentos </t>
  </si>
  <si>
    <t>Auxiliar de Mantenimiento</t>
  </si>
  <si>
    <t>Título de bachiller, de no contar con este, es indispensable que esté cursando el bachillerato en el momento de la contratación</t>
  </si>
  <si>
    <t xml:space="preserve">"Si cuenta con título de bachiller, experiencia laboral de seis (6) meses relacionada con las funciones u obligaciones del contrato
Si no cuenta con título de bachiller, experiencia laboral de un (1) año, relacionada con las funciones u obligaciones del contrato"
</t>
  </si>
  <si>
    <t>Servicios Generales</t>
  </si>
  <si>
    <t>1  x 22 ciudadanos (as)</t>
  </si>
  <si>
    <t>Auxiliar de Gestión Documental</t>
  </si>
  <si>
    <t>Debe contar con título de bachiller</t>
  </si>
  <si>
    <t xml:space="preserve">experiencia laboral de un (1) año, relacionada con el manejo de gestión documental. </t>
  </si>
  <si>
    <t>Manipulador de alimentos</t>
  </si>
  <si>
    <t xml:space="preserve">Si cuenta con título de bachiller, experiencia laboral de seis (6) meses relacionada con las funciones u obligaciones del contrato 
Si no cuenta con título de bachiller, experiencia laboral de un (1) año, relacionada con las funciones u obligaciones del contrato
Se debe presentar carnet de manipulación de alimentos, examen de frotis de garganta y examen de manos y uña
</t>
  </si>
  <si>
    <t>2 x 33 ciudadanos (as)</t>
  </si>
  <si>
    <t>Talento Humano</t>
  </si>
  <si>
    <t>La definicion de salario para el Talento Humano se toma con base a la resolucion de honorarios No. 030 del 5 de enero de 2024 expedida por la Secretaria Distrital de Integracion Social SDIS. Se caccula con la formula "Valor unitario cupo día x cupos x días"</t>
  </si>
  <si>
    <t>Los ajustes de salario se proyectarón con incremento del IPC, para las vigencias 2025, 2026 y durante la vigencia del contrato  se realizarán tomando la base  de la vigencia anterior, multiplicándolo por el porcentaje de IPC, que corresponde a cada año y este resultado se compara con la oferta económica presentada para la vigencia, está diferencia corresponderá al ajuste a realizar, sea por encima o por debajo, para la proyección del incremento de las vigencias futuras se realizo el análisis del comportamiento del IPC mensual desde el mes de enero del año 2020 al mes de abril del  año 2024 dando como resultado un índice del 7.04%, esto tomando como base el histórico de IPC del banco de la republica</t>
  </si>
  <si>
    <t>100 cupos</t>
  </si>
  <si>
    <t>130 cupos</t>
  </si>
  <si>
    <t>CARGO</t>
  </si>
  <si>
    <t>EXPERIENCIA</t>
  </si>
  <si>
    <t>VALORES UNITARIOS MENSUALES 2024</t>
  </si>
  <si>
    <t xml:space="preserve">Cobertura </t>
  </si>
  <si>
    <t xml:space="preserve">VALORES UNITARIOS MENSUALES  </t>
  </si>
  <si>
    <t>VALOR UNITARIO  DIA</t>
  </si>
  <si>
    <t>VALOR UNITARIO CUPO DIA</t>
  </si>
  <si>
    <t>VALOR UNITARIO DIA</t>
  </si>
  <si>
    <t>Título profesional en ciencias de la educación o ciencias económicas o ciencias de la salud o ciencias sociales o ingenierías</t>
  </si>
  <si>
    <t xml:space="preserve">Deberá certificar formación técnica, tecnológica o seis (6) semestres de educación superior, con experiencia mínima de un año relacionada con las funciones u obligaciones
</t>
  </si>
  <si>
    <t>Con experiencia profesional mínima de un (1) año en atención a población vulnerable</t>
  </si>
  <si>
    <t>Con experiencia profesional de seis (6) meses. Debe contar con carné de manipulación de alimentos vigente</t>
  </si>
  <si>
    <t>Con experiencia laboral de un (1) año.</t>
  </si>
  <si>
    <t>Con experiencia profesional de tres (3) meses en atención a población vulnerable</t>
  </si>
  <si>
    <t>Profesional en atención y seguimiento casos de violencia</t>
  </si>
  <si>
    <t xml:space="preserve">Título Profesional en derecho o título Profesional en ciencias sociales o ciencias humanas o ciencias políticas o ciencias de la educación o ciencias de la salud.                                                                                                                      Dos (2) Años de experiencia especifica en asistencia o acompañamiento o seguimiento o trabajo con población vulnerable o con mujeres.
</t>
  </si>
  <si>
    <t xml:space="preserve">Con experiencia laboral de un (1) años </t>
  </si>
  <si>
    <t xml:space="preserve">Experiencia Laboral de un (1) año </t>
  </si>
  <si>
    <t>Deberá certificar formación profesional Pedagogía Reeducativa o Licenciatura en Pedagogía o Educación y experiencia profesional mínima de un (1) año relacionado con las 
funciones u obligaciones</t>
  </si>
  <si>
    <t xml:space="preserve">Experiencia Laboral de seis (6) meses </t>
  </si>
  <si>
    <t>Promotor Social (12 meses)</t>
  </si>
  <si>
    <t>Con experiencia laboral de un (1) año</t>
  </si>
  <si>
    <t>Técnico en Gestión Documental y Archivo</t>
  </si>
  <si>
    <t>Técnico 6 meses</t>
  </si>
  <si>
    <t>Si cuenta con título de bachiller, experiencia laboral de seis (6) meses relacionada con las funciones u obligaciones del contrato. Si no cuenta con título de bachiller, experiencia laboral de un (1) año, relacionada con las funciones u obligaciones del contrato</t>
  </si>
  <si>
    <t>Si cuenta con título de bachiller, experiencia laboral de seis (6) meses relacionada con las funciones u obligaciones del contrato.  Si no cuenta con título de bachiller, experiencia laboral de un (1) año, relacionada con las funciones u obligaciones del contrato</t>
  </si>
  <si>
    <t>Si cuenta con título de bachiller, experiencia laboral de seis (6) meses relacionada con las funciones u obligaciones del contrato, Si no cuenta con título de bachiller, experiencia laboral de un (1) año, relacionada con las funciones u obligaciones del contrato</t>
  </si>
  <si>
    <t>Si cuenta con título de bachiller, experiencia laboral de seis (6) meses relacionada con las funciones u obligaciones del contrato. Si no cuenta con título de bachiller, experiencia laboral de un (1) año, relacionada con las funciones u obligaciones del contrato. Se debe presentar carnet de manipulación de alimentos, examen de frotis de garganta y examen de manos y uñas</t>
  </si>
  <si>
    <t>variación por año profesional</t>
  </si>
  <si>
    <t>2 años</t>
  </si>
  <si>
    <t>coordinador</t>
  </si>
  <si>
    <t>1 años</t>
  </si>
  <si>
    <t>profesional</t>
  </si>
  <si>
    <t>0 años</t>
  </si>
  <si>
    <t>variación por año técnico</t>
  </si>
  <si>
    <t>3 años</t>
  </si>
  <si>
    <t>6 meses</t>
  </si>
  <si>
    <t>tecnico</t>
  </si>
  <si>
    <t>variación por año bachiller</t>
  </si>
  <si>
    <t>1,5 años</t>
  </si>
  <si>
    <t>auxiliar</t>
  </si>
  <si>
    <t>Dotación talento Humano</t>
  </si>
  <si>
    <t xml:space="preserve">Este ítem se encuentra  viabilizado por la Subdirección de Diseño, Evaluación y sistematización de la Secretaría Distrital de Integración Social - SDIS a través de los Memorandos  No. I2023004856 del 17/02/2024; I2023008278 del 17/03/2024; I2024004413 del 16/02/20024; I2024014734 del 29/05/2024. con las condiciones que se especifican  a continuación, el cálculo se realiza con la formula "Valor unitario cupo día x cupos x días" </t>
  </si>
  <si>
    <t>ENTREGA</t>
  </si>
  <si>
    <t>CANTIDAD VIGENCIA</t>
  </si>
  <si>
    <t>%IPC ACUMULADO MES A MES</t>
  </si>
  <si>
    <t>VALOR UNITARIO MAS IVA 2024</t>
  </si>
  <si>
    <t>IVA</t>
  </si>
  <si>
    <t>VALOR BASE</t>
  </si>
  <si>
    <t>Desgaste Dotación por mes</t>
  </si>
  <si>
    <t xml:space="preserve">Desgaste mensual </t>
  </si>
  <si>
    <t>subtotal desgaste</t>
  </si>
  <si>
    <t>CUPOS</t>
  </si>
  <si>
    <t>Uno (1) por Rol</t>
  </si>
  <si>
    <t>Tres (3) trajes para cada rol.</t>
  </si>
  <si>
    <t>Dos (2) por rol</t>
  </si>
  <si>
    <t>Tres (3) por rol</t>
  </si>
  <si>
    <t xml:space="preserve"> Botas blancas de caucho</t>
  </si>
  <si>
    <t>CAJA X 100</t>
  </si>
  <si>
    <t>VALOR MES POR CENTRO</t>
  </si>
  <si>
    <t>VALOR X CUPO MES</t>
  </si>
  <si>
    <t>vr * cupo dia</t>
  </si>
  <si>
    <t>Servicio de vigilancia</t>
  </si>
  <si>
    <t>De conformidad con la circular externa No. 20231300001105 del 30 de diciembre del 2023 emitida por la Superintendencia de Vigilancia y memorando de la Subdirección Administrativa y Financiera No. I2024000033 del 02 de enero de 2024, para la prestación de este servicio se requiere que la empresa de vigilancia se contrate de la siguiente manera:   Se debe garantizar un servicio de 24 horas los siete días de la semana, comunicación permanente con la central de operaciones, dos guardas de seguridad debidamente uniformados, entrenados y capacitados, sin armas (1 guarda en puesto fijo y un guarda en recorrido por el centro de atención). De igual manera, supervisión permanente del personal que ingresa y sale del servicio. Debe contar  con Circuito cerrado de televisión con cámaras dentro del espacio funcional cubriendo las diferentes áreas que requieran vigilancia permanente, asegurando la cobertura total del centro de atención. El CCTV, debe tener las siguientes especificaciones técnicas mínimas: tecnología digital tríplex, de alta definición, grabación en tiempo real, almacenamiento digital de 180 días calendario.  Se calcula con la formula  "Valor unitario cupo día x cupos x días". Esta se calculara de acuerdo con  cada periodo como se especifíca en la circular, del 1 de octubre de 2024 al 31 de diciembre de 2024, del 1 de enero de 2025 al  14 de Julio de 2025, del 15 de julio al 31 de Diciembre de 2025, y del 1 de enero de 2026 al 30 de junio de 2026, teniendo en cuienta las Circulares que sean expedidas en su momento para los años 2025 y 2026.</t>
  </si>
  <si>
    <t>Para efectos de presupuesto se calculo con un incremento del ipc proyectado para las vigencias 2025, 2026 y durante la vigencia del contrato  tomando la base  de la vigencia anterior, multiplicándolo por el porcentaje de IPC, que corresponde a cada año y este resultado se compara con la oferta económica presentada para la vigencia, está diferencia corresponderá al ajuste a realizar, sea por encima o por debajo, para la proyección del incremento de las vigencias futuras se realizo el análisis del comportamiento del IPC mensual desde el mes de enero del año 2020 al mes de abril del  año 2024 dando como resultado un índice del 7.04%, esto tomando como base el histórico de IPC del banco de la republica</t>
  </si>
  <si>
    <t>La Vigilancia con Medio tecnológico se encuentran viabilizados por la Subdirección de Diseño, Evaluación y sistematización de la Secretaría Distrital de Integración Social - SDIS a través de Memorando número I2024004948 del 22 de Abril de 2024 emitido por la y se calcula con la siguiente fórmula "Valor unitario cupo día x cupos x días"</t>
  </si>
  <si>
    <t>VIGILANCIA MEDIO HUMANO</t>
  </si>
  <si>
    <t>Modalidad</t>
  </si>
  <si>
    <t>periodo</t>
  </si>
  <si>
    <t>Tarifa Supervigilancia</t>
  </si>
  <si>
    <t>Valor mensual prima de seguro</t>
  </si>
  <si>
    <t>subtotal</t>
  </si>
  <si>
    <t>Valor gastos de admón..</t>
  </si>
  <si>
    <t>Valor gastos de Admón.. de supervisión</t>
  </si>
  <si>
    <t>Valor total mas admón..</t>
  </si>
  <si>
    <t>El 10% de la tarifa total AIU</t>
  </si>
  <si>
    <t>Calculo del 19% del AIU</t>
  </si>
  <si>
    <t>Tarifa Plena mes</t>
  </si>
  <si>
    <t>Cantidad</t>
  </si>
  <si>
    <t>total mensual</t>
  </si>
  <si>
    <t>Valor dia</t>
  </si>
  <si>
    <t>Valor cupo dia (100 cupos)</t>
  </si>
  <si>
    <t>Valor cupo dia (130 cupos)</t>
  </si>
  <si>
    <t>Medio Humano sin Arma</t>
  </si>
  <si>
    <t>24 horas 30 dias al mes</t>
  </si>
  <si>
    <t>Costo directo (9.06) del 1 enero al 14 julio de 2024</t>
  </si>
  <si>
    <t>Costo directo (9.06) del 15 de julio al 31 de diciembre de 2024</t>
  </si>
  <si>
    <t>Diario</t>
  </si>
  <si>
    <t>DESCRIPCIÓN</t>
  </si>
  <si>
    <t>VALOR UNITARIO MENSUAL MAS IVA SEGÚN MEMORANDO DE VIABILIZACION</t>
  </si>
  <si>
    <t>INDEXACIÓN</t>
  </si>
  <si>
    <t>Vr sin IVA</t>
  </si>
  <si>
    <t>SUBTOTAL MENSUAL</t>
  </si>
  <si>
    <t>RECURSO HUMANO</t>
  </si>
  <si>
    <t>VIGILANCIA + TARIFA ADMINISTRACION Y SUPERVISION+AIU</t>
  </si>
  <si>
    <t>Sistema con 16 cámaras</t>
  </si>
  <si>
    <t>Características mínimas:  Tecnología digital tríplex.  De alta definición. v Grabación en tiempo real. v Almacenamiento digital de 180 días calendario. v Cámaras a color, lentes entre 6 y 10mm según la necesidad, auto iris, sensibilidad adecuada para visión nocturna o con emisores infrarrojos. Los equipos que se usen en exteriores deberán tener la protección adecuada en sus contenedores. NOTA: Se requiere que se realice Back ups del almacenamiento digital cada 180 días con el fin de garantizar custodia y almacenamiento de una copia de seguridad de las video grabaciones.</t>
  </si>
  <si>
    <t>día</t>
  </si>
  <si>
    <t>cupo dia</t>
  </si>
  <si>
    <t>VALOR X CUPO 130 CUPOS</t>
  </si>
  <si>
    <t>VALOR X CUPO 100 CUPOS</t>
  </si>
  <si>
    <t>Servicio de Transporte</t>
  </si>
  <si>
    <t>Este ítem se encuentra  viabilizado por la Subdirección de Diseño, Evaluación y sistematización de la Secretaría Distrital de Integración Social - SDIS a través de Memorando  No. I2024014734 del 29/05/2024. con las condiciones que se especifican  a continuación, el cálculo se realiza con la formula "Valor unitario cupo día x cupos x días" donde por cantidad se toma como un (1) servicio integral de transporte(incluido el conductor)</t>
  </si>
  <si>
    <t>Cod</t>
  </si>
  <si>
    <t>RADNo.VIABILIZADO</t>
  </si>
  <si>
    <t>VALOR UNITARIO 2024</t>
  </si>
  <si>
    <t>SUBTOTAL</t>
  </si>
  <si>
    <t>viabilizado año</t>
  </si>
  <si>
    <t>VAN</t>
  </si>
  <si>
    <t xml:space="preserve">van para servicio público, modelo 2013 en adelante, acorde a lo establecido por la Secretaría Distrital de Integración Social, con capacidad para mínimo 19 pasajeros turno 24 horas diarias de Domingo a Domingo </t>
  </si>
  <si>
    <t>Por vehículo</t>
  </si>
  <si>
    <t>van para servicio público, modelo 2013 en adelante, acorde a lo establecido por la Secretaría Distrital de Integración Social, con capacidad para mínimo 19 pasajeros turno 12  horas diarias de Domingo a Domingo.</t>
  </si>
  <si>
    <t>valor mes X centro</t>
  </si>
  <si>
    <t>Valor x Dia 130</t>
  </si>
  <si>
    <t>vr * cupo día</t>
  </si>
  <si>
    <t xml:space="preserve">  </t>
  </si>
  <si>
    <t>Valor x dia 100</t>
  </si>
  <si>
    <r>
      <rPr>
        <b/>
        <sz val="9"/>
        <rFont val="Arial"/>
        <family val="2"/>
      </rPr>
      <t>REQUERIMIENTO</t>
    </r>
  </si>
  <si>
    <r>
      <rPr>
        <b/>
        <sz val="9"/>
        <rFont val="Arial"/>
        <family val="2"/>
      </rPr>
      <t>REQUISITOS</t>
    </r>
  </si>
  <si>
    <r>
      <rPr>
        <b/>
        <sz val="9"/>
        <rFont val="Arial"/>
        <family val="2"/>
      </rPr>
      <t>DOTACIÓN DEL ÁREA</t>
    </r>
  </si>
  <si>
    <t>CANTIDADES REQUERIDAS</t>
  </si>
  <si>
    <r>
      <rPr>
        <b/>
        <sz val="9"/>
        <rFont val="Arial"/>
        <family val="2"/>
      </rPr>
      <t>OBSERVACIÓN</t>
    </r>
  </si>
  <si>
    <t>cupos ciudadanos</t>
  </si>
  <si>
    <r>
      <rPr>
        <sz val="9"/>
        <rFont val="Arial MT"/>
        <family val="2"/>
      </rPr>
      <t>Área para el ingreso, sala de espera, identificación y registro</t>
    </r>
  </si>
  <si>
    <r>
      <rPr>
        <sz val="9"/>
        <rFont val="Arial MT"/>
        <family val="2"/>
      </rPr>
      <t xml:space="preserve">Un (1) área para el ingreso, sala de espera, identificación y registro.
</t>
    </r>
    <r>
      <rPr>
        <sz val="9"/>
        <rFont val="Arial MT"/>
        <family val="2"/>
      </rPr>
      <t>Esta área también se puede destinar para la atención psicosocial</t>
    </r>
  </si>
  <si>
    <t xml:space="preserve">escritorio
</t>
  </si>
  <si>
    <t xml:space="preserve"> 1 silla de oficina</t>
  </si>
  <si>
    <t>computador de escritorio</t>
  </si>
  <si>
    <t>sillas plásticas lavables</t>
  </si>
  <si>
    <r>
      <rPr>
        <sz val="9"/>
        <rFont val="Arial MT"/>
        <family val="2"/>
      </rPr>
      <t>Área para la coordinación administrativa</t>
    </r>
  </si>
  <si>
    <r>
      <rPr>
        <sz val="9"/>
        <rFont val="Arial MT"/>
        <family val="2"/>
      </rPr>
      <t>Un (1) área para el manejo administrativo de la unidad operativa, que comprende las actividades operativas, de dirección y administración</t>
    </r>
  </si>
  <si>
    <t xml:space="preserve">escritorios
</t>
  </si>
  <si>
    <t>sillas ergonómicas</t>
  </si>
  <si>
    <t>archivadores</t>
  </si>
  <si>
    <t>computador de escritorio con conexión a internet, debe tener acceso a SIRBE</t>
  </si>
  <si>
    <t>impresora láser</t>
  </si>
  <si>
    <t>escaner</t>
  </si>
  <si>
    <t>teléfono fijo o celular</t>
  </si>
  <si>
    <r>
      <rPr>
        <sz val="9"/>
        <rFont val="Arial MT"/>
        <family val="2"/>
      </rPr>
      <t>Área para oficina de talento humano</t>
    </r>
  </si>
  <si>
    <r>
      <rPr>
        <sz val="9"/>
        <rFont val="Arial MT"/>
        <family val="2"/>
      </rPr>
      <t>Un (1) área para el equipo de trabajo (profesionales y promotores sociales)</t>
    </r>
  </si>
  <si>
    <t xml:space="preserve">6 escritorios
</t>
  </si>
  <si>
    <t>6 sillas ergonómicas</t>
  </si>
  <si>
    <t>12 sillas plásticas lavables</t>
  </si>
  <si>
    <t>3 archivadores</t>
  </si>
  <si>
    <t>4 computadores fijos con conexión a internet</t>
  </si>
  <si>
    <r>
      <rPr>
        <sz val="9"/>
        <rFont val="Arial MT"/>
        <family val="2"/>
      </rPr>
      <t>Área para el alistamiento del talento humano y guardado de pertenencias</t>
    </r>
  </si>
  <si>
    <r>
      <rPr>
        <sz val="9"/>
        <rFont val="Arial MT"/>
        <family val="2"/>
      </rPr>
      <t xml:space="preserve">Un (1) área para el alistamiento del talento humano y guardado de pertenencias.
</t>
    </r>
    <r>
      <rPr>
        <sz val="9"/>
        <rFont val="Arial MT"/>
        <family val="2"/>
      </rPr>
      <t>Debe ser un espacio cerrado</t>
    </r>
  </si>
  <si>
    <r>
      <rPr>
        <sz val="9"/>
        <rFont val="Arial MT"/>
        <family val="2"/>
      </rPr>
      <t>Mínimo 10 lockers dobles metálicos y/o plásticos</t>
    </r>
  </si>
  <si>
    <r>
      <rPr>
        <sz val="9"/>
        <rFont val="Arial MT"/>
        <family val="2"/>
      </rPr>
      <t>Área de primeros auxilios</t>
    </r>
  </si>
  <si>
    <r>
      <rPr>
        <sz val="9"/>
        <rFont val="Arial MT"/>
        <family val="2"/>
      </rPr>
      <t xml:space="preserve">Un (1) área de mínimo 10 m2.
</t>
    </r>
    <r>
      <rPr>
        <sz val="9"/>
        <rFont val="Arial MT"/>
        <family val="2"/>
      </rPr>
      <t>En esta área se toman las medidas antropométricas por parte de la nutricionista de la comunidad de vida</t>
    </r>
  </si>
  <si>
    <t xml:space="preserve">Área de mínimo 10 m2, con: 1 escritorio
</t>
  </si>
  <si>
    <t>1 computador de escritorio con conexión internet</t>
  </si>
  <si>
    <t>2 vitrinas para medicamentos, cada una de mínimo 8 compartimientos, entre cajones y entrepaños</t>
  </si>
  <si>
    <t>1 botiquín tipo A fijo</t>
  </si>
  <si>
    <t>1 botiquín tipo A portátil en lona, para salidas extramurales</t>
  </si>
  <si>
    <t>1 camilla médica no reclinable</t>
  </si>
  <si>
    <t>2 sillas plásticas lavables 1 silla de oficina</t>
  </si>
  <si>
    <t>1 lavamanos</t>
  </si>
  <si>
    <t>130 contenedores o recipientes herméticos con tapa en plástico, tamaño mediano, para el guardado de los medicamentos de cada participante.</t>
  </si>
  <si>
    <r>
      <rPr>
        <sz val="9"/>
        <rFont val="Arial MT"/>
        <family val="2"/>
      </rPr>
      <t>Áreas polifuncionales</t>
    </r>
  </si>
  <si>
    <r>
      <rPr>
        <sz val="9"/>
        <rFont val="Arial MT"/>
        <family val="2"/>
      </rPr>
      <t xml:space="preserve">Mínimo cinco (5) áreas, cada una con capacidad mínima para 20 personas.
</t>
    </r>
    <r>
      <rPr>
        <sz val="9"/>
        <rFont val="Arial MT"/>
        <family val="2"/>
      </rPr>
      <t>Estas áreas deben ser adecuadas para la realización de las actividades de formación artística, cultural y motivacional para el desarrollo de habilidades, capacidades y competencias de los participantes, así mismo, para el desarrollo de actividades de terapia complementaria</t>
    </r>
  </si>
  <si>
    <t xml:space="preserve">
En estas áreas deben distribuirse  sillas plásticas lavables
</t>
  </si>
  <si>
    <t>22 mesas de 6 puestos cada una</t>
  </si>
  <si>
    <t>2 televisores distribuidos en 2 de las áreas</t>
  </si>
  <si>
    <t>2 reproductores de DVD distribuidos con los televisores</t>
  </si>
  <si>
    <t>2 cabinas de sonido distribuidos con los televisores</t>
  </si>
  <si>
    <t>1 proyector video beam distribuido en 1 de las áreas 5 tableros acrílicos</t>
  </si>
  <si>
    <t>2 tableros de corcho</t>
  </si>
  <si>
    <t>25 colchonetas densidas 3 cm, 1.90 m de largo x 50 cms de ancho</t>
  </si>
  <si>
    <r>
      <rPr>
        <sz val="9"/>
        <rFont val="Arial MT"/>
        <family val="2"/>
      </rPr>
      <t>Área para biblioteca</t>
    </r>
  </si>
  <si>
    <r>
      <rPr>
        <sz val="9"/>
        <rFont val="Arial MT"/>
        <family val="2"/>
      </rPr>
      <t>Un (1) área con capacidad para 24 personas</t>
    </r>
  </si>
  <si>
    <t xml:space="preserve">4 mesas de 6 puestos cada una
</t>
  </si>
  <si>
    <t>24 sillas plásticas lavables</t>
  </si>
  <si>
    <t xml:space="preserve"> 4 estantes metálicos para biblioteca, minimo con 3</t>
  </si>
  <si>
    <r>
      <rPr>
        <sz val="9"/>
        <rFont val="Arial MT"/>
        <family val="2"/>
      </rPr>
      <t>Área para dormitorios</t>
    </r>
  </si>
  <si>
    <r>
      <rPr>
        <sz val="9"/>
        <rFont val="Arial MT"/>
        <family val="2"/>
      </rPr>
      <t xml:space="preserve">Un (1) área mínima de 2.7 m2 por cama o camarote
</t>
    </r>
    <r>
      <rPr>
        <sz val="9"/>
        <rFont val="Arial MT"/>
        <family val="2"/>
      </rPr>
      <t xml:space="preserve">Esta área debe ser separada para hombres y mujeres y podrán ser individuales o colectivos.
</t>
    </r>
    <r>
      <rPr>
        <sz val="9"/>
        <rFont val="Arial MT"/>
        <family val="2"/>
      </rPr>
      <t>El área debe contemplar espacio para personas con silla de ruedas</t>
    </r>
  </si>
  <si>
    <r>
      <rPr>
        <sz val="9"/>
        <rFont val="Arial MT"/>
        <family val="2"/>
      </rPr>
      <t xml:space="preserve">Área mínima de 2.7 m2 por cama o camarote.
</t>
    </r>
    <r>
      <rPr>
        <sz val="9"/>
        <rFont val="Arial MT"/>
        <family val="2"/>
      </rPr>
      <t>La dotación del área de dormitorios, se detalla en la tabla del numeral 6.3</t>
    </r>
  </si>
  <si>
    <r>
      <rPr>
        <sz val="9"/>
        <rFont val="Arial MT"/>
        <family val="2"/>
      </rPr>
      <t>Área de baños para el talento humano y las visitas</t>
    </r>
  </si>
  <si>
    <r>
      <rPr>
        <sz val="9"/>
        <rFont val="Arial MT"/>
        <family val="2"/>
      </rPr>
      <t xml:space="preserve">Un (1) área dotada de sanitarios y lavamanos para el uso de hombres
</t>
    </r>
    <r>
      <rPr>
        <sz val="9"/>
        <rFont val="Arial MT"/>
        <family val="2"/>
      </rPr>
      <t xml:space="preserve">Un (1) área dotada de sanitarios y lavamanos para el uso de mujeres
</t>
    </r>
    <r>
      <rPr>
        <sz val="9"/>
        <rFont val="Arial MT"/>
        <family val="2"/>
      </rPr>
      <t>Un (1) área dotada de sanitarios y lavamanos para el uso de visitas</t>
    </r>
  </si>
  <si>
    <r>
      <rPr>
        <sz val="9"/>
        <rFont val="Arial MT"/>
        <family val="2"/>
      </rPr>
      <t>Área de baños para los participantes</t>
    </r>
  </si>
  <si>
    <r>
      <rPr>
        <sz val="9"/>
        <rFont val="Arial MT"/>
        <family val="2"/>
      </rPr>
      <t>Una (1) unidad sanitaria con ducha (con suministro de agua caliente y fría), inodoro, orinal y lavamanos por cada 10 participantes.</t>
    </r>
  </si>
  <si>
    <r>
      <rPr>
        <sz val="9"/>
        <rFont val="Arial MT"/>
        <family val="2"/>
      </rPr>
      <t xml:space="preserve">Esta área debe garantizar privacidad para los participantes y seguridad para el personal de la unidad operativa a través del control visual e independencia para
</t>
    </r>
    <r>
      <rPr>
        <sz val="9"/>
        <rFont val="Arial MT"/>
        <family val="2"/>
      </rPr>
      <t>hombres y mujeres</t>
    </r>
  </si>
  <si>
    <r>
      <rPr>
        <sz val="9"/>
        <rFont val="Arial MT"/>
        <family val="2"/>
      </rPr>
      <t>Área de baño para personas con discapacidad</t>
    </r>
  </si>
  <si>
    <r>
      <rPr>
        <sz val="9"/>
        <rFont val="Arial MT"/>
        <family val="2"/>
      </rPr>
      <t xml:space="preserve">Una (1) unidad sanitaria que cumpla con los requerimientos establecidos
</t>
    </r>
    <r>
      <rPr>
        <sz val="9"/>
        <rFont val="Arial MT"/>
        <family val="2"/>
      </rPr>
      <t>en la norma para personas con discapacidad</t>
    </r>
  </si>
  <si>
    <r>
      <rPr>
        <sz val="9"/>
        <rFont val="Arial MT"/>
        <family val="2"/>
      </rPr>
      <t>Área del servicio de alimentación</t>
    </r>
  </si>
  <si>
    <r>
      <rPr>
        <sz val="9"/>
        <rFont val="Arial MT"/>
        <family val="2"/>
      </rPr>
      <t xml:space="preserve">Un (1) área con las siguientes características:
</t>
    </r>
    <r>
      <rPr>
        <sz val="9"/>
        <rFont val="Arial MT"/>
        <family val="2"/>
      </rPr>
      <t xml:space="preserve">• Distribuida en cuatro (4) áreas básicas señalizadas así: área fría, área caliente, área para pre alistamiento de alimentos crudos y área para la higienización de la vajilla y utensilios.
</t>
    </r>
    <r>
      <rPr>
        <sz val="9"/>
        <rFont val="Arial MT"/>
        <family val="2"/>
      </rPr>
      <t xml:space="preserve">•  Con espacio de despensa para el almacenamiento de alimentos perecederos y no perecederos con capacidad acorde al volumen de preparación de alimentos, está ubicado cerca del servicio de alimentación y aislado del espacio de almacenamiento de
</t>
    </r>
    <r>
      <rPr>
        <sz val="9"/>
        <rFont val="Arial MT"/>
        <family val="2"/>
      </rPr>
      <t>elementos de aseo</t>
    </r>
  </si>
  <si>
    <r>
      <rPr>
        <sz val="9"/>
        <rFont val="Arial MT"/>
        <family val="2"/>
      </rPr>
      <t>Área de comedor</t>
    </r>
  </si>
  <si>
    <r>
      <rPr>
        <sz val="9"/>
        <rFont val="Arial MT"/>
        <family val="2"/>
      </rPr>
      <t>Mínimo un (1) área con capacidad suficiente para atender el 50% de los participantes simultáneamente por turno de alimentación</t>
    </r>
  </si>
  <si>
    <r>
      <rPr>
        <sz val="9"/>
        <rFont val="Arial MT"/>
        <family val="2"/>
      </rPr>
      <t xml:space="preserve">Dotada de sillas y mesas plásticas lavables, con capacidad suficiente para atender el 50% de los participantes simultáneamente por turno de
</t>
    </r>
    <r>
      <rPr>
        <sz val="9"/>
        <rFont val="Arial MT"/>
        <family val="2"/>
      </rPr>
      <t>alimentación</t>
    </r>
  </si>
  <si>
    <r>
      <rPr>
        <sz val="9"/>
        <rFont val="Arial MT"/>
        <family val="2"/>
      </rPr>
      <t>Área para el desarrollo de actividades lúdico - deportivas</t>
    </r>
  </si>
  <si>
    <r>
      <rPr>
        <sz val="9"/>
        <rFont val="Arial MT"/>
        <family val="2"/>
      </rPr>
      <t xml:space="preserve">Un (1) área adecuada para el desarrollo de actividades lúdico - deportivas.
</t>
    </r>
    <r>
      <rPr>
        <sz val="9"/>
        <rFont val="Arial MT"/>
        <family val="2"/>
      </rPr>
      <t>Esta área puede ser abierta o cerrada</t>
    </r>
  </si>
  <si>
    <r>
      <rPr>
        <sz val="9"/>
        <rFont val="Arial MT"/>
        <family val="2"/>
      </rPr>
      <t xml:space="preserve">Área de almacenamiento de elementos de
</t>
    </r>
    <r>
      <rPr>
        <sz val="9"/>
        <rFont val="Arial MT"/>
        <family val="2"/>
      </rPr>
      <t>papelería</t>
    </r>
  </si>
  <si>
    <r>
      <rPr>
        <sz val="9"/>
        <rFont val="Arial MT"/>
        <family val="2"/>
      </rPr>
      <t>Un (1) área para el almacenamiento de elementos de papelería</t>
    </r>
  </si>
  <si>
    <r>
      <rPr>
        <sz val="9"/>
        <rFont val="Arial MT"/>
        <family val="2"/>
      </rPr>
      <t>4 estantes metálicos</t>
    </r>
  </si>
  <si>
    <r>
      <rPr>
        <sz val="9"/>
        <rFont val="Arial MT"/>
        <family val="2"/>
      </rPr>
      <t>Área para gestión documental</t>
    </r>
  </si>
  <si>
    <r>
      <rPr>
        <sz val="9"/>
        <rFont val="Arial MT"/>
        <family val="2"/>
      </rPr>
      <t xml:space="preserve">Un (1) área para la custodia de las historias sociales.
</t>
    </r>
    <r>
      <rPr>
        <sz val="9"/>
        <rFont val="Arial MT"/>
        <family val="2"/>
      </rPr>
      <t>Esta área debe garantizar que los documentos se almacenen y custodien con las condiciones establecidas por la Entidad para la conservación documental, así mismo, debe ser de acceso restringido a los participantes y personal no autorizado</t>
    </r>
  </si>
  <si>
    <r>
      <rPr>
        <sz val="9"/>
        <rFont val="Arial MT"/>
        <family val="2"/>
      </rPr>
      <t xml:space="preserve">2 estantes metálicos con mínimo 5 entrepaños y capacidad para la custodia de mínimo 20 cajas X-200, cada uno
</t>
    </r>
    <r>
      <rPr>
        <sz val="9"/>
        <rFont val="Arial MT"/>
        <family val="2"/>
      </rPr>
      <t xml:space="preserve">1 escritorio
</t>
    </r>
    <r>
      <rPr>
        <sz val="9"/>
        <rFont val="Arial MT"/>
        <family val="2"/>
      </rPr>
      <t>1 silla de oficina</t>
    </r>
  </si>
  <si>
    <r>
      <rPr>
        <sz val="9"/>
        <rFont val="Arial MT"/>
        <family val="2"/>
      </rPr>
      <t>Área de almacenamiento de elementos de aseo personal</t>
    </r>
  </si>
  <si>
    <r>
      <rPr>
        <sz val="9"/>
        <rFont val="Arial MT"/>
        <family val="2"/>
      </rPr>
      <t xml:space="preserve">Un (1) área para el almacenamiento de los elementos de aseo personal de los participantes.
</t>
    </r>
    <r>
      <rPr>
        <sz val="9"/>
        <rFont val="Arial MT"/>
        <family val="2"/>
      </rPr>
      <t xml:space="preserve">Esta área debe ser independiente y alejada del servicio de alimentación y de acceso restringido para los participantes y personal
</t>
    </r>
    <r>
      <rPr>
        <sz val="9"/>
        <rFont val="Arial MT"/>
        <family val="2"/>
      </rPr>
      <t>no autorizado</t>
    </r>
  </si>
  <si>
    <r>
      <rPr>
        <sz val="9"/>
        <rFont val="Arial MT"/>
        <family val="2"/>
      </rPr>
      <t>3 estantes metálicos</t>
    </r>
  </si>
  <si>
    <r>
      <rPr>
        <sz val="9"/>
        <rFont val="Arial MT"/>
        <family val="2"/>
      </rPr>
      <t>Área de almacenamiento de elementos de aseo institucional</t>
    </r>
  </si>
  <si>
    <r>
      <rPr>
        <sz val="9"/>
        <rFont val="Arial MT"/>
        <family val="2"/>
      </rPr>
      <t xml:space="preserve">Un (1) área para el almacenamiento de los elementos de aseo institucional.
</t>
    </r>
    <r>
      <rPr>
        <sz val="9"/>
        <rFont val="Arial MT"/>
        <family val="2"/>
      </rPr>
      <t xml:space="preserve">Esta área debe ser independiente y alejada del servicio de alimentación y de acceso restringido para los participantes y personal
</t>
    </r>
    <r>
      <rPr>
        <sz val="9"/>
        <rFont val="Arial MT"/>
        <family val="2"/>
      </rPr>
      <t>no autorizado</t>
    </r>
  </si>
  <si>
    <r>
      <rPr>
        <sz val="9"/>
        <rFont val="Arial MT"/>
        <family val="2"/>
      </rPr>
      <t>Área de lavandería</t>
    </r>
  </si>
  <si>
    <r>
      <rPr>
        <sz val="9"/>
        <rFont val="Arial MT"/>
        <family val="2"/>
      </rPr>
      <t xml:space="preserve">Un (1) área acondicionada para el lavado, con espacio de secado  y espacio de recepción y clasificación de
</t>
    </r>
    <r>
      <rPr>
        <sz val="9"/>
        <rFont val="Arial MT"/>
        <family val="2"/>
      </rPr>
      <t>ropa</t>
    </r>
  </si>
  <si>
    <r>
      <rPr>
        <sz val="9"/>
        <rFont val="Arial MT"/>
        <family val="2"/>
      </rPr>
      <t xml:space="preserve">Espacio de secado
</t>
    </r>
    <r>
      <rPr>
        <sz val="9"/>
        <rFont val="Arial MT"/>
        <family val="2"/>
      </rPr>
      <t>Espacio de recepción y clasificación de ropa</t>
    </r>
  </si>
  <si>
    <r>
      <rPr>
        <sz val="9"/>
        <rFont val="Arial MT"/>
        <family val="2"/>
      </rPr>
      <t>Área de lavado a mano</t>
    </r>
  </si>
  <si>
    <r>
      <rPr>
        <sz val="9"/>
        <rFont val="Arial MT"/>
        <family val="2"/>
      </rPr>
      <t>Un (1) área para el lavado a mano</t>
    </r>
  </si>
  <si>
    <r>
      <rPr>
        <sz val="9"/>
        <rFont val="Arial MT"/>
        <family val="2"/>
      </rPr>
      <t>4 lavaderos</t>
    </r>
  </si>
  <si>
    <r>
      <rPr>
        <sz val="9"/>
        <rFont val="Arial MT"/>
        <family val="2"/>
      </rPr>
      <t>Área de aseo institucional</t>
    </r>
  </si>
  <si>
    <r>
      <rPr>
        <sz val="9"/>
        <rFont val="Arial MT"/>
        <family val="2"/>
      </rPr>
      <t xml:space="preserve">Dos (2) áreas independientes de aseo institucional
</t>
    </r>
    <r>
      <rPr>
        <sz val="9"/>
        <rFont val="Arial MT"/>
        <family val="2"/>
      </rPr>
      <t xml:space="preserve">Área independiente, alejada del servicio de alimentación y de acceso restringido a los participantes y personal no
</t>
    </r>
    <r>
      <rPr>
        <sz val="9"/>
        <rFont val="Arial MT"/>
        <family val="2"/>
      </rPr>
      <t>autorizado</t>
    </r>
  </si>
  <si>
    <t xml:space="preserve">2 áreas independientes, de aseo institucional cada una dotada de:
Lavaderos para escobas, traperos y demás elementos de aseo
</t>
  </si>
  <si>
    <t>1 estante metálico</t>
  </si>
  <si>
    <t>3 percheros</t>
  </si>
  <si>
    <r>
      <rPr>
        <sz val="9"/>
        <rFont val="Arial MT"/>
        <family val="2"/>
      </rPr>
      <t xml:space="preserve">Área de alistamiento de personal de servicios generales y manipuladores de
</t>
    </r>
    <r>
      <rPr>
        <sz val="9"/>
        <rFont val="Arial MT"/>
        <family val="2"/>
      </rPr>
      <t>alimentos</t>
    </r>
  </si>
  <si>
    <r>
      <rPr>
        <sz val="9"/>
        <rFont val="Arial MT"/>
        <family val="2"/>
      </rPr>
      <t>Un (1) área alistamiento de personal de servicios generales y manipuladores de alimentos</t>
    </r>
  </si>
  <si>
    <r>
      <rPr>
        <sz val="9"/>
        <rFont val="Arial MT"/>
        <family val="2"/>
      </rPr>
      <t>6 lokers dobles metálicos para la ubicación de los elementos personales y cambio de ropa</t>
    </r>
  </si>
  <si>
    <r>
      <rPr>
        <sz val="9"/>
        <rFont val="Arial MT"/>
        <family val="2"/>
      </rPr>
      <t>Área de baños para el personal de servicios generales y manipuladores de alimentos</t>
    </r>
  </si>
  <si>
    <r>
      <rPr>
        <sz val="9"/>
        <rFont val="Arial MT"/>
        <family val="2"/>
      </rPr>
      <t xml:space="preserve">Un (1) área dotada de sanitarios y lavamanos para el uso de hombres
</t>
    </r>
    <r>
      <rPr>
        <sz val="9"/>
        <rFont val="Arial MT"/>
        <family val="2"/>
      </rPr>
      <t xml:space="preserve">Un (1) área dotada de sanitarios y lavamanos para
</t>
    </r>
    <r>
      <rPr>
        <sz val="9"/>
        <rFont val="Arial MT"/>
        <family val="2"/>
      </rPr>
      <t>el uso de mujeres</t>
    </r>
  </si>
  <si>
    <r>
      <rPr>
        <sz val="9"/>
        <rFont val="Arial MT"/>
        <family val="2"/>
      </rPr>
      <t>Área para actividades agrícolas</t>
    </r>
  </si>
  <si>
    <r>
      <rPr>
        <sz val="9"/>
        <rFont val="Arial MT"/>
        <family val="2"/>
      </rPr>
      <t xml:space="preserve">Si el área ofertada es rural, un (1) área mínima de 500 m2
</t>
    </r>
    <r>
      <rPr>
        <sz val="9"/>
        <rFont val="Arial MT"/>
        <family val="2"/>
      </rPr>
      <t xml:space="preserve">Si el área ofertada es urbana,  un (1) área mínima de 150 m2, con luz directa
</t>
    </r>
    <r>
      <rPr>
        <sz val="9"/>
        <rFont val="Arial MT"/>
        <family val="2"/>
      </rPr>
      <t>para huertos urbanos</t>
    </r>
  </si>
  <si>
    <r>
      <rPr>
        <sz val="9"/>
        <rFont val="Arial MT"/>
        <family val="2"/>
      </rPr>
      <t>Área para el almacenamiento de residuos</t>
    </r>
  </si>
  <si>
    <r>
      <rPr>
        <sz val="9"/>
        <rFont val="Arial MT"/>
        <family val="2"/>
      </rPr>
      <t xml:space="preserve">El área de almacenamiento de residuos debe cumplir con lo indicado en el
</t>
    </r>
    <r>
      <rPr>
        <sz val="9"/>
        <rFont val="Arial MT"/>
        <family val="2"/>
      </rPr>
      <t>Decreto 2981 de 2013 o la norma que lo sustituya</t>
    </r>
  </si>
  <si>
    <r>
      <rPr>
        <b/>
        <sz val="9"/>
        <rFont val="Times New Roman"/>
        <family val="1"/>
      </rPr>
      <t>REQUERIMIENTO</t>
    </r>
  </si>
  <si>
    <r>
      <rPr>
        <b/>
        <sz val="9"/>
        <rFont val="Times New Roman"/>
        <family val="1"/>
      </rPr>
      <t>REQUISITOS</t>
    </r>
  </si>
  <si>
    <r>
      <rPr>
        <b/>
        <sz val="9"/>
        <rFont val="Times New Roman"/>
        <family val="1"/>
      </rPr>
      <t xml:space="preserve">CANTIDAD VIGENCIA
</t>
    </r>
    <r>
      <rPr>
        <b/>
        <sz val="9"/>
        <rFont val="Times New Roman"/>
        <family val="1"/>
      </rPr>
      <t>2021</t>
    </r>
  </si>
  <si>
    <r>
      <rPr>
        <b/>
        <sz val="9"/>
        <rFont val="Times New Roman"/>
        <family val="1"/>
      </rPr>
      <t xml:space="preserve">CANTIDAD VIGENCIA
</t>
    </r>
    <r>
      <rPr>
        <b/>
        <sz val="9"/>
        <rFont val="Times New Roman"/>
        <family val="1"/>
      </rPr>
      <t>2022</t>
    </r>
  </si>
  <si>
    <r>
      <rPr>
        <b/>
        <sz val="9"/>
        <rFont val="Times New Roman"/>
        <family val="1"/>
      </rPr>
      <t xml:space="preserve">CANTIDAD VIGENCIA
</t>
    </r>
    <r>
      <rPr>
        <b/>
        <sz val="9"/>
        <rFont val="Times New Roman"/>
        <family val="1"/>
      </rPr>
      <t>2023</t>
    </r>
  </si>
  <si>
    <t>1 a 55</t>
  </si>
  <si>
    <t>56 a 110</t>
  </si>
  <si>
    <t>111 a 165</t>
  </si>
  <si>
    <t>166 a 120</t>
  </si>
  <si>
    <t>121 a 275</t>
  </si>
  <si>
    <t>276 a 330</t>
  </si>
  <si>
    <r>
      <t>Talleres de</t>
    </r>
    <r>
      <rPr>
        <sz val="9"/>
        <rFont val="Times New Roman"/>
        <family val="1"/>
      </rPr>
      <t xml:space="preserve"> danzaterapia,</t>
    </r>
    <r>
      <rPr>
        <sz val="9"/>
        <rFont val="Times New Roman"/>
        <family val="1"/>
      </rPr>
      <t xml:space="preserve"> musicoterapia,</t>
    </r>
  </si>
  <si>
    <r>
      <rPr>
        <sz val="9"/>
        <rFont val="Times New Roman"/>
        <family val="1"/>
      </rPr>
      <t>Tapete de yoga</t>
    </r>
  </si>
  <si>
    <r>
      <rPr>
        <sz val="9"/>
        <rFont val="Times New Roman"/>
        <family val="1"/>
      </rPr>
      <t>Medidas 173 x 61 x 0.4 cm, material espuma, de diferentes colores</t>
    </r>
  </si>
  <si>
    <r>
      <rPr>
        <sz val="9"/>
        <rFont val="Times New Roman"/>
        <family val="1"/>
      </rPr>
      <t>Instrumentos musicales</t>
    </r>
  </si>
  <si>
    <r>
      <rPr>
        <sz val="9"/>
        <rFont val="Times New Roman"/>
        <family val="1"/>
      </rPr>
      <t>Guitarra</t>
    </r>
  </si>
  <si>
    <r>
      <rPr>
        <sz val="9"/>
        <rFont val="Times New Roman"/>
        <family val="1"/>
      </rPr>
      <t>Tambores pequeños</t>
    </r>
  </si>
  <si>
    <r>
      <rPr>
        <sz val="9"/>
        <rFont val="Times New Roman"/>
        <family val="1"/>
      </rPr>
      <t>Panderetas</t>
    </r>
  </si>
  <si>
    <r>
      <rPr>
        <sz val="9"/>
        <rFont val="Times New Roman"/>
        <family val="1"/>
      </rPr>
      <t>Pares de maracas</t>
    </r>
  </si>
  <si>
    <t>Lámpara  mediana con proyección de luces de colores</t>
  </si>
  <si>
    <r>
      <rPr>
        <sz val="9"/>
        <rFont val="Times New Roman"/>
        <family val="1"/>
      </rPr>
      <t>Cojin</t>
    </r>
  </si>
  <si>
    <r>
      <rPr>
        <sz val="9"/>
        <rFont val="Times New Roman"/>
        <family val="1"/>
      </rPr>
      <t>Tamaño 40 x 40 cms de diferentes</t>
    </r>
    <r>
      <rPr>
        <sz val="9"/>
        <rFont val="Times New Roman"/>
        <family val="1"/>
      </rPr>
      <t xml:space="preserve"> colores</t>
    </r>
  </si>
  <si>
    <r>
      <rPr>
        <sz val="9"/>
        <rFont val="Times New Roman"/>
        <family val="1"/>
      </rPr>
      <t>Hamaca para adulto</t>
    </r>
  </si>
  <si>
    <r>
      <rPr>
        <sz val="9"/>
        <rFont val="Times New Roman"/>
        <family val="1"/>
      </rPr>
      <t>técnicas de relajación y multisensorial</t>
    </r>
  </si>
  <si>
    <r>
      <rPr>
        <sz val="9"/>
        <rFont val="Times New Roman"/>
        <family val="1"/>
      </rPr>
      <t>Aros plásticos para adulto</t>
    </r>
  </si>
  <si>
    <r>
      <rPr>
        <sz val="9"/>
        <rFont val="Times New Roman"/>
        <family val="1"/>
      </rPr>
      <t>De diferentes colores</t>
    </r>
  </si>
  <si>
    <r>
      <rPr>
        <sz val="9"/>
        <rFont val="Times New Roman"/>
        <family val="1"/>
      </rPr>
      <t>Esencias aromáticas, inciensos</t>
    </r>
  </si>
  <si>
    <r>
      <rPr>
        <b/>
        <u/>
        <sz val="9"/>
        <rFont val="Times New Roman"/>
        <family val="1"/>
      </rPr>
      <t>Frasco de 250 ml</t>
    </r>
    <r>
      <rPr>
        <b/>
        <sz val="9"/>
        <rFont val="Times New Roman"/>
        <family val="1"/>
      </rPr>
      <t xml:space="preserve"> </t>
    </r>
    <r>
      <rPr>
        <sz val="9"/>
        <rFont val="Times New Roman"/>
        <family val="1"/>
      </rPr>
      <t>de diferentes olores suaves</t>
    </r>
  </si>
  <si>
    <r>
      <rPr>
        <sz val="9"/>
        <rFont val="Times New Roman"/>
        <family val="1"/>
      </rPr>
      <t>20 mensual</t>
    </r>
  </si>
  <si>
    <r>
      <rPr>
        <sz val="9"/>
        <rFont val="Times New Roman"/>
        <family val="1"/>
      </rPr>
      <t>Texturas diferentes</t>
    </r>
  </si>
  <si>
    <r>
      <rPr>
        <sz val="9"/>
        <rFont val="Times New Roman"/>
        <family val="1"/>
      </rPr>
      <t>Esponjas</t>
    </r>
  </si>
  <si>
    <r>
      <rPr>
        <sz val="9"/>
        <rFont val="Times New Roman"/>
        <family val="1"/>
      </rPr>
      <t>10 mensual</t>
    </r>
  </si>
  <si>
    <r>
      <rPr>
        <sz val="9"/>
        <rFont val="Times New Roman"/>
        <family val="1"/>
      </rPr>
      <t>Estropajos</t>
    </r>
  </si>
  <si>
    <r>
      <rPr>
        <sz val="9"/>
        <rFont val="Times New Roman"/>
        <family val="1"/>
      </rPr>
      <t>Lijas</t>
    </r>
  </si>
  <si>
    <r>
      <rPr>
        <sz val="9"/>
        <rFont val="Times New Roman"/>
        <family val="1"/>
      </rPr>
      <t>Bolsa de 100 bolas de algodón, de</t>
    </r>
    <r>
      <rPr>
        <sz val="9"/>
        <rFont val="Times New Roman"/>
        <family val="1"/>
      </rPr>
      <t xml:space="preserve"> colores surtidos</t>
    </r>
  </si>
  <si>
    <r>
      <t>Taller de artes</t>
    </r>
    <r>
      <rPr>
        <sz val="9"/>
        <rFont val="Times New Roman"/>
        <family val="1"/>
      </rPr>
      <t xml:space="preserve"> plásticas</t>
    </r>
  </si>
  <si>
    <r>
      <rPr>
        <sz val="9"/>
        <rFont val="Times New Roman"/>
        <family val="1"/>
      </rPr>
      <t>Pelotas</t>
    </r>
  </si>
  <si>
    <r>
      <rPr>
        <sz val="9"/>
        <rFont val="Times New Roman"/>
        <family val="1"/>
      </rPr>
      <t>De caucho, livianas, de 50 cms de diámetro</t>
    </r>
  </si>
  <si>
    <r>
      <rPr>
        <sz val="9"/>
        <rFont val="Times New Roman"/>
        <family val="1"/>
      </rPr>
      <t>Globos</t>
    </r>
  </si>
  <si>
    <r>
      <rPr>
        <sz val="9"/>
        <rFont val="Times New Roman"/>
        <family val="1"/>
      </rPr>
      <t>Pimpón</t>
    </r>
  </si>
  <si>
    <r>
      <rPr>
        <sz val="9"/>
        <rFont val="Times New Roman"/>
        <family val="1"/>
      </rPr>
      <t>Balón de pilates - yoga</t>
    </r>
  </si>
  <si>
    <r>
      <rPr>
        <sz val="9"/>
        <rFont val="Times New Roman"/>
        <family val="1"/>
      </rPr>
      <t>De 65 cms</t>
    </r>
  </si>
  <si>
    <r>
      <rPr>
        <sz val="9"/>
        <rFont val="Times New Roman"/>
        <family val="1"/>
      </rPr>
      <t>Balones medicinales</t>
    </r>
  </si>
  <si>
    <r>
      <rPr>
        <sz val="9"/>
        <rFont val="Times New Roman"/>
        <family val="1"/>
      </rPr>
      <t>De 4 kg</t>
    </r>
  </si>
  <si>
    <r>
      <rPr>
        <sz val="9"/>
        <rFont val="Times New Roman"/>
        <family val="1"/>
      </rPr>
      <t>Papel iris</t>
    </r>
  </si>
  <si>
    <r>
      <rPr>
        <sz val="9"/>
        <rFont val="Times New Roman"/>
        <family val="1"/>
      </rPr>
      <t>Block</t>
    </r>
  </si>
  <si>
    <r>
      <rPr>
        <sz val="9"/>
        <rFont val="Times New Roman"/>
        <family val="1"/>
      </rPr>
      <t>Cartón paja</t>
    </r>
  </si>
  <si>
    <r>
      <rPr>
        <sz val="9"/>
        <rFont val="Times New Roman"/>
        <family val="1"/>
      </rPr>
      <t>Pliego</t>
    </r>
  </si>
  <si>
    <r>
      <rPr>
        <sz val="9"/>
        <rFont val="Times New Roman"/>
        <family val="1"/>
      </rPr>
      <t>Papel periódico</t>
    </r>
  </si>
  <si>
    <r>
      <rPr>
        <sz val="9"/>
        <rFont val="Times New Roman"/>
        <family val="1"/>
      </rPr>
      <t>Silicona gruesa</t>
    </r>
  </si>
  <si>
    <r>
      <rPr>
        <sz val="9"/>
        <rFont val="Times New Roman"/>
        <family val="1"/>
      </rPr>
      <t>Kilos</t>
    </r>
  </si>
  <si>
    <r>
      <rPr>
        <sz val="9"/>
        <rFont val="Times New Roman"/>
        <family val="1"/>
      </rPr>
      <t>Pistola de silicona gruesa</t>
    </r>
  </si>
  <si>
    <r>
      <rPr>
        <sz val="9"/>
        <rFont val="Times New Roman"/>
        <family val="1"/>
      </rPr>
      <t>Grande</t>
    </r>
  </si>
  <si>
    <r>
      <rPr>
        <sz val="9"/>
        <rFont val="Times New Roman"/>
        <family val="1"/>
      </rPr>
      <t>Cartulina blanca</t>
    </r>
  </si>
  <si>
    <r>
      <rPr>
        <sz val="9"/>
        <rFont val="Times New Roman"/>
        <family val="1"/>
      </rPr>
      <t>Octavos</t>
    </r>
  </si>
  <si>
    <r>
      <rPr>
        <sz val="9"/>
        <rFont val="Times New Roman"/>
        <family val="1"/>
      </rPr>
      <t>Cartulina de colores surtidos</t>
    </r>
  </si>
  <si>
    <r>
      <rPr>
        <sz val="9"/>
        <rFont val="Times New Roman"/>
        <family val="1"/>
      </rPr>
      <t>Carton cartulina</t>
    </r>
  </si>
  <si>
    <r>
      <rPr>
        <sz val="9"/>
        <rFont val="Times New Roman"/>
        <family val="1"/>
      </rPr>
      <t>Papel kraf</t>
    </r>
  </si>
  <si>
    <r>
      <rPr>
        <sz val="9"/>
        <rFont val="Times New Roman"/>
        <family val="1"/>
      </rPr>
      <t>Rollo de 60 gms. de 61 cms por 7,2 kilos</t>
    </r>
  </si>
  <si>
    <r>
      <rPr>
        <sz val="9"/>
        <rFont val="Times New Roman"/>
        <family val="1"/>
      </rPr>
      <t>Resma de papel tamaño carta, ecológico</t>
    </r>
  </si>
  <si>
    <r>
      <rPr>
        <sz val="9"/>
        <rFont val="Times New Roman"/>
        <family val="1"/>
      </rPr>
      <t>Resma por 500 hojas</t>
    </r>
  </si>
  <si>
    <r>
      <rPr>
        <sz val="9"/>
        <rFont val="Times New Roman"/>
        <family val="1"/>
      </rPr>
      <t>FOMI</t>
    </r>
  </si>
  <si>
    <r>
      <rPr>
        <sz val="9"/>
        <rFont val="Times New Roman"/>
        <family val="1"/>
      </rPr>
      <t>Papel contact de diferentes colores</t>
    </r>
  </si>
  <si>
    <r>
      <rPr>
        <sz val="9"/>
        <rFont val="Times New Roman"/>
        <family val="1"/>
      </rPr>
      <t>Rollo 50 cm x 1m</t>
    </r>
  </si>
  <si>
    <r>
      <rPr>
        <sz val="9"/>
        <rFont val="Times New Roman"/>
        <family val="1"/>
      </rPr>
      <t>Cinta transparente 48 mm</t>
    </r>
  </si>
  <si>
    <r>
      <rPr>
        <sz val="9"/>
        <rFont val="Times New Roman"/>
        <family val="1"/>
      </rPr>
      <t>Rollo x 40 mts</t>
    </r>
  </si>
  <si>
    <r>
      <rPr>
        <sz val="9"/>
        <rFont val="Times New Roman"/>
        <family val="1"/>
      </rPr>
      <t>Cinta de enmascarar</t>
    </r>
  </si>
  <si>
    <r>
      <rPr>
        <sz val="9"/>
        <rFont val="Times New Roman"/>
        <family val="1"/>
      </rPr>
      <t>Cajas de marcadores permanentes</t>
    </r>
  </si>
  <si>
    <r>
      <rPr>
        <sz val="9"/>
        <rFont val="Times New Roman"/>
        <family val="1"/>
      </rPr>
      <t>Estuche x 4 unidades</t>
    </r>
  </si>
  <si>
    <r>
      <rPr>
        <sz val="9"/>
        <rFont val="Times New Roman"/>
        <family val="1"/>
      </rPr>
      <t>Cajas de marcadores borrables</t>
    </r>
  </si>
  <si>
    <r>
      <rPr>
        <sz val="9"/>
        <rFont val="Times New Roman"/>
        <family val="1"/>
      </rPr>
      <t>Crayolas gruesas</t>
    </r>
  </si>
  <si>
    <r>
      <rPr>
        <sz val="9"/>
        <rFont val="Times New Roman"/>
        <family val="1"/>
      </rPr>
      <t>Caja x 10</t>
    </r>
  </si>
  <si>
    <r>
      <rPr>
        <sz val="9"/>
        <rFont val="Times New Roman"/>
        <family val="1"/>
      </rPr>
      <t>Lápices negros HB 2</t>
    </r>
  </si>
  <si>
    <r>
      <rPr>
        <sz val="9"/>
        <rFont val="Times New Roman"/>
        <family val="1"/>
      </rPr>
      <t>Caja x 12</t>
    </r>
  </si>
  <si>
    <r>
      <rPr>
        <sz val="9"/>
        <rFont val="Times New Roman"/>
        <family val="1"/>
      </rPr>
      <t>Lapiceros de mina negra</t>
    </r>
  </si>
  <si>
    <r>
      <rPr>
        <sz val="9"/>
        <rFont val="Times New Roman"/>
        <family val="1"/>
      </rPr>
      <t>Plumones de diferentes colores</t>
    </r>
  </si>
  <si>
    <r>
      <rPr>
        <sz val="9"/>
        <rFont val="Times New Roman"/>
        <family val="1"/>
      </rPr>
      <t>Borradores de nata</t>
    </r>
  </si>
  <si>
    <r>
      <rPr>
        <sz val="9"/>
        <rFont val="Times New Roman"/>
        <family val="1"/>
      </rPr>
      <t>Caja x 20</t>
    </r>
  </si>
  <si>
    <r>
      <rPr>
        <sz val="9"/>
        <rFont val="Times New Roman"/>
        <family val="1"/>
      </rPr>
      <t>Tajalápiz</t>
    </r>
  </si>
  <si>
    <r>
      <rPr>
        <sz val="9"/>
        <rFont val="Times New Roman"/>
        <family val="1"/>
      </rPr>
      <t>Tijeras punta roma</t>
    </r>
  </si>
  <si>
    <r>
      <rPr>
        <sz val="9"/>
        <rFont val="Times New Roman"/>
        <family val="1"/>
      </rPr>
      <t>Medianas</t>
    </r>
  </si>
  <si>
    <r>
      <rPr>
        <sz val="9"/>
        <rFont val="Times New Roman"/>
        <family val="1"/>
      </rPr>
      <t>Reglas plásticas rígidas en T</t>
    </r>
  </si>
  <si>
    <r>
      <rPr>
        <sz val="9"/>
        <rFont val="Times New Roman"/>
        <family val="1"/>
      </rPr>
      <t>50 cm</t>
    </r>
  </si>
  <si>
    <r>
      <rPr>
        <sz val="9"/>
        <rFont val="Times New Roman"/>
        <family val="1"/>
      </rPr>
      <t>Bisturí (para el uso exclusivo de los talleristas)</t>
    </r>
  </si>
  <si>
    <r>
      <rPr>
        <sz val="9"/>
        <rFont val="Times New Roman"/>
        <family val="1"/>
      </rPr>
      <t>Pegante líquido</t>
    </r>
  </si>
  <si>
    <r>
      <rPr>
        <sz val="9"/>
        <rFont val="Times New Roman"/>
        <family val="1"/>
      </rPr>
      <t>Pote x 1 Kg</t>
    </r>
  </si>
  <si>
    <r>
      <rPr>
        <sz val="9"/>
        <rFont val="Times New Roman"/>
        <family val="1"/>
      </rPr>
      <t>Vinilo blanco</t>
    </r>
  </si>
  <si>
    <r>
      <rPr>
        <sz val="9"/>
        <rFont val="Times New Roman"/>
        <family val="1"/>
      </rPr>
      <t>550 cm3</t>
    </r>
  </si>
  <si>
    <r>
      <rPr>
        <sz val="9"/>
        <rFont val="Times New Roman"/>
        <family val="1"/>
      </rPr>
      <t>Vinilo negro</t>
    </r>
  </si>
  <si>
    <r>
      <rPr>
        <sz val="9"/>
        <rFont val="Times New Roman"/>
        <family val="1"/>
      </rPr>
      <t>Vinilo amarillo</t>
    </r>
  </si>
  <si>
    <r>
      <rPr>
        <sz val="9"/>
        <rFont val="Times New Roman"/>
        <family val="1"/>
      </rPr>
      <t>Vinilo rojo</t>
    </r>
  </si>
  <si>
    <r>
      <rPr>
        <sz val="9"/>
        <rFont val="Times New Roman"/>
        <family val="1"/>
      </rPr>
      <t>Vinilo azul</t>
    </r>
  </si>
  <si>
    <r>
      <rPr>
        <sz val="9"/>
        <rFont val="Times New Roman"/>
        <family val="1"/>
      </rPr>
      <t>Pinceles pelo de cerda redondo</t>
    </r>
  </si>
  <si>
    <r>
      <rPr>
        <sz val="9"/>
        <rFont val="Times New Roman"/>
        <family val="1"/>
      </rPr>
      <t>Medianos</t>
    </r>
  </si>
  <si>
    <r>
      <rPr>
        <sz val="9"/>
        <rFont val="Times New Roman"/>
        <family val="1"/>
      </rPr>
      <t>Pinceles pelo de cerda plano</t>
    </r>
  </si>
  <si>
    <r>
      <rPr>
        <sz val="9"/>
        <rFont val="Times New Roman"/>
        <family val="1"/>
      </rPr>
      <t>Lana (colores surtidos)</t>
    </r>
  </si>
  <si>
    <r>
      <rPr>
        <sz val="9"/>
        <rFont val="Times New Roman"/>
        <family val="1"/>
      </rPr>
      <t>Madeja</t>
    </r>
  </si>
  <si>
    <r>
      <rPr>
        <sz val="9"/>
        <rFont val="Times New Roman"/>
        <family val="1"/>
      </rPr>
      <t>Cuerda de fique</t>
    </r>
  </si>
  <si>
    <r>
      <rPr>
        <sz val="9"/>
        <rFont val="Times New Roman"/>
        <family val="1"/>
      </rPr>
      <t>Madeja x 50 mts</t>
    </r>
  </si>
  <si>
    <r>
      <rPr>
        <sz val="9"/>
        <rFont val="Times New Roman"/>
        <family val="1"/>
      </rPr>
      <t>Tablero aclirico</t>
    </r>
  </si>
  <si>
    <r>
      <rPr>
        <sz val="9"/>
        <rFont val="Times New Roman"/>
        <family val="1"/>
      </rPr>
      <t>80 x 1.20</t>
    </r>
  </si>
  <si>
    <r>
      <rPr>
        <sz val="9"/>
        <rFont val="Times New Roman"/>
        <family val="1"/>
      </rPr>
      <t>Cartelera corcho</t>
    </r>
  </si>
  <si>
    <r>
      <rPr>
        <sz val="9"/>
        <rFont val="Times New Roman"/>
        <family val="1"/>
      </rPr>
      <t>Arcilla</t>
    </r>
  </si>
  <si>
    <r>
      <rPr>
        <sz val="9"/>
        <rFont val="Times New Roman"/>
        <family val="1"/>
      </rPr>
      <t>Bolsa x kilo</t>
    </r>
  </si>
  <si>
    <r>
      <rPr>
        <sz val="9"/>
        <rFont val="Times New Roman"/>
        <family val="1"/>
      </rPr>
      <t>Palos de pincho</t>
    </r>
  </si>
  <si>
    <r>
      <rPr>
        <sz val="9"/>
        <rFont val="Times New Roman"/>
        <family val="1"/>
      </rPr>
      <t>Bolsa x 100</t>
    </r>
  </si>
  <si>
    <r>
      <rPr>
        <sz val="9"/>
        <rFont val="Times New Roman"/>
        <family val="1"/>
      </rPr>
      <t>Brochas para pintura</t>
    </r>
  </si>
  <si>
    <r>
      <rPr>
        <sz val="9"/>
        <rFont val="Times New Roman"/>
        <family val="1"/>
      </rPr>
      <t>Grandes</t>
    </r>
  </si>
  <si>
    <r>
      <rPr>
        <sz val="9"/>
        <rFont val="Times New Roman"/>
        <family val="1"/>
      </rPr>
      <t>Aerosoles para grafittis de diferentes colores</t>
    </r>
  </si>
  <si>
    <r>
      <rPr>
        <sz val="9"/>
        <rFont val="Times New Roman"/>
        <family val="1"/>
      </rPr>
      <t>De 400 ml</t>
    </r>
  </si>
  <si>
    <t>iii)	Desgaste y uso de los bienes no consumibles</t>
  </si>
  <si>
    <t>Se realizó el cálculo del costo cupo mes, a partir de los costos unitarios de los elementos viabilizados por la Subdirección de Diseño, Evaluación y Sistematización de la Secretaría Distrital de Integración Social - SDIS mediante los memorandos I2023004856 DEL 17/02/2023; I2023018072 del 23/06/2023; I2023031991 del 20/10/2023; I2023031433 del 13/10/2023; I2023031084 del 11/10/52024; I2023008278 del 17/03/2023; I2023024745 del 23/08/2023;  I2024014734 del 29/05/2024; I2024004413 del 16/02/2024", se manejo una indexación mes a mes para cada producto de acuerdo con la fecha de emisión del cada uno de los memorandos de viabilización correspondientes al año 2023, acorde con la información oficial emitida por el DANE para la vigencia 2024. este proceso se encuentra  detallado en la hoja "INDEXACION DE PRODUCTOS MES A MES" , la formula para el calculo es "Valor unitario cupo día x cupos x días"</t>
  </si>
  <si>
    <t xml:space="preserve">El desgaste de los bienes se calculo teniendo en cuenta periodos mensuales para su costeo, así, el calculo se da tomando el valor unitario  y dividiendo en el numero de meses  de desgaste, y luego se multiplica por la Cantidad utilizada en un periodo mensual. </t>
  </si>
  <si>
    <t>CANTIDADES X CUPOS</t>
  </si>
  <si>
    <t>%IPC INDEXADO MES A MES</t>
  </si>
  <si>
    <t>VALOR IVA</t>
  </si>
  <si>
    <t>TIEMPO DE DESGASTE Y USO MENSUAL MESES</t>
  </si>
  <si>
    <t>DESGASTE Y USO MENSUAL</t>
  </si>
  <si>
    <t>SUBTOTAL  CUPOS</t>
  </si>
  <si>
    <t>Almohada para adulto tamaño: 50cm x 75cm altura 8cm</t>
  </si>
  <si>
    <t>Materiales: Lámina Cold Rolled calibre 20 en pintura electrostática color gris claro, correderas independientes Full
Extension, cerradura en la parte superior. Gavetas extraíbles (4 unidades), con sistema anti-vuelco de seguridad,
apertura de solo un cajón al tiempo. Medidas: 136 cm alto x 47 cm ancho, 60 cm fondo. Medidas gaveta: 29 cm alto
x 44 cm ancho x 55 cm fondo. Apoyos con niveladores.</t>
  </si>
  <si>
    <t>Balde con agarradera y tapa en material plastico con vertedero para controlar la salida del liquido. Capacidad de 13 
Lts</t>
  </si>
  <si>
    <t xml:space="preserve">Botiquín tipo A - fijo botiquín de primeros auxilios fabricado en lámina. Fijo con dos entrepaños y cavidad para variedad de frascos. Puerta de vidrio enmarcada con cerradura.
Terminado en pintura electrostática, el cual debe contener todos los elementos mencionados en la resolución 0705 DE 2007.
</t>
  </si>
  <si>
    <t>MALETÍN ELABORADO EN LONA COLOR ROJO, TOTALMENTE IMPERMEABLE ABULLONADO Y FORRADO CON EL LOGO DE CRUZ Y LEYENDA INFORMATIVA “BOTIQUIN PRIMEROS AUXILIOS”, MEDIDAS APROXIMADAS DEL MALETIN 40 X 30 X 15 CM, CORREA Y CREMALLERA .1 COMPARTIMIENTOS + 4 BOLSILLOS INTERNOS. ESTE BOTIQUÍN DEBE CONTENER CADA UNO DE LOS ELEMENTOS ESTABLECIDOS POR LA RESOLUCION 705 DE 2007 EXPEDIDO POR LA SECRETARÍA DISTRITAL DE SALUD: GASA ESTÉRIL:  *GASA DE 3" X 3" 10 SOBRES CON 2 UNIDADES CADA UNO.  *ESPARADRAPO DE TELA: 1 ROLLO DE 4" X 5 YD  *BAJA LENGUAS EN MADERA: 1 PAQUETE X 20 UNIDADES  *GUANTES E LÁTEX: 1 CAJA X 100 UNIDADES *VENDA ELÁSTICA: 1 UNIDAD DE 2" X 5 YD  *VENDA ELÁSTICA: 1 UNIDAD DE 3" X 5 YD  *VENDA ELÁSTICA: 1 UNIDAD DE 5" X 5 YD *VENDA DE ALGODÓN LAMINADO: 1 UNIDAD DE 3”  X 5 YD *VENDA DE ALGODÓN LAMINADO: 1 UNIDAD DE 5” X 5 YD  *YODOPOVIDONA (JABÓN QUIRÚRGICO): 1 FRASCO X 120 ML *SUERO FISIOLÓGICO: 5 BOLSAS X 100 ML O 2 BOLSAS X 250 ML  *TERMÓMETRO CLÍNICO DIGITAL (ORAL): 1 NIDAD   *ALCOHOL ANTISÉPTICO: 1 FRASCO X 350 ML 
NOTA: FECHAS DE VENCIMIENTO MÍNIMO 18 MESES
Terminado en pintura electrostática, el cual debe contener todos los elementos mencionados en la resolución 0705 DE 2007.</t>
  </si>
  <si>
    <t>(1) Botiquín tipo B de fácil traslado, teniendo en cuenta lo establecido en la Resolución 705 de 2007 de la Secretaría Distrital de Salud (Anexo técnico Componentes ambientes adecuados y seguros Tabla 15. Relación de elementos Botiquín tipo B)</t>
  </si>
  <si>
    <t>Caldero en acero inoxidable de 98 litros (50 x 50)</t>
  </si>
  <si>
    <t>Camarote sencillo en tubo metálico redondo de 2” calibre 18.
Largueros en ángulo de hierro perfil en L de 1 ½” x 3/16”.
Escalera fija en el piecero. Soldadura MIG. Tablado en madera
cepillada firmemente unidos por listones de 3cm x 1cm x 190cm.
Acabados en pintura electrostática. Dimensiones: alto 140cm x
ancho 100cm x largo 190 cm.</t>
  </si>
  <si>
    <t>Camilla fija con barandas, colchoneta de fácil limpieza y desinfección. Ancho 0.60 mts, Largo x1.80 mts, Alto 0.85 mts</t>
  </si>
  <si>
    <t>canastillas plásticas para frutas y verduras, de 50 / 55 cms de largo x 30 /38 cm de ancho.</t>
  </si>
  <si>
    <t>Una  (1) caneca tipo vaiven para punto ecológico - Blanco - Capacidad 40 litros (repuestos)</t>
  </si>
  <si>
    <t>Una  (1) caneca tipo vaiven para punto ecológico - negro - Capacidad 40 litros (repuestos)</t>
  </si>
  <si>
    <t>Cucharon en aluminio de 30 a 35 cm de largo, resistente a la corrosión y al calor y de fácil agarre</t>
  </si>
  <si>
    <t>Un (1) juego de cuchillos: Uno (1) para el servicio de alimentación, uno (1) para pan, uno (1) para verduras,
tamaño aproximado 8 pulgadas de hoja, mango plástico, espesor mínimo 1mm</t>
  </si>
  <si>
    <t>Material Plastico de Alta resistencia Alto 15 cm, largo 120 cm, ancho 100 cm capacidad estática minima de carga (kg): 5000 kg capacidad dinámica minima de carga (kg): 3000 kg entrada montacargas: 2 para el almacenamiento de alimentos. Especiales para el aislamiento de mercancía. Opciones superficie cerrada y abierta, antideslizante y borde. Paletas para sistema de estantería. Entrada por dos lados. Pueden ser utilizadas en piso. Paletas extrafuertes. Pueden ser utilizadas a la intemperie, es necesario que estén recubiertas con aditivo.</t>
  </si>
  <si>
    <t>estufa industrial de 4 fogones con horno</t>
  </si>
  <si>
    <t xml:space="preserve"> licuadora industrial capacidad 15 lts vaso extraíble</t>
  </si>
  <si>
    <t>en material plástico de 30 a 35 cm. -</t>
  </si>
  <si>
    <t>Olla a presión de mínimo 10 litros con asas, fabricada en Aluminio de alta pureza certificado. Con válvula reguladora 
de precisión, doble posición para dosificar la salidas del vapor y controlar la cocción. Cuerpo fondo reforzado con 
disco difusor de calor</t>
  </si>
  <si>
    <t>Olla con tapa y 2 asas fabricado en Aluminio de alta puereza certificado. Debe cumplir con normas técnicas nacionales e internacionales. Diametro 30 - 32 cm. Capacidad Minima 19 litros.</t>
  </si>
  <si>
    <t>Sarten, o Pailas en aluminio fundido mínimo de 46 cm</t>
  </si>
  <si>
    <t>Plato pando material higiénico sanitario para seco de mínimo 24 cm Plato hondo material higiénico sanitario para sopa de mínimo 18cm Plato para postre en material higiénico sanitario de mínimo 10 cm. No se permiten materiales como acero inoxidable, metal, aluminio o desechable.</t>
  </si>
  <si>
    <t>poncheras plásticas de 35 cm. de diámetro con capacidad de 4.5 a 5.5 lts. Con tapa – circulare</t>
  </si>
  <si>
    <t xml:space="preserve"> recipientes de almacenamiento plásticos con tapa de alta resistencia, capacidad de 3 lts.</t>
  </si>
  <si>
    <t>Un (1) set de cinco (5) cucharas medidoras en plástico resistente a temperaturas altas no deformables, 1/8 de copa – 30 ml, ¼ de copa – 60 ml., 1/3 de copa – 80 ml., media taza – 125 ml., 1 taza – 250 ml</t>
  </si>
  <si>
    <t>Tallímetro análogo con base de plataforma.Escala de división de 1 mm.Rango de medición de 20 a 200  cm como mínimo. Escala de división con grabación  a laser. Material de fabricación: ABS grado médico.Peso no superior a 3 kg. Sistema móvil o portátil para fácil transporte.Con indicador de nivel de burbuja para garantizar una correcta medición. con certificado de conformidad expedido por el país de origen</t>
  </si>
  <si>
    <t>i2023018072</t>
  </si>
  <si>
    <t xml:space="preserve">Toalla de felpa para el cuerpo en colores oscuros, medidas 70 cms de ancho por 140 cms de largo
</t>
  </si>
  <si>
    <t xml:space="preserve">valor mes por centro </t>
  </si>
  <si>
    <t xml:space="preserve">Valor cupo </t>
  </si>
  <si>
    <t>Valor Cupo Día</t>
  </si>
  <si>
    <t>Talleres y Papeleria</t>
  </si>
  <si>
    <t xml:space="preserve">La viabilización de los Productos de talleres y Papelería se encuentran viabilizados por la Subdirección de Diseño, Evaluación y Sistematización de la Secretaría Distrital de Integración Social - SDIS con los memorandos No.  I2023004856 del 17/02/2023; I2023008278 del 17/03/2023;I2023015628 del 30/05/2023; I2024004413 del 16/02/2024; I2024014734 del 29/05/2024 el calculo se realización la fórmula  "Valor unitario cupo día x cupos x días" </t>
  </si>
  <si>
    <t>CONSUMO MENSUAL</t>
  </si>
  <si>
    <t>IPC INDEXACION  MES A MES</t>
  </si>
  <si>
    <t>PAQUETE X 100</t>
  </si>
  <si>
    <t>Resma tamaño carta</t>
  </si>
  <si>
    <t>Rollo X 20 metros</t>
  </si>
  <si>
    <t>marcadores Estuche x 4 unidades</t>
  </si>
  <si>
    <t>crayolas Caja * 10</t>
  </si>
  <si>
    <t xml:space="preserve">Caja x 10 </t>
  </si>
  <si>
    <t>Caja * 12</t>
  </si>
  <si>
    <t xml:space="preserve">Caja x 12 </t>
  </si>
  <si>
    <t>Medianas</t>
  </si>
  <si>
    <t>Regla 50 cm</t>
  </si>
  <si>
    <t>Grande</t>
  </si>
  <si>
    <t>set x 6</t>
  </si>
  <si>
    <t>rollo x 200 mts</t>
  </si>
  <si>
    <t>VALOR MENSUAL SERVICIO</t>
  </si>
  <si>
    <t>VALOR DIA SERVICIO</t>
  </si>
  <si>
    <t>VALOR CUPO DIA</t>
  </si>
  <si>
    <t>vr cupo dia</t>
  </si>
  <si>
    <t>Recreo Deportivos</t>
  </si>
  <si>
    <t xml:space="preserve">La viabilización de los Productos Recreo deportívos  se encuentran viabilizados por la Subdirección de Diseño, Evaluación y Sistematización de la Secretaría Distrital de Integración Social - SDIS con los memorandos No.  I2023004856 del 17/02/2023; I2023008278 del 17/03/2023;I2023019873 del 10/07/2023; I2023032069 del 10/10/2024 del 30/05/2023; I2024014734 del 29/05/2024 el calculo se realización la fórmula  "Valor unitario cupo día x cupos x días" </t>
  </si>
  <si>
    <t>ARTÍCULO</t>
  </si>
  <si>
    <t>%IPC INDEXACION MES  A MES</t>
  </si>
  <si>
    <t>DESGASTE Y USO UNIDAD POR PERIODO MENSUAL</t>
  </si>
  <si>
    <t>VALOR DESGASTE</t>
  </si>
  <si>
    <t xml:space="preserve">SUBTOTAL </t>
  </si>
  <si>
    <t>Balón de microfútbol adultos. 60 - 62 cms</t>
  </si>
  <si>
    <t>circunferencia. Peso 450 - 500 grs.</t>
  </si>
  <si>
    <t>Aros de plástico para adultos.</t>
  </si>
  <si>
    <t>Máximo 50 cm de diámetro.</t>
  </si>
  <si>
    <t>Cinco (5) juegos de bandas elásticas cada juego contiene cinco (5) bandas en látex por colores, cada color tiene un nivel de resistencia diferente.</t>
  </si>
  <si>
    <t>Color azul y gris</t>
  </si>
  <si>
    <t>Valor DÍA</t>
  </si>
  <si>
    <t>Valor cupo día</t>
  </si>
  <si>
    <t>Taller Agrícola</t>
  </si>
  <si>
    <t xml:space="preserve">Los Productos para Talleres Agrícolas se encuentran viabilizados por la Subdirección de Diseño, Evaluación y Sistematización de la Secretaría Distrital de Integración Social - SDIS con los memorandos No.  I2023004856 del 17/02/2023; I2023008278 del 17/03/2023;I2023019873 del 10/07/2023; I2023015628 del  30/05/2023; I2024004413 del 16/02/2024; I2024014734 del 29/05/2024 el calculo se realización la fórmula  "Valor unitario cupo día x cupos x días" </t>
  </si>
  <si>
    <t>AGRICULTURA RURAL</t>
  </si>
  <si>
    <t>Desgaste y uso unidad por periodo MES</t>
  </si>
  <si>
    <t>SUBTOTAL MES COMUNIDAD DE VIDA</t>
  </si>
  <si>
    <t>Única vez</t>
  </si>
  <si>
    <t>ALAMBRE CALIBRE 12 PARA TUTORADO DE
CULTIVOS</t>
  </si>
  <si>
    <t>Bimestral, de acuerdo con los tiempos de producción</t>
  </si>
  <si>
    <t>Cada cinco (5) meses, de acuerdo con los tiempos de producción</t>
  </si>
  <si>
    <t>Bimestral</t>
  </si>
  <si>
    <t>Mensual</t>
  </si>
  <si>
    <t>Semestral</t>
  </si>
  <si>
    <t>AGRICULTURA URBANA</t>
  </si>
  <si>
    <t>%IPC por Indexar</t>
  </si>
  <si>
    <t>Desgaste y uso años por unidad</t>
  </si>
  <si>
    <t>SUBTOTAL COMUNIDAD DE VIDA</t>
  </si>
  <si>
    <t>Valor DIA</t>
  </si>
  <si>
    <t>Vestuario Participantes</t>
  </si>
  <si>
    <t xml:space="preserve">La viabilización de los Productos se encuentran viabilizados por la Subdirección de Diseño, Evaluación y Sistematización de la Secretaría Distrital de Integración Social - SDIS con los memorandos No.  I2023004856 del 17/02/2023; I2023019873 del 10/07/2023; I2024014734 del 29/05/2024 el calculo se realización la fórmula  Valor unitario cupo día x cupos x días calendario" </t>
  </si>
  <si>
    <r>
      <rPr>
        <b/>
        <sz val="9"/>
        <rFont val="Arial"/>
        <family val="2"/>
      </rPr>
      <t>DESCRIPCIÓN</t>
    </r>
  </si>
  <si>
    <t>FORMA ENTREGA</t>
  </si>
  <si>
    <t>CANTIDAD MENSUAL</t>
  </si>
  <si>
    <t>2 unidades cada 4 meses a la fecha de ingreso del participante
15 unidades adicionales para stock o rotación de participantes</t>
  </si>
  <si>
    <r>
      <rPr>
        <sz val="10"/>
        <rFont val="Arial MT"/>
      </rPr>
      <t>Bóxer en algodón de las tallas: S, M, L, y, XL.</t>
    </r>
  </si>
  <si>
    <r>
      <rPr>
        <sz val="10"/>
        <rFont val="Arial MT"/>
      </rPr>
      <t>3 unidades cada 4 meses a la fecha de ingreso del participante
15 unidades adicionales para stock o rotación de
participantes</t>
    </r>
  </si>
  <si>
    <r>
      <rPr>
        <sz val="10"/>
        <rFont val="Arial MT"/>
      </rPr>
      <t>En lana unisex, unicolor, longitud de tobillo o largos acorde a gusto del o de la participante.</t>
    </r>
  </si>
  <si>
    <r>
      <rPr>
        <sz val="10"/>
        <rFont val="Arial MT"/>
      </rPr>
      <t>3 pares cada 4 meses a la fecha de ingreso del participante
15 pares adicionales para stock o rotación de participantes</t>
    </r>
  </si>
  <si>
    <t>Formal para dama y caballero, que permita la transpiración, material en cuero, tela o sintético, acorde al gusto del participante, suela en caucho pegada y cocido
al interior.</t>
  </si>
  <si>
    <r>
      <rPr>
        <sz val="10"/>
        <rFont val="Arial MT"/>
      </rPr>
      <t>1 par cada 4 meses a la fecha de ingreso del participante
15 pares adicionales para stock o rotación de participantes</t>
    </r>
  </si>
  <si>
    <t>Calzado deportivo para dama y caballero  que permita la transpiración, material en tela o sintético, acorde al gusto del participante, suela en caucho pegada y cocido
al interior</t>
  </si>
  <si>
    <t>Chanclas Unisex con correa, caucho y suela antideslizante para hombres y mujeres.</t>
  </si>
  <si>
    <r>
      <rPr>
        <sz val="10"/>
        <rFont val="Arial MT"/>
      </rPr>
      <t>1 par cada 7 meses a la fecha de ingreso del participante
15 pares adicionales para stock o rotación de participantes</t>
    </r>
  </si>
  <si>
    <r>
      <rPr>
        <sz val="10"/>
        <rFont val="Arial MT"/>
      </rPr>
      <t>Pantalón corto y camiseta manga corta (clima cálido), en algodón.
Pantalón largo y camiseta manga
largas (clima frio), en algodón.</t>
    </r>
  </si>
  <si>
    <r>
      <rPr>
        <sz val="10"/>
        <rFont val="Arial MT"/>
      </rPr>
      <t>2 pijamas por cupo cada 7 meses a la fecha de ingreso del participante
15 pijamas adicionales para stock o rotación de participantes</t>
    </r>
  </si>
  <si>
    <t>2 cada 4 meses a la fecha de ingreso del participante
15  adicionales para stock o rotación de participantes</t>
  </si>
  <si>
    <t>falda o pantalón</t>
  </si>
  <si>
    <t xml:space="preserve">camiseta tipo polo </t>
  </si>
  <si>
    <t>2 cada 4 meses a la fecha de ingreso del participante
15 adicionales para stock o rotación de participantes</t>
  </si>
  <si>
    <t>pantalon</t>
  </si>
  <si>
    <t>PARA HOMBRES Y MUJERESPantaloneta S, M, L, XL</t>
  </si>
  <si>
    <t>2  cada 4 meses a la fecha de ingreso del participante
15  adicionales para stock o rotación de participantes</t>
  </si>
  <si>
    <t>PARA HOMBRES Y MUJEREScamiseta de colores S, M, L, XL, en algodón.</t>
  </si>
  <si>
    <r>
      <rPr>
        <sz val="9"/>
        <rFont val="Arial MT"/>
        <family val="2"/>
      </rPr>
      <t xml:space="preserve">1 traje de baño 15 trajes de baño adicionales para
</t>
    </r>
    <r>
      <rPr>
        <sz val="9"/>
        <rFont val="Arial MT"/>
        <family val="2"/>
      </rPr>
      <t>stock o rotación de participantes</t>
    </r>
  </si>
  <si>
    <r>
      <rPr>
        <sz val="9"/>
        <rFont val="Arial MT"/>
        <family val="2"/>
      </rPr>
      <t xml:space="preserve">1 pantaloneta de baño
</t>
    </r>
    <r>
      <rPr>
        <sz val="9"/>
        <rFont val="Arial MT"/>
        <family val="2"/>
      </rPr>
      <t>15 pantalonetas de baño adicionales para stock o rotación de participantes</t>
    </r>
  </si>
  <si>
    <t>VALOR MENSUAL VESTUARIO PARTICIPANTES</t>
  </si>
  <si>
    <t>VALOR DIA</t>
  </si>
  <si>
    <t>Aseo Participantes</t>
  </si>
  <si>
    <t>La viabilización de los Productos se encuentran viabilizados por la Subdirección de Diseño, Evaluación y Sistematización de la Secretaría Distrital de Integración Social - SDIS con los memorandos No.  I2023019873 del 10/07/2023; I2023010652 del 14/04/2023; I2024014734 del 29/05/2024 el calculo se realización la fórmula Valor unitario cupo día x cupos x días calendario"</t>
  </si>
  <si>
    <t>REQUERIMIENTO</t>
  </si>
  <si>
    <t>REQUISITOS</t>
  </si>
  <si>
    <t>CANTIDAD VIGENCIA 2022</t>
  </si>
  <si>
    <t>CANTIDAD ENTREGA MENSUAL</t>
  </si>
  <si>
    <t>%IPC MES A MES</t>
  </si>
  <si>
    <r>
      <rPr>
        <sz val="10"/>
        <rFont val="Arial"/>
        <family val="2"/>
      </rPr>
      <t>1 cepillo por
cupo cada 2 meses
10 unidades adicionales para stock o rotación de participantes</t>
    </r>
  </si>
  <si>
    <r>
      <rPr>
        <sz val="10"/>
        <rFont val="Arial"/>
        <family val="2"/>
      </rPr>
      <t>1 tubo por cupo cada mes
10 unidades adicionales para stock o rotación de participantes</t>
    </r>
  </si>
  <si>
    <r>
      <rPr>
        <sz val="10"/>
        <rFont val="Arial"/>
        <family val="2"/>
      </rPr>
      <t>1 jabón por cupo cada mes
10 unidades adicionales para stock o rotación de participantes</t>
    </r>
  </si>
  <si>
    <r>
      <rPr>
        <sz val="10"/>
        <rFont val="Arial"/>
        <family val="2"/>
      </rPr>
      <t>5 sobres por cupo cada mes
10 unidades adicionales para stock o rotación de participantes</t>
    </r>
  </si>
  <si>
    <r>
      <rPr>
        <sz val="10"/>
        <rFont val="Arial"/>
        <family val="2"/>
      </rPr>
      <t>1 frasco por
cupo cada 2 meses
10 unidades adicionales para stock o rotación de participantes</t>
    </r>
  </si>
  <si>
    <r>
      <rPr>
        <sz val="10"/>
        <rFont val="Arial"/>
        <family val="2"/>
      </rPr>
      <t>4 rollos por cupo cada mes
10 unidades adicionales para stock o
rotación de participantes</t>
    </r>
  </si>
  <si>
    <r>
      <rPr>
        <sz val="10"/>
        <rFont val="Arial"/>
        <family val="2"/>
      </rPr>
      <t>2 paquetes por cupo cada mes, de acuerdo al número de participantes femeninas
10 unidades adicionales para stock o rotación de participantes</t>
    </r>
  </si>
  <si>
    <r>
      <rPr>
        <sz val="10"/>
        <rFont val="Arial"/>
        <family val="2"/>
      </rPr>
      <t>4 máquinas de afeitar por cupo cada mes
10 unidades adicionales para stock o rotación de participantes</t>
    </r>
  </si>
  <si>
    <t>Cantidad mensual de acuerdo a la necesidad</t>
  </si>
  <si>
    <r>
      <rPr>
        <sz val="10"/>
        <rFont val="Arial"/>
        <family val="2"/>
      </rPr>
      <t>1 frasco por cupo cada mes
10 unidades adicionales para stock o rotación de participantes</t>
    </r>
  </si>
  <si>
    <r>
      <rPr>
        <sz val="10"/>
        <rFont val="Arial"/>
        <family val="2"/>
      </rPr>
      <t>1 unidad por
cupo cada 2 meses
10 unidades adicionales para stock o rotación de
participantes</t>
    </r>
  </si>
  <si>
    <r>
      <rPr>
        <sz val="10"/>
        <rFont val="Arial"/>
        <family val="2"/>
      </rPr>
      <t>1 unidad por cupo
10 unidades adicionales para stock o rotación de
participantes</t>
    </r>
  </si>
  <si>
    <r>
      <rPr>
        <sz val="10"/>
        <rFont val="Arial"/>
        <family val="2"/>
      </rPr>
      <t>1 frasco  por
cupo cada 3 meses
10 unidades adicionales para stock o rotación de participantes</t>
    </r>
  </si>
  <si>
    <r>
      <rPr>
        <sz val="10"/>
        <rFont val="Arial"/>
        <family val="2"/>
      </rPr>
      <t>1 frasco por mensual
10 unidades adicionales para stock o rotación de participantes</t>
    </r>
  </si>
  <si>
    <t>1 frasco cada 3 meses
10 unidades adicionales para stock o rotación de
participantes</t>
  </si>
  <si>
    <t>70 sachets cada mes 10 unidades adicionales para stock o rotación de participantes</t>
  </si>
  <si>
    <r>
      <rPr>
        <sz val="10"/>
        <rFont val="Arial"/>
        <family val="2"/>
      </rPr>
      <t>1 cortaúñas por cupo en una única entrega
10 unidades adicionales para stock o rotación de participantes, en una única</t>
    </r>
  </si>
  <si>
    <t>Jabon de barra azul multiusos</t>
  </si>
  <si>
    <t>VALOR CUPO DIARIO</t>
  </si>
  <si>
    <t>Gestión Documental</t>
  </si>
  <si>
    <t xml:space="preserve">La viabilización de los Productos se encuentran viabilizados por la Subdirección de Diseño, Evaluación y Sistematización de la Secretaría Distrital de Integración Social - SDIS con los memorandos No.  I2023004856 del 17/02/2024; I2023008278 del 17/03/2023; I2023019873 del 10/07/2023; I2023015628 del 30/02/2023; I2024004413 del 16/02/2024 el calculo se realización la fórmula  "Valor unitario cupo día x cupos x días" </t>
  </si>
  <si>
    <t>I2024004070</t>
  </si>
  <si>
    <t xml:space="preserve">valor mes por Comunidad de Vida </t>
  </si>
  <si>
    <t>Aseo Institucional</t>
  </si>
  <si>
    <t xml:space="preserve">La viabilización de los Productos correspondientes a Aseo Institucional se encuentran viabilizados por la Subdirección de Diseño, Evaluación y Sistematización de la Secretaría Distrital de Integración Social - SDIS con los memorandos No.  I2023004856 del 17/02/2023; I2023008278 del 17/03/2023; I2023019873 del 10/07/2023; I2024004413 del 16/02/2024 el calculo se realización la fórmula  "Valor unitario cupo día x cupos x días" </t>
  </si>
  <si>
    <t>CANTIDAD POR VIGENCIA</t>
  </si>
  <si>
    <t>CANTIDAD POR VIGENCIA 100 CUPOS</t>
  </si>
  <si>
    <t>CANTIDAD POR MES 100 CUPOS</t>
  </si>
  <si>
    <t>CANTIDAD POR VIGENCIA 130 CUPOS</t>
  </si>
  <si>
    <t>CANTIDAD POR MES 130 CUPOS</t>
  </si>
  <si>
    <t>% AJUSTE IPC ACUMULADO MES A MES</t>
  </si>
  <si>
    <t>Subtotal  100 CUPOS</t>
  </si>
  <si>
    <t>Subtotal  130 CUPOS</t>
  </si>
  <si>
    <t>Medidas 48 x 24</t>
  </si>
  <si>
    <t xml:space="preserve">I2023008278 </t>
  </si>
  <si>
    <t>bolsas verde, negra y blanca 45X60</t>
  </si>
  <si>
    <t>Cepillo cerdas  plastico</t>
  </si>
  <si>
    <t>Paquete x 12</t>
  </si>
  <si>
    <t xml:space="preserve">Paquete de 200 </t>
  </si>
  <si>
    <t>valor mes por Comunidad de Vida  cupos</t>
  </si>
  <si>
    <t>Servicio de Lavandería</t>
  </si>
  <si>
    <t xml:space="preserve">La viabilización de los Productos correspondientes a Lavanderías se encuentran viabilizados por la Subdirección de Diseño, Evaluación y Sistematización de la Secretaría Distrital de Integración Social - SDIS con los memorandos No.  I2023004856 del 17/02/2023; I2023019873 del  10/07/2023 el calculo se realización la fórmula  "Valor unitario cupo día x cupos x días" </t>
  </si>
  <si>
    <t>CANTIDAD VIGENCIA  100 CUPOS</t>
  </si>
  <si>
    <t>CANTIDAD MES PARA 100 CUPOS</t>
  </si>
  <si>
    <t>CANTIDAD VIGENCIA 130 CUPOS</t>
  </si>
  <si>
    <t>Unidad de medida</t>
  </si>
  <si>
    <t>% IPC ACUMULADO MES A MES</t>
  </si>
  <si>
    <t>VALOR UNITARIO MAS IVA 2023</t>
  </si>
  <si>
    <t>VALOR CONSUMO MENSUAL  100 CUPOS</t>
  </si>
  <si>
    <t>VALOR CONSUMO MENSUAL  130 CUPOS</t>
  </si>
  <si>
    <t>Bidon x 20 lts</t>
  </si>
  <si>
    <t xml:space="preserve">VALOR CONSUMO MENSUAL </t>
  </si>
  <si>
    <t>VALOR x DIA</t>
  </si>
  <si>
    <t>Reconocimiento del Inmueble y servicios Públicos</t>
  </si>
  <si>
    <t xml:space="preserve">La viabilización de Reconocimiento y mantenimiento del inmueble se encuentran por la Subdirección de Diseño, Evaluación y Sistematización de la Secretaría Distrital de Integración Social - SDIS con los memorandos No.   I2024014734 del 29/05/2024 el calculo se realización la fórmula  "Valor unitario cupo día x cupos x días" </t>
  </si>
  <si>
    <t>Para el caso de los servicios Públicos, Agua, gas, teléfono se encuentra viabilizado  por la Subdirección de Diseño, Evaluación y Sistematización de la Secretaría Distrital de Integración Social - SDIS con los memorandos No.   I2024014734 del 29/05/2024,este se toma como un costo variable por tanto la formula para el calculo en la estructura es la siguiente: Valor unitario cupo día x cupos x días calendario"</t>
  </si>
  <si>
    <t xml:space="preserve">ELEMENTO </t>
  </si>
  <si>
    <t>DESCRIPCIÓN DEL ELEMENTO</t>
  </si>
  <si>
    <t>UNIDAD DE MEDIDA</t>
  </si>
  <si>
    <t>Costo mensual</t>
  </si>
  <si>
    <t>VR X CUPO</t>
  </si>
  <si>
    <t>VR CUPO DIA</t>
  </si>
  <si>
    <t>Costo dia</t>
  </si>
  <si>
    <t>Costo cupo dia</t>
  </si>
  <si>
    <t xml:space="preserve">Reconocimiento del Inmueble </t>
  </si>
  <si>
    <t xml:space="preserve"> Hace referencia al derecho  del uso del inmueble del servicio ofertado para el servicio social cumpliendo con los lineamientos  establecidos en los estandares de calidad  para el servicio social  y las condiciones especificadas  en el anexo técnico.  </t>
  </si>
  <si>
    <t xml:space="preserve">Mensual por centro 100 cupos </t>
  </si>
  <si>
    <t xml:space="preserve">Reconocomiento del Inmueble </t>
  </si>
  <si>
    <t xml:space="preserve">Hace Referencia al derecho  del uso del inmueble del servicio ofertado para el servicio social cumpliendo con los lineamientos  establecidos en los estandares de calidad  para el servicio social  y las condiciones especificadas  en el anexo técnico.   </t>
  </si>
  <si>
    <t xml:space="preserve">Mensual por centro 130 cupos </t>
  </si>
  <si>
    <t xml:space="preserve">Mantenimiento del Inmueble </t>
  </si>
  <si>
    <t xml:space="preserve">Este ítem hace referencia  a todas las acciones para garantizar  que el inmueble se encuentre en condición  de prestar el servicio social, cumpliendo con las especificaciones  establecidas en el anexo técnico </t>
  </si>
  <si>
    <t xml:space="preserve"> Este Item hace referencia  a todas las acciones para garantizar  que el inmueble se encuentre en condición  de prestar el servicio social, cumpliendo con las especificaciones  establecidas en el anexo técnico.</t>
  </si>
  <si>
    <t xml:space="preserve">Servicio Energia </t>
  </si>
  <si>
    <t>garantizar la prestación de dichos servicios en la Unidad Operativa de manera ininterrumpida para 100 cupos</t>
  </si>
  <si>
    <t>mensual</t>
  </si>
  <si>
    <t>garantizar la prestación de dichos servicios en la Unidad Operativa de manera ininterrumpida para 130 cupos</t>
  </si>
  <si>
    <t xml:space="preserve">Servicio Acueducto </t>
  </si>
  <si>
    <t xml:space="preserve">Servicio de Aseo </t>
  </si>
  <si>
    <t xml:space="preserve">Servicio Gas </t>
  </si>
  <si>
    <t>Servicio de Telefonia e Internet</t>
  </si>
  <si>
    <t>garantizar la prestación de dichos servicios en la Unidad Operativa de manera ininterrumpida</t>
  </si>
  <si>
    <t>Cupos</t>
  </si>
  <si>
    <t>VALOR MES</t>
  </si>
  <si>
    <t>VR CUPO MES</t>
  </si>
  <si>
    <t>total servicon Públicos + internet</t>
  </si>
  <si>
    <r>
      <rPr>
        <b/>
        <sz val="9"/>
        <rFont val="Arial"/>
        <family val="2"/>
      </rPr>
      <t>R O L</t>
    </r>
  </si>
  <si>
    <r>
      <rPr>
        <b/>
        <sz val="9"/>
        <rFont val="Arial"/>
        <family val="2"/>
      </rPr>
      <t>DOTAC IÓN</t>
    </r>
  </si>
  <si>
    <r>
      <rPr>
        <b/>
        <sz val="9"/>
        <rFont val="Arial"/>
        <family val="2"/>
      </rPr>
      <t xml:space="preserve">CANTID AD VIGENCI
</t>
    </r>
    <r>
      <rPr>
        <b/>
        <sz val="9"/>
        <rFont val="Arial"/>
        <family val="2"/>
      </rPr>
      <t>A 2021</t>
    </r>
  </si>
  <si>
    <r>
      <rPr>
        <b/>
        <sz val="9"/>
        <rFont val="Arial"/>
        <family val="2"/>
      </rPr>
      <t xml:space="preserve">CANTID AD VIGENCI
</t>
    </r>
    <r>
      <rPr>
        <b/>
        <sz val="9"/>
        <rFont val="Arial"/>
        <family val="2"/>
      </rPr>
      <t>A 2022</t>
    </r>
  </si>
  <si>
    <r>
      <rPr>
        <b/>
        <sz val="9"/>
        <rFont val="Arial"/>
        <family val="2"/>
      </rPr>
      <t xml:space="preserve">CANTID AD VIGENCI
</t>
    </r>
    <r>
      <rPr>
        <b/>
        <sz val="9"/>
        <rFont val="Arial"/>
        <family val="2"/>
      </rPr>
      <t>A 2023</t>
    </r>
  </si>
  <si>
    <r>
      <rPr>
        <sz val="9"/>
        <rFont val="Arial MT"/>
        <family val="2"/>
      </rPr>
      <t xml:space="preserve">Coordinador general (1) Profesional operativo - enfermero en jefe (1) Psicólogo (5)
</t>
    </r>
    <r>
      <rPr>
        <sz val="9"/>
        <rFont val="Arial MT"/>
        <family val="2"/>
      </rPr>
      <t xml:space="preserve">Trabajador social (3)
</t>
    </r>
    <r>
      <rPr>
        <sz val="9"/>
        <rFont val="Arial MT"/>
        <family val="2"/>
      </rPr>
      <t xml:space="preserve">Terapeuta ocupacional (4)
</t>
    </r>
    <r>
      <rPr>
        <sz val="9"/>
        <rFont val="Arial MT"/>
        <family val="2"/>
      </rPr>
      <t xml:space="preserve">Terapeuta físico (5)
</t>
    </r>
    <r>
      <rPr>
        <sz val="9"/>
        <rFont val="Arial MT"/>
        <family val="2"/>
      </rPr>
      <t xml:space="preserve">Educador físico (1)
</t>
    </r>
    <r>
      <rPr>
        <sz val="9"/>
        <rFont val="Arial MT"/>
        <family val="2"/>
      </rPr>
      <t xml:space="preserve">Nutricionista (1)
</t>
    </r>
    <r>
      <rPr>
        <sz val="9"/>
        <rFont val="Arial MT"/>
        <family val="2"/>
      </rPr>
      <t xml:space="preserve">Tallerista (3)
</t>
    </r>
    <r>
      <rPr>
        <sz val="9"/>
        <rFont val="Arial MT"/>
        <family val="2"/>
      </rPr>
      <t>Técnico administrativo (1)</t>
    </r>
  </si>
  <si>
    <r>
      <rPr>
        <sz val="9"/>
        <rFont val="Arial MT"/>
        <family val="2"/>
      </rPr>
      <t xml:space="preserve">Traje anti fluido de dos (2) piezas, azul oscuro con los logos dispuestos como lo establece el manual de imagen institucional de la Secretaría Distrital de Integración Social.
</t>
    </r>
    <r>
      <rPr>
        <sz val="9"/>
        <rFont val="Arial MT"/>
        <family val="2"/>
      </rPr>
      <t>Dos (2) trajes para cada rol.</t>
    </r>
  </si>
  <si>
    <r>
      <rPr>
        <sz val="9"/>
        <rFont val="Arial MT"/>
        <family val="2"/>
      </rPr>
      <t xml:space="preserve">Auxiliar de enfermería
</t>
    </r>
    <r>
      <rPr>
        <sz val="9"/>
        <rFont val="Arial MT"/>
        <family val="2"/>
      </rPr>
      <t>(21) Técnico en alimentos (1) Manipulador de alimentos (8)</t>
    </r>
  </si>
  <si>
    <r>
      <rPr>
        <sz val="9"/>
        <rFont val="Arial MT"/>
        <family val="2"/>
      </rPr>
      <t>Traje anti fluido de dos (2) piezas, blanco con los logos dispuestos como lo establece el manual de imagen institucional de la Secretaría Distrital de Integración Social.
Dos (2) trajes para cada rol.</t>
    </r>
    <r>
      <rPr>
        <sz val="11"/>
        <color theme="1"/>
        <rFont val="Calibri"/>
        <family val="2"/>
        <scheme val="minor"/>
      </rPr>
      <t xml:space="preserve">
El manipulador de alimentos requiere tres (3) trajes.</t>
    </r>
  </si>
  <si>
    <r>
      <rPr>
        <sz val="9"/>
        <rFont val="Arial MT"/>
        <family val="2"/>
      </rPr>
      <t>Promotor social (8)</t>
    </r>
  </si>
  <si>
    <r>
      <rPr>
        <sz val="9"/>
        <rFont val="Arial MT"/>
        <family val="2"/>
      </rPr>
      <t xml:space="preserve">Traje anti fluido de dos (2) piezas, verde oscuro con los logos dispuestos como lo establece el manual de imagen institucional de la Secretaría Distrital de Integración
</t>
    </r>
    <r>
      <rPr>
        <sz val="9"/>
        <rFont val="Arial MT"/>
        <family val="2"/>
      </rPr>
      <t xml:space="preserve">Social.
</t>
    </r>
    <r>
      <rPr>
        <sz val="9"/>
        <rFont val="Arial MT"/>
        <family val="2"/>
      </rPr>
      <t>Dos (2) trajes para cada promotor</t>
    </r>
  </si>
  <si>
    <r>
      <rPr>
        <sz val="9"/>
        <rFont val="Arial MT"/>
        <family val="2"/>
      </rPr>
      <t>Manipulador de alimentos (8)</t>
    </r>
  </si>
  <si>
    <r>
      <rPr>
        <sz val="9"/>
        <rFont val="Arial MT"/>
        <family val="2"/>
      </rPr>
      <t>Petos plásticos</t>
    </r>
  </si>
  <si>
    <t>una
Zapato cerrado, sin cordones, de material resistente, antideslizante, impermeable y de tacón bajo. No se permitirán zapatos tipo crocs que presenten orificios.
Dos (2) para cada manipulador de alimentos.</t>
  </si>
  <si>
    <t xml:space="preserve">Gorro, cofia y/o malla, cajas de mínimo 100 unidades cada </t>
  </si>
  <si>
    <t>Piezas comunicativas y de Difusión</t>
  </si>
  <si>
    <t xml:space="preserve">La viabilización de los Productos  se encuentran viabilizados por la Subdirección de Diseño, Evaluación y Sistematización de la Secretaría Distrital de Integración Social - SDIS con los memorandos No.   I2023008278 del 17/03/2023,  el calculo se realiza con la fórmula  "Valor unitario cupo día x cupos x días" </t>
  </si>
  <si>
    <t xml:space="preserve">Pagina </t>
  </si>
  <si>
    <t>cantidad x vigencia</t>
  </si>
  <si>
    <t>DESGASTE EN MESES</t>
  </si>
  <si>
    <t>desgaste y uso</t>
  </si>
  <si>
    <t>Pendón</t>
  </si>
  <si>
    <t>COSTO DIA</t>
  </si>
  <si>
    <t>COSTO CUPO DIA 100 CUPOS</t>
  </si>
  <si>
    <t>COSTO CUPO DIA 130 CUPOS</t>
  </si>
  <si>
    <t>Alimentación</t>
  </si>
  <si>
    <t xml:space="preserve">De acuerdo con aporte nutricional definido para el servicio, con base en las recomendaciones de ingesta de calorías y nutrientes para la población habitante de calle o en riesgo de estarlo, de 29 años en adelante y la minuta definida por la Dirección de Nutrición y Abastecimiento, se realizó el cálculo del costo mensual, a partir de los costos unitarios de los alimentos viabilizados por la Subdirección de Diseño, Evaluación y sistematización de la Secretaría Distrital de Integración Social - SDIS mediante los radicados definidos  I2024011245 26/04/2024; I2024012926 14/05/2024; I2024011757 1/05/2024; I2024011415 29/04/2024; I2024005209 24/02/2024, I2024013739  21/05/2024. Así mismo, se tuvo en cuenta para los productos de panadería los precios suministrados por la Dirección de Nutrición Y Abastecimiento viabilizados según correo enviado el miércoles 5 de junio de 2024.  El cálculo se realiza con la siguiente formula  Valor unitario cupo día x cupos x días calendario" 
</t>
  </si>
  <si>
    <t>ARTICULO REQUERIDO EN LA MINUTA</t>
  </si>
  <si>
    <t>SUMA DE PESO BRUTO GR O CC REQUERIDO SEGÚN MINUTA Y ARCHIVO DE ANALISIS NUTICIONAL</t>
  </si>
  <si>
    <t>UNIDAD DE MEDIDA EN GR VIABILIDAD</t>
  </si>
  <si>
    <t>MEMORANDO - VIABILIDAD</t>
  </si>
  <si>
    <t>VALOR UNITARIO POR GR O CC</t>
  </si>
  <si>
    <t>VALOR UNITARIO POR PESO BRUTO REQUERIDO</t>
  </si>
  <si>
    <t>ACEITE, DE SOYA</t>
  </si>
  <si>
    <t>ACELGA</t>
  </si>
  <si>
    <t>AGUACATE</t>
  </si>
  <si>
    <t>AHUYAMA</t>
  </si>
  <si>
    <t>AJO</t>
  </si>
  <si>
    <t>AJONJOLÍ</t>
  </si>
  <si>
    <t>APIO</t>
  </si>
  <si>
    <t>AROMÁTICAS (EN BOLSITAS FILTRANTES)</t>
  </si>
  <si>
    <t>ARRACACHA</t>
  </si>
  <si>
    <t>ARROZ BLANCO FORTIFICADO O ENRIQUECIDO</t>
  </si>
  <si>
    <t>ARVEJA VERDE EN VAINA</t>
  </si>
  <si>
    <t>AVENA EN HOJUELAS</t>
  </si>
  <si>
    <t>AVENA SABORIZADA INSTANTANEA</t>
  </si>
  <si>
    <t>AZÚCAR BLANCA</t>
  </si>
  <si>
    <t>BANANO</t>
  </si>
  <si>
    <t>BOCADILLO DE GUAYABA</t>
  </si>
  <si>
    <t>CALABAZA</t>
  </si>
  <si>
    <t>CANELA EN ASTILLA</t>
  </si>
  <si>
    <t>LOMO DE CERDO</t>
  </si>
  <si>
    <t>PECHUGA DE POLLO</t>
  </si>
  <si>
    <t>CARNE DE RES, GORDA</t>
  </si>
  <si>
    <t>CARNE DE RES, MAGRA</t>
  </si>
  <si>
    <t>CARNE DE RES, MOLIDA</t>
  </si>
  <si>
    <t>CEBADA PERLADA</t>
  </si>
  <si>
    <t>CEBOLLA CABEZONA</t>
  </si>
  <si>
    <t>CEBOLLA LARGA</t>
  </si>
  <si>
    <t>CHAMPIÑONES</t>
  </si>
  <si>
    <t>CHOCOLATE DE MESA CON AZÚCAR</t>
  </si>
  <si>
    <t>CILANTRO</t>
  </si>
  <si>
    <t>MENUDENCIAS (CORAZON)</t>
  </si>
  <si>
    <t>CREMA DE LECHE UHT</t>
  </si>
  <si>
    <t>CROISSANT, HORNEADO</t>
  </si>
  <si>
    <t>CUCHUCO DE CEBADA, TRITURADO</t>
  </si>
  <si>
    <t>CUCHUCO DE TRIGO, TRITURADO</t>
  </si>
  <si>
    <t xml:space="preserve">CURUBA </t>
  </si>
  <si>
    <t>ESPINACA</t>
  </si>
  <si>
    <t>FÉCULA DE MAÍZ</t>
  </si>
  <si>
    <t>FEIJOA</t>
  </si>
  <si>
    <t>FRESA</t>
  </si>
  <si>
    <t>FRÍJOL CARGAMANTO</t>
  </si>
  <si>
    <t>GALLETA SALADA TIPO CRACKERS</t>
  </si>
  <si>
    <t>GALLETA TIPO CRACKERS INTEGRAL</t>
  </si>
  <si>
    <t>GALLETA, DULCE, WAFER</t>
  </si>
  <si>
    <t>GALLETA DE AVENA</t>
  </si>
  <si>
    <t>GARBANZO SECO</t>
  </si>
  <si>
    <t>GRANADILLA</t>
  </si>
  <si>
    <t>GUANÁBANA</t>
  </si>
  <si>
    <t>GUASCAS</t>
  </si>
  <si>
    <t>GUAYABA PERA</t>
  </si>
  <si>
    <t>HABICHUELA</t>
  </si>
  <si>
    <t>HARINA DE MAÍZ BLANCO, GRANO TRILLADO</t>
  </si>
  <si>
    <t>HARINA DE PLÁTANO</t>
  </si>
  <si>
    <t>HARINA DE TRIGO FORTIFICADA</t>
  </si>
  <si>
    <t>HÍGADO DE RES</t>
  </si>
  <si>
    <t>HUEVO DE GALLINA</t>
  </si>
  <si>
    <t>KUMIS ENTERO CON DULCE</t>
  </si>
  <si>
    <t>LAUREL</t>
  </si>
  <si>
    <t>LECHE DE VACA, ENTERA, PASTEURIZADA</t>
  </si>
  <si>
    <t>LECHUGA COMÚN</t>
  </si>
  <si>
    <t>LENTEJA</t>
  </si>
  <si>
    <t>LIMÓN</t>
  </si>
  <si>
    <t>LULO</t>
  </si>
  <si>
    <t>MAÍZ TRILLADO - PETO</t>
  </si>
  <si>
    <t>MANDARINA</t>
  </si>
  <si>
    <t>MANGO, MADURO, PULPA</t>
  </si>
  <si>
    <t>MANTECADA</t>
  </si>
  <si>
    <t>MANTEQUILLA, SIN SAL</t>
  </si>
  <si>
    <t>MANZANA</t>
  </si>
  <si>
    <t>MARACUYÁ</t>
  </si>
  <si>
    <t>MARGARINA, DE ACEITE VEGETAL HIDROGENADO</t>
  </si>
  <si>
    <t>MAYONESA, CON SAL</t>
  </si>
  <si>
    <t>MELÓN</t>
  </si>
  <si>
    <t>MENUDO DE RES</t>
  </si>
  <si>
    <t>FILETE DE MOJARRA O TILAPIA</t>
  </si>
  <si>
    <t>MIEL DE ABEJAS</t>
  </si>
  <si>
    <t>MOGOLLA</t>
  </si>
  <si>
    <t>MOGOLLA INTEGRAL</t>
  </si>
  <si>
    <t>MORA DE CASTILLA, PULPA</t>
  </si>
  <si>
    <t>OREGANO</t>
  </si>
  <si>
    <t>PAJARILLA DE RES</t>
  </si>
  <si>
    <t>PAN BLANDO</t>
  </si>
  <si>
    <t>PAN BLANCO</t>
  </si>
  <si>
    <t>PAN HARINA DE TRIGO</t>
  </si>
  <si>
    <t>PAN INTEGRAL</t>
  </si>
  <si>
    <t>PAN MOLDE</t>
  </si>
  <si>
    <t>PANELA</t>
  </si>
  <si>
    <t>PAPA COMÚN, SIN CÁSCARA, CRUDA</t>
  </si>
  <si>
    <t>PAPA CRIOLLA, CON CÁSCARA, CRUDA</t>
  </si>
  <si>
    <t>PAPA PASTUSA, SIN CÁSCARA, CRUDA</t>
  </si>
  <si>
    <t>PAPAYA</t>
  </si>
  <si>
    <t>PAPAYUELA, MADURO, PULPA</t>
  </si>
  <si>
    <t>PASTA ALIMENTICIA ENRIQUECIDA</t>
  </si>
  <si>
    <t>PATILLA</t>
  </si>
  <si>
    <t>PEPINO COHOMBRO, SIN CÁSCARA</t>
  </si>
  <si>
    <t>PEPINO, CRUDO</t>
  </si>
  <si>
    <t>PERA, MADURO, PULPA</t>
  </si>
  <si>
    <t>PEREJIL</t>
  </si>
  <si>
    <t>PIMENTÓN ROJO</t>
  </si>
  <si>
    <t>PIÑA</t>
  </si>
  <si>
    <t>PLÁTANO COLÍ, CRUDO</t>
  </si>
  <si>
    <t>PLÁTANO HARTÓN, MADURO, CRUDO</t>
  </si>
  <si>
    <t>PLÁTANO HARTÓN, VERDE, CRUDO</t>
  </si>
  <si>
    <t>QUESO CAMPESINO</t>
  </si>
  <si>
    <t>QUESO DOBLE CREMA</t>
  </si>
  <si>
    <t>REMOLACHA, SIN CÁSCARA, CRUDA</t>
  </si>
  <si>
    <t>SAL</t>
  </si>
  <si>
    <t>TAMAL DE MAÍZ</t>
  </si>
  <si>
    <t>TILAPIA, FILETE, CRUDA</t>
  </si>
  <si>
    <t>TOMATE CHONTO</t>
  </si>
  <si>
    <t>TOMATE DE ÁRBOL
AMARILLO</t>
  </si>
  <si>
    <t>TOMATE MILANO</t>
  </si>
  <si>
    <t>TOMILLO</t>
  </si>
  <si>
    <t>TORTA, CON HARINA DE TRIGO</t>
  </si>
  <si>
    <t>TOSTADA</t>
  </si>
  <si>
    <t>UCHUVA</t>
  </si>
  <si>
    <t>UVA ISABELLA</t>
  </si>
  <si>
    <t>UVA PASA, DESHIDRATADA</t>
  </si>
  <si>
    <t>VINAGRE</t>
  </si>
  <si>
    <t>YOGURT ENTERO, CON DULCE</t>
  </si>
  <si>
    <t>YUCA</t>
  </si>
  <si>
    <t>ZANAHORIA</t>
  </si>
  <si>
    <t>VALOR MES POR CUPO ALIMENTOS</t>
  </si>
  <si>
    <t>VALOR  MES ALIMENTOS (130 CUPOS)</t>
  </si>
  <si>
    <t>VALOR DÍA PARA 130 CUPOS</t>
  </si>
  <si>
    <t>VALOR DIA POR CUPO  ALIMENTOS REDONDEADO</t>
  </si>
  <si>
    <t>VALOR  MES ALIMENTOS (100 CUPOS)</t>
  </si>
  <si>
    <t>VALOR DÍA PARA 100 CUPOS</t>
  </si>
  <si>
    <r>
      <rPr>
        <b/>
        <sz val="10"/>
        <rFont val="Times New Roman"/>
        <family val="1"/>
      </rPr>
      <t>REQUERIMIENTO</t>
    </r>
  </si>
  <si>
    <r>
      <rPr>
        <b/>
        <sz val="10"/>
        <rFont val="Times New Roman"/>
        <family val="1"/>
      </rPr>
      <t>REQUISITOS</t>
    </r>
  </si>
  <si>
    <t>cantidades</t>
  </si>
  <si>
    <t>Área para el ingreso, sala de espera, identificación y registro, Esta área también se puede destinar para la atención psicosocial</t>
  </si>
  <si>
    <t>1 escritorio</t>
  </si>
  <si>
    <t>1 computador de escritorio 1 silla de oficina</t>
  </si>
  <si>
    <t>3 sillas plásticas lavables</t>
  </si>
  <si>
    <r>
      <rPr>
        <sz val="10"/>
        <rFont val="Times New Roman"/>
        <family val="1"/>
      </rPr>
      <t>Área para dormitorios</t>
    </r>
  </si>
  <si>
    <t xml:space="preserve">Área mínima de 2.7 m2 por cama o camarote
Esta área debe ser separada para hombres y mujeres y podrán ser individuales o colectivos.
El área debe contemplar espacio para personas con silla de ruedas.
</t>
  </si>
  <si>
    <t>camas sencillas o  camarotes tamaño sencillo (medida estándar de la cama sencilla)</t>
  </si>
  <si>
    <t>colchones para cada cama y/o camarote, de tamaño sencillo (medida estándar de la cama sencilla)</t>
  </si>
  <si>
    <t>lockers dobles metálicos y/o plásticos</t>
  </si>
  <si>
    <t xml:space="preserve">Área de baños para los participantes
</t>
  </si>
  <si>
    <t>1 unidad sanitaria con ducha (con suministro de agua caliente y/o fría), inodoro, orinal y lavamanos por cada 10 participantes.</t>
  </si>
  <si>
    <t>Área de baño para personas con discapacidad</t>
  </si>
  <si>
    <t>Esta área debe garantizar privacidad para los participantes y seguridad para el personal de la unidad operativa a través del control visual e independencia para hombres y mujeres, Esta área debe cumplir con los requerimientos establecidos en la norma para personas con discapacidad</t>
  </si>
  <si>
    <t>1 área dotada de sanitarios y lavamanos para el uso de hombres</t>
  </si>
  <si>
    <t>1 área dotada de sanitarios y lavamanos para el uso de mujeres</t>
  </si>
  <si>
    <t>Área de baños para el talento humano y las visitas</t>
  </si>
  <si>
    <t>1 área dotada de sanitarios y lavamanos para el uso de visitas</t>
  </si>
  <si>
    <t>Área para el alistamiento del talento humano y guardado de pertenencias</t>
  </si>
  <si>
    <t>1 área dotada de mínimo 20 lockers dobles metálicos y/o plásticos. Debe ser un espacio cerrado</t>
  </si>
  <si>
    <t>Áreas polifuncionales</t>
  </si>
  <si>
    <t>Mínimo 4 áreas, cada una con capacidad mínima para 20 personas</t>
  </si>
  <si>
    <t>En estas áreas deben distribuirse 150 sillas plásticas lavables</t>
  </si>
  <si>
    <t>En cada área debe haber 5 mesas de 4 puestos cada una</t>
  </si>
  <si>
    <t>1 proyector video beam distribuidos en 1 de las áreas</t>
  </si>
  <si>
    <t>Área para rehabilitación fisioterapéutica - ocupacional</t>
  </si>
  <si>
    <t>Mínimo 1 área con capacidad para la atención simultánea de 10 personas, que garantice el espacio y la distancia necesarios para desarrollar las actividades de rehabilitación de manera adecuada y cómoda.</t>
  </si>
  <si>
    <t>Área para el desarrollo de actividades lúdico - deportivas</t>
  </si>
  <si>
    <t>Mínimo 1 área con capacidad para la actividad física simultánea de 15 personas, en donde estén dispuestos de manera visible y permanente, los elementos recreo- deportivos</t>
  </si>
  <si>
    <t>Área para la atención psicosocial de los participantes</t>
  </si>
  <si>
    <t>Mínimo 2 áreas independientes con capacidad para la atención simultánea de hasta 5 personas</t>
  </si>
  <si>
    <t>Área para terapia alternativa</t>
  </si>
  <si>
    <t xml:space="preserve">Área con capacidad mínima para 20 personas Espejo de pared a piso en uno de los lados del área </t>
  </si>
  <si>
    <t>1 equipo pequeño de reproducción de música</t>
  </si>
  <si>
    <t xml:space="preserve">Área para biblioteca
</t>
  </si>
  <si>
    <t xml:space="preserve">4 mesas de 6 puestos cada una </t>
  </si>
  <si>
    <t>24 sillas plástica lavable</t>
  </si>
  <si>
    <t>4 estantes metálicos para biblioteca, mínimo con 3 entrepaños cada uno</t>
  </si>
  <si>
    <t>Área de primeros auxilios</t>
  </si>
  <si>
    <t>Área de mínimo 10 m2, con:</t>
  </si>
  <si>
    <t xml:space="preserve">2 vitrinas para medicamentos, cada una de mínimo 8 compartimientos, entre cajones y entrepaños. </t>
  </si>
  <si>
    <t>Para el guardado de los medicamentos de cada participante, se debe disponer de contenedores herméticos plásticos con tapa, tamaño mediano (mínimo 100 recipientes)</t>
  </si>
  <si>
    <t xml:space="preserve">1 botiquín tipo A portátil en lona, para salidas </t>
  </si>
  <si>
    <t xml:space="preserve">1 camilla médica no reclinable </t>
  </si>
  <si>
    <t>2 sillas plásticas lavables</t>
  </si>
  <si>
    <t>1 silla de oficina</t>
  </si>
  <si>
    <t xml:space="preserve"> 1 lavamanos</t>
  </si>
  <si>
    <t>En esta área se toman las medidas antropométricas por parte de la nutricionista del centro de alta dependencia</t>
  </si>
  <si>
    <t>Área de almacenamiento de elementos de papelería</t>
  </si>
  <si>
    <t>4 estantes metálicos con mínimo 5 entrepaños cada uno y capacidad para la custodia de mínimo 20 cajas X-200 cada uno</t>
  </si>
  <si>
    <t>Área para gestión documental</t>
  </si>
  <si>
    <t>Mínimo 6 estantes metálicos con mínimo 5 entrepaños cada uno y capacidad para la custodia de mínimo 20 cajas X-200 cada uno</t>
  </si>
  <si>
    <t>Esta área debe garantizar que los documentos se almacenen y custodien con las condiciones establecidas por la Entidad para la conservación documental, así mismo, debe ser de acceso restringido a los participantes y personal no autorizado</t>
  </si>
  <si>
    <t>Área de comedor</t>
  </si>
  <si>
    <t>Mínimo 1 área, dotada de sillas y mesas plásticas lavables, con capacidad suficiente para atender el 50% de los participantes simultáneamente por turno de alimentación.</t>
  </si>
  <si>
    <t>sillas plasticas lavables</t>
  </si>
  <si>
    <t>mesas plásticas lavables 4 puestos</t>
  </si>
  <si>
    <t>Área del servicio de alimentación</t>
  </si>
  <si>
    <t xml:space="preserve">Esta área debe ser distinta a las áreas polifuncionales; en caso de no ser así, se debe indicar el protocolo para la utilización de un espacio polifuncional para esta actividad, lo cual está sujeto a la verificación de la supervisión.    Área con las siguientes características:                                                                    •  Distribuida en cuatro (4) áreas básicas señalizadas así: área fría,  área  caliente,  área  para  pre  alistamiento  de  alimentos crudos y área para la higienización de la vajilla y utensilios. Con espacio de despensa para el almacenamiento de alimentos perecederos y no perecederos con capacidad acorde al volumen de preparación de alimentos, está ubicado cerca del servicio de alimentación y aislado del espacio de almacenamiento de elementos de aseo.                                                                        </t>
  </si>
  <si>
    <t>Área para la coordinación administrativa</t>
  </si>
  <si>
    <t xml:space="preserve"> 2 escritorios</t>
  </si>
  <si>
    <t xml:space="preserve">4 sillas plásticas lavables </t>
  </si>
  <si>
    <t>2 sillas ergonómicas</t>
  </si>
  <si>
    <t>2 archivadores</t>
  </si>
  <si>
    <t xml:space="preserve">1 computador de escritorio con conexión a internet </t>
  </si>
  <si>
    <t>1 impresora láser 1 scaner</t>
  </si>
  <si>
    <t>1 teléfono fijo o celular</t>
  </si>
  <si>
    <t xml:space="preserve">Área para oficina de talento humano
</t>
  </si>
  <si>
    <t>2 áreas independientes, dotadas cada una con: 10 escritorios</t>
  </si>
  <si>
    <t>10 sillas ergonómicas</t>
  </si>
  <si>
    <t xml:space="preserve">12 sillas plásticas lavables </t>
  </si>
  <si>
    <t>5 archivadores</t>
  </si>
  <si>
    <t>5 computadores fijos con conexión optima a internet. Los computadores deben tener acceso permanente a SIRBE. 1scaner</t>
  </si>
  <si>
    <t>5 estantes metálicos</t>
  </si>
  <si>
    <t>Área de almacenamiento de elementos de aseo personal</t>
  </si>
  <si>
    <t>Esta área debe ser independiente y alejada del servicio de alimentación y de acceso restringido para los participantes y personal no autorizado 5 estantes metálicos</t>
  </si>
  <si>
    <t>Área de almacenamiento de elementos de aseo institucional</t>
  </si>
  <si>
    <t>Área de alistamiento de personal de servicios generales y manipuladores de alimentos</t>
  </si>
  <si>
    <t>Esta área debe ser independiente y alejada del servicio de alimentación y de acceso restringido para los participantes y personal no autorizado 10 lockers dobles metálicos y/o plásticos para la ubicación de los elementos personales y cambio de ropa</t>
  </si>
  <si>
    <t>Área de baños para el personal de servicios generales y manipuladores de alimentos</t>
  </si>
  <si>
    <t>Área para el almacenamiento de residuos</t>
  </si>
  <si>
    <t>El área de almacenamiento de residuos debe cumplir con la normatividad dispuesta para tal fin</t>
  </si>
  <si>
    <t xml:space="preserve"> Área de lavandería</t>
  </si>
  <si>
    <t>Espacio de secado</t>
  </si>
  <si>
    <t>Espacio de recepción y clasificación de ropa</t>
  </si>
  <si>
    <t>4 lavaderos</t>
  </si>
  <si>
    <t>Área de lavado a mano Área de aseo institucional</t>
  </si>
  <si>
    <t>2 áreas independientes, de aseo institucional cada una dotada de: Lavaderos para escobas, traperos y demás elementos de aseo 1 estante metálico y/o plástico</t>
  </si>
  <si>
    <t>Área para actividades agro</t>
  </si>
  <si>
    <t>Área independiente, alejada del servicio de alimentación y de acceso restringido a los participantes y personal no autorizado Si el área es rural, 500 m2 mínimo Si el área es urbana, espacio con luz directa para huertos urbanos mínimo de 150 m2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</si>
</sst>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4" formatCode="_(&quot;$&quot;* #,##0.00_);_(&quot;$&quot;* \(#,##0.00\);_(&quot;$&quot;* &quot;-&quot;??_);_(@_)"/>
    <numFmt numFmtId="164" formatCode="&quot;$&quot;\ #,##0;[Red]\-&quot;$&quot;\ #,##0"/>
    <numFmt numFmtId="165" formatCode="_-* #,##0_-;\-* #,##0_-;_-* &quot;-&quot;_-;_-@_-"/>
    <numFmt numFmtId="166" formatCode="_-&quot;$&quot;\ * #,##0.00_-;\-&quot;$&quot;\ * #,##0.00_-;_-&quot;$&quot;\ * &quot;-&quot;??_-;_-@_-"/>
    <numFmt numFmtId="167" formatCode="_-* #,##0.00_-;\-* #,##0.00_-;_-* &quot;-&quot;??_-;_-@_-"/>
    <numFmt numFmtId="168" formatCode="[$$-240A]\ #,##0.00"/>
    <numFmt numFmtId="169" formatCode="_-&quot;$&quot;* #,##0.00_-;\-&quot;$&quot;* #,##0.00_-;_-&quot;$&quot;* &quot;-&quot;??_-;_-@_-"/>
    <numFmt numFmtId="170" formatCode="&quot;$&quot;\ #,##0.00"/>
    <numFmt numFmtId="171" formatCode="_-&quot;$&quot;* #,##0_-;\-&quot;$&quot;* #,##0_-;_-&quot;$&quot;* &quot;-&quot;_-;_-@_-"/>
    <numFmt numFmtId="172" formatCode="&quot;$&quot;#,##0.00"/>
    <numFmt numFmtId="173" formatCode="_-&quot;$&quot;\ * #,##0_-;\-&quot;$&quot;\ * #,##0_-;_-&quot;$&quot;\ * &quot;-&quot;??_-;_-@_-"/>
    <numFmt numFmtId="174" formatCode="_-&quot;$&quot;* #,##0_-;\-&quot;$&quot;* #,##0_-;_-&quot;$&quot;* &quot;-&quot;??_-;_-@_-"/>
    <numFmt numFmtId="175" formatCode="&quot;$&quot;\ #,##0"/>
    <numFmt numFmtId="176" formatCode="_(&quot;$&quot;* #,##0_);_(&quot;$&quot;* \(#,##0\);_(&quot;$&quot;* &quot;-&quot;??_);_(@_)"/>
    <numFmt numFmtId="177" formatCode="[$$-240A]\ #,##0"/>
    <numFmt numFmtId="178" formatCode="#,##0_ ;\-#,##0\ "/>
    <numFmt numFmtId="179" formatCode="0.0"/>
    <numFmt numFmtId="180" formatCode="_-* #,##0_-;\-* #,##0_-;_-* &quot;-&quot;??_-;_-@_-"/>
    <numFmt numFmtId="181" formatCode="#,##0.00_ ;\-#,##0.00\ "/>
  </numFmts>
  <fonts count="76">
    <font>
      <sz val="11"/>
      <color theme="1"/>
      <name val="Calibri"/>
      <family val="2"/>
      <scheme val="minor"/>
    </font>
    <font>
      <sz val="10"/>
      <color theme="1"/>
      <name val="Arial"/>
      <family val="2"/>
    </font>
    <font>
      <b/>
      <sz val="10"/>
      <color theme="1"/>
      <name val="Arial"/>
      <family val="2"/>
    </font>
    <font>
      <b/>
      <sz val="11"/>
      <color theme="1"/>
      <name val="Arial"/>
      <family val="2"/>
    </font>
    <font>
      <b/>
      <sz val="11"/>
      <color theme="1"/>
      <name val="Calibri"/>
      <family val="2"/>
      <scheme val="minor"/>
    </font>
    <font>
      <sz val="11"/>
      <color theme="1"/>
      <name val="Calibri"/>
      <family val="2"/>
      <scheme val="minor"/>
    </font>
    <font>
      <sz val="10"/>
      <name val="Arial"/>
      <family val="2"/>
    </font>
    <font>
      <sz val="11"/>
      <color indexed="8"/>
      <name val="Calibri"/>
      <family val="2"/>
    </font>
    <font>
      <sz val="10"/>
      <color rgb="FF000000"/>
      <name val="Times New Roman"/>
      <family val="1"/>
    </font>
    <font>
      <sz val="11"/>
      <name val="Arial"/>
      <family val="2"/>
    </font>
    <font>
      <sz val="12"/>
      <color rgb="FFFF0000"/>
      <name val="Arial"/>
      <family val="2"/>
    </font>
    <font>
      <sz val="12"/>
      <color theme="1"/>
      <name val="Calibri"/>
      <family val="2"/>
      <scheme val="minor"/>
    </font>
    <font>
      <sz val="9"/>
      <color theme="1"/>
      <name val="Calibri"/>
      <family val="2"/>
      <scheme val="minor"/>
    </font>
    <font>
      <b/>
      <sz val="9"/>
      <name val="Times New Roman"/>
      <family val="1"/>
    </font>
    <font>
      <sz val="9"/>
      <name val="Times New Roman"/>
      <family val="1"/>
    </font>
    <font>
      <sz val="9"/>
      <color rgb="FF000000"/>
      <name val="Times New Roman"/>
      <family val="2"/>
    </font>
    <font>
      <b/>
      <u/>
      <sz val="9"/>
      <name val="Times New Roman"/>
      <family val="1"/>
    </font>
    <font>
      <b/>
      <sz val="9"/>
      <name val="Arial"/>
      <family val="2"/>
    </font>
    <font>
      <sz val="9"/>
      <name val="Arial MT"/>
      <family val="2"/>
    </font>
    <font>
      <sz val="9"/>
      <color rgb="FF000000"/>
      <name val="Arial MT"/>
      <family val="2"/>
    </font>
    <font>
      <sz val="9"/>
      <name val="Arial MT"/>
    </font>
    <font>
      <b/>
      <sz val="10"/>
      <name val="Times New Roman"/>
      <family val="1"/>
    </font>
    <font>
      <sz val="10"/>
      <name val="Times New Roman"/>
      <family val="1"/>
    </font>
    <font>
      <sz val="11"/>
      <color theme="1"/>
      <name val="Calibri"/>
      <family val="1"/>
      <scheme val="minor"/>
    </font>
    <font>
      <sz val="10"/>
      <name val="Aptos Narrow"/>
      <family val="1"/>
    </font>
    <font>
      <b/>
      <sz val="9"/>
      <color rgb="FF000000"/>
      <name val="Arial"/>
      <family val="2"/>
    </font>
    <font>
      <sz val="10"/>
      <name val="Arial Narrow"/>
      <family val="2"/>
    </font>
    <font>
      <b/>
      <sz val="10"/>
      <name val="Arial Narrow"/>
      <family val="2"/>
    </font>
    <font>
      <sz val="8"/>
      <color rgb="FF000000"/>
      <name val="Arial"/>
      <family val="2"/>
    </font>
    <font>
      <b/>
      <sz val="8"/>
      <name val="Arial"/>
      <family val="2"/>
    </font>
    <font>
      <sz val="8"/>
      <name val="Arial"/>
      <family val="2"/>
    </font>
    <font>
      <sz val="8"/>
      <color theme="1"/>
      <name val="Arial"/>
      <family val="2"/>
    </font>
    <font>
      <b/>
      <sz val="10"/>
      <name val="Arial"/>
      <family val="2"/>
    </font>
    <font>
      <sz val="10"/>
      <color rgb="FF000000"/>
      <name val="Arial"/>
      <family val="2"/>
    </font>
    <font>
      <sz val="9"/>
      <name val="Arial"/>
      <family val="2"/>
    </font>
    <font>
      <b/>
      <sz val="9"/>
      <color theme="1"/>
      <name val="Calibri"/>
      <family val="2"/>
      <scheme val="minor"/>
    </font>
    <font>
      <sz val="10"/>
      <color theme="1"/>
      <name val="Calibri"/>
      <family val="2"/>
      <scheme val="minor"/>
    </font>
    <font>
      <sz val="10"/>
      <name val="Arial MT"/>
    </font>
    <font>
      <sz val="10"/>
      <name val="Arial MT"/>
      <family val="2"/>
    </font>
    <font>
      <b/>
      <sz val="10"/>
      <color theme="1"/>
      <name val="Calibri"/>
      <family val="2"/>
      <scheme val="minor"/>
    </font>
    <font>
      <sz val="10"/>
      <color theme="1"/>
      <name val="Arial"/>
      <family val="2"/>
      <charset val="1"/>
    </font>
    <font>
      <sz val="10"/>
      <color rgb="FF000000"/>
      <name val="Arial"/>
      <family val="2"/>
      <charset val="1"/>
    </font>
    <font>
      <b/>
      <sz val="10"/>
      <color rgb="FF000000"/>
      <name val="Arial"/>
      <family val="2"/>
    </font>
    <font>
      <sz val="9"/>
      <color theme="1"/>
      <name val="Times New Roman"/>
      <family val="1"/>
    </font>
    <font>
      <b/>
      <sz val="13"/>
      <name val="Arial Narrow"/>
      <family val="2"/>
    </font>
    <font>
      <sz val="10"/>
      <color rgb="FFFF0000"/>
      <name val="Arial"/>
      <family val="2"/>
    </font>
    <font>
      <sz val="11"/>
      <color rgb="FF000000"/>
      <name val="Arial Narrow"/>
      <family val="2"/>
    </font>
    <font>
      <b/>
      <sz val="10"/>
      <color theme="0"/>
      <name val="Arial"/>
      <family val="2"/>
    </font>
    <font>
      <b/>
      <sz val="10"/>
      <color rgb="FF000000"/>
      <name val="Arial Narrow"/>
      <family val="2"/>
    </font>
    <font>
      <sz val="8"/>
      <color rgb="FFFF0000"/>
      <name val="Arial"/>
      <family val="2"/>
    </font>
    <font>
      <b/>
      <sz val="9"/>
      <color theme="1"/>
      <name val="Arial"/>
      <family val="2"/>
    </font>
    <font>
      <sz val="9"/>
      <color theme="1"/>
      <name val="Arial"/>
      <family val="2"/>
    </font>
    <font>
      <sz val="8"/>
      <color theme="0"/>
      <name val="Arial"/>
      <family val="2"/>
    </font>
    <font>
      <sz val="9"/>
      <name val="Segoe UI"/>
      <family val="2"/>
    </font>
    <font>
      <sz val="9"/>
      <color rgb="FF000000"/>
      <name val="Arial"/>
      <family val="2"/>
    </font>
    <font>
      <b/>
      <sz val="8"/>
      <color rgb="FF000000"/>
      <name val="Arial"/>
      <family val="2"/>
    </font>
    <font>
      <sz val="10"/>
      <color rgb="FF000000"/>
      <name val="Arial Narrow"/>
      <family val="2"/>
    </font>
    <font>
      <b/>
      <sz val="12"/>
      <color theme="1"/>
      <name val="Arial"/>
      <family val="2"/>
    </font>
    <font>
      <sz val="12"/>
      <color rgb="FF000000"/>
      <name val="Arial"/>
      <family val="2"/>
    </font>
    <font>
      <b/>
      <sz val="12"/>
      <color rgb="FF000000"/>
      <name val="Arial"/>
      <family val="2"/>
    </font>
    <font>
      <sz val="10"/>
      <color theme="1"/>
      <name val="Arial"/>
      <family val="2"/>
    </font>
    <font>
      <sz val="12"/>
      <color theme="1"/>
      <name val="Arial"/>
      <family val="2"/>
    </font>
    <font>
      <sz val="10"/>
      <color rgb="FF000000"/>
      <name val="Calibri"/>
      <family val="2"/>
      <scheme val="minor"/>
    </font>
    <font>
      <sz val="13"/>
      <name val="Arial Narrow"/>
      <family val="2"/>
    </font>
    <font>
      <sz val="9"/>
      <name val="Segoe UI"/>
      <family val="2"/>
      <charset val="204"/>
    </font>
    <font>
      <i/>
      <sz val="10"/>
      <color theme="1"/>
      <name val="Arial"/>
      <family val="2"/>
    </font>
    <font>
      <b/>
      <sz val="12"/>
      <color rgb="FFFF0000"/>
      <name val="Arial"/>
      <family val="2"/>
    </font>
    <font>
      <sz val="10"/>
      <name val="Calibri"/>
      <family val="2"/>
      <scheme val="minor"/>
    </font>
    <font>
      <sz val="10"/>
      <color rgb="FF000000"/>
      <name val="Times New Roman"/>
      <family val="1"/>
    </font>
    <font>
      <b/>
      <sz val="10"/>
      <color rgb="FF444444"/>
      <name val="Arial"/>
      <family val="2"/>
    </font>
    <font>
      <i/>
      <sz val="9"/>
      <color theme="1"/>
      <name val="Arial"/>
      <family val="2"/>
    </font>
    <font>
      <b/>
      <sz val="8"/>
      <color theme="1"/>
      <name val="Arial"/>
      <family val="2"/>
    </font>
    <font>
      <b/>
      <sz val="12"/>
      <color theme="1"/>
      <name val="Arial Narrow"/>
      <family val="2"/>
    </font>
    <font>
      <sz val="12"/>
      <color theme="1"/>
      <name val="Arial Narrow"/>
      <family val="2"/>
    </font>
    <font>
      <u/>
      <sz val="11"/>
      <color theme="10"/>
      <name val="Calibri"/>
      <family val="2"/>
      <scheme val="minor"/>
    </font>
    <font>
      <u/>
      <sz val="11"/>
      <color theme="11"/>
      <name val="Calibri"/>
      <family val="2"/>
      <scheme val="minor"/>
    </font>
  </fonts>
  <fills count="33">
    <fill>
      <patternFill patternType="none"/>
    </fill>
    <fill>
      <patternFill patternType="gray125"/>
    </fill>
    <fill>
      <patternFill patternType="solid">
        <fgColor theme="2" tint="-9.9978637043366805E-2"/>
        <bgColor indexed="64"/>
      </patternFill>
    </fill>
    <fill>
      <patternFill patternType="solid">
        <fgColor rgb="FFFFFF00"/>
        <bgColor indexed="64"/>
      </patternFill>
    </fill>
    <fill>
      <patternFill patternType="solid">
        <fgColor theme="4" tint="0.39997558519241921"/>
        <bgColor indexed="64"/>
      </patternFill>
    </fill>
    <fill>
      <patternFill patternType="solid">
        <fgColor rgb="FF92D050"/>
        <bgColor indexed="64"/>
      </patternFill>
    </fill>
    <fill>
      <patternFill patternType="solid">
        <fgColor theme="0"/>
        <bgColor indexed="64"/>
      </patternFill>
    </fill>
    <fill>
      <patternFill patternType="solid">
        <fgColor theme="7" tint="0.79998168889431442"/>
        <bgColor indexed="64"/>
      </patternFill>
    </fill>
    <fill>
      <patternFill patternType="solid">
        <fgColor rgb="FFDBDBDB"/>
      </patternFill>
    </fill>
    <fill>
      <patternFill patternType="solid">
        <fgColor rgb="FFD9D9D9"/>
      </patternFill>
    </fill>
    <fill>
      <patternFill patternType="solid">
        <fgColor theme="8" tint="0.39997558519241921"/>
        <bgColor indexed="64"/>
      </patternFill>
    </fill>
    <fill>
      <patternFill patternType="solid">
        <fgColor theme="9" tint="0.59999389629810485"/>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002060"/>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theme="8" tint="-0.249977111117893"/>
        <bgColor indexed="64"/>
      </patternFill>
    </fill>
    <fill>
      <patternFill patternType="solid">
        <fgColor theme="6" tint="0.79998168889431442"/>
        <bgColor indexed="64"/>
      </patternFill>
    </fill>
    <fill>
      <patternFill patternType="solid">
        <fgColor theme="3" tint="0.89999084444715716"/>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5"/>
        <bgColor indexed="64"/>
      </patternFill>
    </fill>
    <fill>
      <patternFill patternType="solid">
        <fgColor theme="0" tint="-0.249977111117893"/>
        <bgColor indexed="64"/>
      </patternFill>
    </fill>
    <fill>
      <patternFill patternType="solid">
        <fgColor theme="7" tint="0.79998168889431442"/>
        <bgColor rgb="FF000000"/>
      </patternFill>
    </fill>
    <fill>
      <patternFill patternType="solid">
        <fgColor rgb="FFFFFFFF"/>
        <bgColor rgb="FF000000"/>
      </patternFill>
    </fill>
    <fill>
      <patternFill patternType="solid">
        <fgColor theme="8" tint="0.59999389629810485"/>
        <bgColor indexed="64"/>
      </patternFill>
    </fill>
    <fill>
      <patternFill patternType="solid">
        <fgColor theme="0" tint="-4.9989318521683403E-2"/>
        <bgColor rgb="FF000000"/>
      </patternFill>
    </fill>
    <fill>
      <patternFill patternType="solid">
        <fgColor theme="0" tint="-4.9989318521683403E-2"/>
        <bgColor rgb="FFDDEBF7"/>
      </patternFill>
    </fill>
    <fill>
      <patternFill patternType="solid">
        <fgColor theme="0" tint="-4.9989318521683403E-2"/>
        <bgColor theme="4" tint="0.79998168889431442"/>
      </patternFill>
    </fill>
    <fill>
      <patternFill patternType="solid">
        <fgColor theme="4" tint="0.59999389629810485"/>
        <bgColor indexed="64"/>
      </patternFill>
    </fill>
  </fills>
  <borders count="10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medium">
        <color auto="1"/>
      </right>
      <top style="medium">
        <color auto="1"/>
      </top>
      <bottom style="medium">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diagonal/>
    </border>
    <border>
      <left style="medium">
        <color auto="1"/>
      </left>
      <right style="medium">
        <color auto="1"/>
      </right>
      <top/>
      <bottom style="medium">
        <color auto="1"/>
      </bottom>
      <diagonal/>
    </border>
    <border>
      <left/>
      <right style="thin">
        <color auto="1"/>
      </right>
      <top style="medium">
        <color auto="1"/>
      </top>
      <bottom/>
      <diagonal/>
    </border>
    <border>
      <left/>
      <right style="medium">
        <color auto="1"/>
      </right>
      <top/>
      <bottom style="medium">
        <color auto="1"/>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top/>
      <bottom style="medium">
        <color auto="1"/>
      </bottom>
      <diagonal/>
    </border>
    <border>
      <left/>
      <right/>
      <top/>
      <bottom style="medium">
        <color auto="1"/>
      </bottom>
      <diagonal/>
    </border>
    <border>
      <left style="thin">
        <color auto="1"/>
      </left>
      <right style="thin">
        <color auto="1"/>
      </right>
      <top/>
      <bottom/>
      <diagonal/>
    </border>
    <border>
      <left style="thin">
        <color auto="1"/>
      </left>
      <right/>
      <top/>
      <bottom/>
      <diagonal/>
    </border>
    <border>
      <left style="medium">
        <color auto="1"/>
      </left>
      <right style="medium">
        <color auto="1"/>
      </right>
      <top style="medium">
        <color auto="1"/>
      </top>
      <bottom/>
      <diagonal/>
    </border>
    <border>
      <left style="medium">
        <color auto="1"/>
      </left>
      <right style="medium">
        <color auto="1"/>
      </right>
      <top/>
      <bottom/>
      <diagonal/>
    </border>
    <border>
      <left style="thin">
        <color auto="1"/>
      </left>
      <right/>
      <top/>
      <bottom style="thin">
        <color auto="1"/>
      </bottom>
      <diagonal/>
    </border>
    <border>
      <left/>
      <right/>
      <top style="medium">
        <color auto="1"/>
      </top>
      <bottom/>
      <diagonal/>
    </border>
    <border>
      <left style="medium">
        <color auto="1"/>
      </left>
      <right/>
      <top/>
      <bottom/>
      <diagonal/>
    </border>
    <border>
      <left style="thin">
        <color rgb="FF000000"/>
      </left>
      <right style="thin">
        <color rgb="FF000000"/>
      </right>
      <top style="thin">
        <color rgb="FF000000"/>
      </top>
      <bottom style="thin">
        <color rgb="FF000000"/>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top/>
      <bottom style="thin">
        <color rgb="FF000000"/>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auto="1"/>
      </right>
      <top/>
      <bottom/>
      <diagonal/>
    </border>
    <border>
      <left/>
      <right style="thin">
        <color auto="1"/>
      </right>
      <top style="thin">
        <color auto="1"/>
      </top>
      <bottom/>
      <diagonal/>
    </border>
    <border>
      <left/>
      <right style="thin">
        <color auto="1"/>
      </right>
      <top/>
      <bottom style="thin">
        <color auto="1"/>
      </bottom>
      <diagonal/>
    </border>
    <border>
      <left style="thin">
        <color rgb="FF000000"/>
      </left>
      <right style="thin">
        <color auto="1"/>
      </right>
      <top style="thin">
        <color rgb="FF000000"/>
      </top>
      <bottom/>
      <diagonal/>
    </border>
    <border>
      <left style="thin">
        <color rgb="FF000000"/>
      </left>
      <right style="thin">
        <color auto="1"/>
      </right>
      <top/>
      <bottom/>
      <diagonal/>
    </border>
    <border>
      <left style="thin">
        <color rgb="FF000000"/>
      </left>
      <right style="thin">
        <color auto="1"/>
      </right>
      <top/>
      <bottom style="thin">
        <color rgb="FF000000"/>
      </bottom>
      <diagonal/>
    </border>
    <border>
      <left style="medium">
        <color auto="1"/>
      </left>
      <right/>
      <top style="thin">
        <color auto="1"/>
      </top>
      <bottom/>
      <diagonal/>
    </border>
    <border>
      <left style="medium">
        <color auto="1"/>
      </left>
      <right/>
      <top style="medium">
        <color auto="1"/>
      </top>
      <bottom style="thin">
        <color auto="1"/>
      </bottom>
      <diagonal/>
    </border>
    <border>
      <left style="medium">
        <color rgb="FF000000"/>
      </left>
      <right style="thin">
        <color auto="1"/>
      </right>
      <top style="medium">
        <color rgb="FF000000"/>
      </top>
      <bottom/>
      <diagonal/>
    </border>
    <border>
      <left style="thin">
        <color auto="1"/>
      </left>
      <right style="thin">
        <color auto="1"/>
      </right>
      <top style="medium">
        <color rgb="FF000000"/>
      </top>
      <bottom/>
      <diagonal/>
    </border>
    <border>
      <left style="thin">
        <color auto="1"/>
      </left>
      <right style="thin">
        <color auto="1"/>
      </right>
      <top style="medium">
        <color rgb="FF000000"/>
      </top>
      <bottom style="thin">
        <color auto="1"/>
      </bottom>
      <diagonal/>
    </border>
    <border>
      <left style="thin">
        <color auto="1"/>
      </left>
      <right style="medium">
        <color rgb="FF000000"/>
      </right>
      <top style="medium">
        <color rgb="FF000000"/>
      </top>
      <bottom/>
      <diagonal/>
    </border>
    <border>
      <left style="medium">
        <color rgb="FF000000"/>
      </left>
      <right style="thin">
        <color auto="1"/>
      </right>
      <top/>
      <bottom/>
      <diagonal/>
    </border>
    <border>
      <left style="thin">
        <color auto="1"/>
      </left>
      <right style="medium">
        <color rgb="FF000000"/>
      </right>
      <top/>
      <bottom/>
      <diagonal/>
    </border>
    <border>
      <left/>
      <right style="thin">
        <color rgb="FF000000"/>
      </right>
      <top style="thin">
        <color auto="1"/>
      </top>
      <bottom style="thin">
        <color auto="1"/>
      </bottom>
      <diagonal/>
    </border>
    <border>
      <left/>
      <right style="medium">
        <color auto="1"/>
      </right>
      <top/>
      <bottom/>
      <diagonal/>
    </border>
    <border>
      <left/>
      <right style="medium">
        <color auto="1"/>
      </right>
      <top style="thin">
        <color auto="1"/>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rgb="FF000000"/>
      </right>
      <top style="thin">
        <color rgb="FF000000"/>
      </top>
      <bottom style="thin">
        <color rgb="FF000000"/>
      </bottom>
      <diagonal/>
    </border>
    <border>
      <left style="thin">
        <color rgb="FF000000"/>
      </left>
      <right style="medium">
        <color auto="1"/>
      </right>
      <top style="thin">
        <color rgb="FF000000"/>
      </top>
      <bottom style="thin">
        <color rgb="FF000000"/>
      </bottom>
      <diagonal/>
    </border>
    <border>
      <left style="thin">
        <color rgb="FF000000"/>
      </left>
      <right style="thin">
        <color rgb="FF000000"/>
      </right>
      <top style="thin">
        <color rgb="FF000000"/>
      </top>
      <bottom style="medium">
        <color auto="1"/>
      </bottom>
      <diagonal/>
    </border>
    <border>
      <left style="thin">
        <color rgb="FF000000"/>
      </left>
      <right style="medium">
        <color auto="1"/>
      </right>
      <top style="thin">
        <color rgb="FF000000"/>
      </top>
      <bottom style="medium">
        <color auto="1"/>
      </bottom>
      <diagonal/>
    </border>
    <border>
      <left style="thin">
        <color auto="1"/>
      </left>
      <right style="thin">
        <color auto="1"/>
      </right>
      <top style="medium">
        <color auto="1"/>
      </top>
      <bottom style="medium">
        <color auto="1"/>
      </bottom>
      <diagonal/>
    </border>
    <border>
      <left style="thin">
        <color auto="1"/>
      </left>
      <right style="thin">
        <color auto="1"/>
      </right>
      <top style="thin">
        <color auto="1"/>
      </top>
      <bottom style="medium">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thin">
        <color rgb="FF000000"/>
      </right>
      <top style="medium">
        <color auto="1"/>
      </top>
      <bottom style="medium">
        <color auto="1"/>
      </bottom>
      <diagonal/>
    </border>
    <border>
      <left style="thin">
        <color rgb="FF000000"/>
      </left>
      <right style="thin">
        <color rgb="FF000000"/>
      </right>
      <top style="medium">
        <color auto="1"/>
      </top>
      <bottom style="medium">
        <color auto="1"/>
      </bottom>
      <diagonal/>
    </border>
    <border>
      <left style="thin">
        <color rgb="FF000000"/>
      </left>
      <right style="medium">
        <color auto="1"/>
      </right>
      <top style="medium">
        <color auto="1"/>
      </top>
      <bottom style="medium">
        <color auto="1"/>
      </bottom>
      <diagonal/>
    </border>
    <border>
      <left style="medium">
        <color auto="1"/>
      </left>
      <right style="thin">
        <color rgb="FF000000"/>
      </right>
      <top style="medium">
        <color auto="1"/>
      </top>
      <bottom style="thin">
        <color rgb="FF000000"/>
      </bottom>
      <diagonal/>
    </border>
    <border>
      <left style="thin">
        <color rgb="FF000000"/>
      </left>
      <right style="thin">
        <color rgb="FF000000"/>
      </right>
      <top style="medium">
        <color auto="1"/>
      </top>
      <bottom style="thin">
        <color rgb="FF000000"/>
      </bottom>
      <diagonal/>
    </border>
    <border>
      <left style="thin">
        <color rgb="FF000000"/>
      </left>
      <right style="medium">
        <color auto="1"/>
      </right>
      <top style="medium">
        <color auto="1"/>
      </top>
      <bottom style="thin">
        <color rgb="FF000000"/>
      </bottom>
      <diagonal/>
    </border>
    <border>
      <left style="medium">
        <color auto="1"/>
      </left>
      <right/>
      <top style="thin">
        <color rgb="FF000000"/>
      </top>
      <bottom style="thin">
        <color rgb="FF000000"/>
      </bottom>
      <diagonal/>
    </border>
    <border>
      <left style="medium">
        <color auto="1"/>
      </left>
      <right/>
      <top style="thin">
        <color rgb="FF000000"/>
      </top>
      <bottom style="medium">
        <color auto="1"/>
      </bottom>
      <diagonal/>
    </border>
    <border>
      <left/>
      <right style="thin">
        <color rgb="FF000000"/>
      </right>
      <top style="thin">
        <color rgb="FF000000"/>
      </top>
      <bottom style="medium">
        <color auto="1"/>
      </bottom>
      <diagonal/>
    </border>
    <border>
      <left/>
      <right style="medium">
        <color auto="1"/>
      </right>
      <top style="medium">
        <color auto="1"/>
      </top>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rgb="FF000000"/>
      </right>
      <top/>
      <bottom style="thin">
        <color rgb="FF000000"/>
      </bottom>
      <diagonal/>
    </border>
    <border>
      <left style="thin">
        <color rgb="FF000000"/>
      </left>
      <right style="medium">
        <color auto="1"/>
      </right>
      <top/>
      <bottom style="thin">
        <color rgb="FF000000"/>
      </bottom>
      <diagonal/>
    </border>
    <border>
      <left style="medium">
        <color auto="1"/>
      </left>
      <right/>
      <top style="medium">
        <color auto="1"/>
      </top>
      <bottom/>
      <diagonal/>
    </border>
    <border>
      <left style="thin">
        <color rgb="FF000000"/>
      </left>
      <right style="thin">
        <color rgb="FF000000"/>
      </right>
      <top/>
      <bottom/>
      <diagonal/>
    </border>
    <border>
      <left style="thin">
        <color rgb="FF000000"/>
      </left>
      <right style="thin">
        <color rgb="FF000000"/>
      </right>
      <top style="medium">
        <color auto="1"/>
      </top>
      <bottom/>
      <diagonal/>
    </border>
    <border>
      <left style="thin">
        <color rgb="FF000000"/>
      </left>
      <right style="medium">
        <color auto="1"/>
      </right>
      <top style="medium">
        <color auto="1"/>
      </top>
      <bottom/>
      <diagonal/>
    </border>
    <border>
      <left/>
      <right style="medium">
        <color auto="1"/>
      </right>
      <top style="thin">
        <color rgb="FF000000"/>
      </top>
      <bottom style="thin">
        <color rgb="FF000000"/>
      </bottom>
      <diagonal/>
    </border>
  </borders>
  <cellStyleXfs count="326">
    <xf numFmtId="0" fontId="0" fillId="0" borderId="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0" fontId="5" fillId="0" borderId="0"/>
    <xf numFmtId="0" fontId="6" fillId="0" borderId="0"/>
    <xf numFmtId="0" fontId="7" fillId="0" borderId="0"/>
    <xf numFmtId="169" fontId="5" fillId="0" borderId="0" applyFont="0" applyFill="0" applyBorder="0" applyAlignment="0" applyProtection="0"/>
    <xf numFmtId="166" fontId="5" fillId="0" borderId="0" applyFont="0" applyFill="0" applyBorder="0" applyAlignment="0" applyProtection="0"/>
    <xf numFmtId="0" fontId="8" fillId="0" borderId="0"/>
    <xf numFmtId="9" fontId="8" fillId="0" borderId="0" applyFont="0" applyFill="0" applyBorder="0" applyAlignment="0" applyProtection="0"/>
    <xf numFmtId="167" fontId="8" fillId="0" borderId="0" applyFont="0" applyFill="0" applyBorder="0" applyAlignment="0" applyProtection="0"/>
    <xf numFmtId="0" fontId="5" fillId="0" borderId="0"/>
    <xf numFmtId="167" fontId="5" fillId="0" borderId="0" applyFont="0" applyFill="0" applyBorder="0" applyAlignment="0" applyProtection="0"/>
    <xf numFmtId="9" fontId="5" fillId="0" borderId="0" applyFont="0" applyFill="0" applyBorder="0" applyAlignment="0" applyProtection="0"/>
    <xf numFmtId="165"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0" fontId="6" fillId="0" borderId="0"/>
    <xf numFmtId="0" fontId="6" fillId="0" borderId="0"/>
    <xf numFmtId="166" fontId="6" fillId="0" borderId="0" applyFont="0" applyFill="0" applyBorder="0" applyAlignment="0" applyProtection="0"/>
    <xf numFmtId="9" fontId="6" fillId="0" borderId="0" applyFont="0" applyFill="0" applyBorder="0" applyAlignment="0" applyProtection="0"/>
    <xf numFmtId="0" fontId="11" fillId="0" borderId="0"/>
    <xf numFmtId="167" fontId="11" fillId="0" borderId="0" applyFont="0" applyFill="0" applyBorder="0" applyAlignment="0" applyProtection="0"/>
    <xf numFmtId="171" fontId="11" fillId="0" borderId="0" applyFont="0" applyFill="0" applyBorder="0" applyAlignment="0" applyProtection="0"/>
    <xf numFmtId="165" fontId="11" fillId="0" borderId="0" applyFont="0" applyFill="0" applyBorder="0" applyAlignment="0" applyProtection="0"/>
    <xf numFmtId="9" fontId="11" fillId="0" borderId="0" applyFont="0" applyFill="0" applyBorder="0" applyAlignment="0" applyProtection="0"/>
    <xf numFmtId="166" fontId="11" fillId="0" borderId="0" applyFont="0" applyFill="0" applyBorder="0" applyAlignment="0" applyProtection="0"/>
    <xf numFmtId="167" fontId="11" fillId="0" borderId="0" applyFont="0" applyFill="0" applyBorder="0" applyAlignment="0" applyProtection="0"/>
    <xf numFmtId="0" fontId="11" fillId="0" borderId="0"/>
    <xf numFmtId="166" fontId="11" fillId="0" borderId="0" applyFont="0" applyFill="0" applyBorder="0" applyAlignment="0" applyProtection="0"/>
    <xf numFmtId="167"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7" fontId="8" fillId="0" borderId="0" applyFont="0" applyFill="0" applyBorder="0" applyAlignment="0" applyProtection="0"/>
    <xf numFmtId="167" fontId="5" fillId="0" borderId="0" applyFont="0" applyFill="0" applyBorder="0" applyAlignment="0" applyProtection="0"/>
    <xf numFmtId="165"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6" fillId="0" borderId="0" applyFont="0" applyFill="0" applyBorder="0" applyAlignment="0" applyProtection="0"/>
    <xf numFmtId="167" fontId="11" fillId="0" borderId="0" applyFont="0" applyFill="0" applyBorder="0" applyAlignment="0" applyProtection="0"/>
    <xf numFmtId="165" fontId="11" fillId="0" borderId="0" applyFont="0" applyFill="0" applyBorder="0" applyAlignment="0" applyProtection="0"/>
    <xf numFmtId="166" fontId="11" fillId="0" borderId="0" applyFont="0" applyFill="0" applyBorder="0" applyAlignment="0" applyProtection="0"/>
    <xf numFmtId="167" fontId="11" fillId="0" borderId="0" applyFont="0" applyFill="0" applyBorder="0" applyAlignment="0" applyProtection="0"/>
    <xf numFmtId="166" fontId="11" fillId="0" borderId="0" applyFont="0" applyFill="0" applyBorder="0" applyAlignment="0" applyProtection="0"/>
    <xf numFmtId="167" fontId="5" fillId="0" borderId="0" applyFont="0" applyFill="0" applyBorder="0" applyAlignment="0" applyProtection="0"/>
    <xf numFmtId="9"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7" fontId="8" fillId="0" borderId="0" applyFont="0" applyFill="0" applyBorder="0" applyAlignment="0" applyProtection="0"/>
    <xf numFmtId="167" fontId="5" fillId="0" borderId="0" applyFont="0" applyFill="0" applyBorder="0" applyAlignment="0" applyProtection="0"/>
    <xf numFmtId="165"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6" fillId="0" borderId="0" applyFont="0" applyFill="0" applyBorder="0" applyAlignment="0" applyProtection="0"/>
    <xf numFmtId="166" fontId="5" fillId="0" borderId="0" applyFont="0" applyFill="0" applyBorder="0" applyAlignment="0" applyProtection="0"/>
    <xf numFmtId="167" fontId="11" fillId="0" borderId="0" applyFont="0" applyFill="0" applyBorder="0" applyAlignment="0" applyProtection="0"/>
    <xf numFmtId="165" fontId="11" fillId="0" borderId="0" applyFont="0" applyFill="0" applyBorder="0" applyAlignment="0" applyProtection="0"/>
    <xf numFmtId="166" fontId="11" fillId="0" borderId="0" applyFont="0" applyFill="0" applyBorder="0" applyAlignment="0" applyProtection="0"/>
    <xf numFmtId="167" fontId="11" fillId="0" borderId="0" applyFont="0" applyFill="0" applyBorder="0" applyAlignment="0" applyProtection="0"/>
    <xf numFmtId="166" fontId="11" fillId="0" borderId="0" applyFont="0" applyFill="0" applyBorder="0" applyAlignment="0" applyProtection="0"/>
    <xf numFmtId="167" fontId="5" fillId="0" borderId="0" applyFont="0" applyFill="0" applyBorder="0" applyAlignment="0" applyProtection="0"/>
    <xf numFmtId="0" fontId="68" fillId="0" borderId="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0" fontId="5" fillId="0" borderId="0"/>
    <xf numFmtId="167" fontId="5" fillId="0" borderId="0" applyFont="0" applyFill="0" applyBorder="0" applyAlignment="0" applyProtection="0"/>
    <xf numFmtId="0" fontId="6" fillId="0" borderId="0"/>
    <xf numFmtId="9" fontId="6" fillId="0" borderId="0" applyFont="0" applyFill="0" applyBorder="0" applyAlignment="0" applyProtection="0"/>
    <xf numFmtId="0" fontId="5" fillId="0" borderId="0"/>
    <xf numFmtId="166" fontId="6" fillId="0" borderId="0" applyFont="0" applyFill="0" applyBorder="0" applyAlignment="0" applyProtection="0"/>
    <xf numFmtId="165" fontId="6"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0" fontId="8" fillId="0" borderId="0"/>
    <xf numFmtId="167"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6" fontId="5" fillId="0" borderId="0" applyFont="0" applyFill="0" applyBorder="0" applyAlignment="0" applyProtection="0"/>
    <xf numFmtId="167" fontId="5" fillId="0" borderId="0" applyFont="0" applyFill="0" applyBorder="0" applyAlignment="0" applyProtection="0"/>
    <xf numFmtId="166" fontId="5" fillId="0" borderId="0" applyFont="0" applyFill="0" applyBorder="0" applyAlignment="0" applyProtection="0"/>
    <xf numFmtId="167"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7" fontId="5" fillId="0" borderId="0" applyFont="0" applyFill="0" applyBorder="0" applyAlignment="0" applyProtection="0"/>
    <xf numFmtId="166"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6"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6"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7" fontId="8" fillId="0" borderId="0" applyFont="0" applyFill="0" applyBorder="0" applyAlignment="0" applyProtection="0"/>
    <xf numFmtId="167" fontId="5" fillId="0" borderId="0" applyFont="0" applyFill="0" applyBorder="0" applyAlignment="0" applyProtection="0"/>
    <xf numFmtId="165"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6" fillId="0" borderId="0" applyFont="0" applyFill="0" applyBorder="0" applyAlignment="0" applyProtection="0"/>
    <xf numFmtId="167" fontId="5" fillId="0" borderId="0" applyFont="0" applyFill="0" applyBorder="0" applyAlignment="0" applyProtection="0"/>
    <xf numFmtId="167" fontId="11" fillId="0" borderId="0" applyFont="0" applyFill="0" applyBorder="0" applyAlignment="0" applyProtection="0"/>
    <xf numFmtId="165" fontId="11" fillId="0" borderId="0" applyFont="0" applyFill="0" applyBorder="0" applyAlignment="0" applyProtection="0"/>
    <xf numFmtId="166" fontId="11" fillId="0" borderId="0" applyFont="0" applyFill="0" applyBorder="0" applyAlignment="0" applyProtection="0"/>
    <xf numFmtId="167" fontId="11" fillId="0" borderId="0" applyFont="0" applyFill="0" applyBorder="0" applyAlignment="0" applyProtection="0"/>
    <xf numFmtId="166" fontId="11"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6" fontId="6" fillId="0" borderId="0" applyFont="0" applyFill="0" applyBorder="0" applyAlignment="0" applyProtection="0"/>
    <xf numFmtId="165" fontId="6"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6" fontId="5" fillId="0" borderId="0" applyFont="0" applyFill="0" applyBorder="0" applyAlignment="0" applyProtection="0"/>
    <xf numFmtId="167"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0" fontId="74" fillId="0" borderId="0" applyNumberFormat="0" applyFill="0" applyBorder="0" applyAlignment="0" applyProtection="0"/>
    <xf numFmtId="0" fontId="75" fillId="0" borderId="0" applyNumberFormat="0" applyFill="0" applyBorder="0" applyAlignment="0" applyProtection="0"/>
    <xf numFmtId="0" fontId="74" fillId="0" borderId="0" applyNumberFormat="0" applyFill="0" applyBorder="0" applyAlignment="0" applyProtection="0"/>
    <xf numFmtId="0" fontId="75" fillId="0" borderId="0" applyNumberFormat="0" applyFill="0" applyBorder="0" applyAlignment="0" applyProtection="0"/>
    <xf numFmtId="0" fontId="74" fillId="0" borderId="0" applyNumberFormat="0" applyFill="0" applyBorder="0" applyAlignment="0" applyProtection="0"/>
    <xf numFmtId="0" fontId="75" fillId="0" borderId="0" applyNumberFormat="0" applyFill="0" applyBorder="0" applyAlignment="0" applyProtection="0"/>
    <xf numFmtId="0" fontId="74" fillId="0" borderId="0" applyNumberFormat="0" applyFill="0" applyBorder="0" applyAlignment="0" applyProtection="0"/>
    <xf numFmtId="0" fontId="75" fillId="0" borderId="0" applyNumberFormat="0" applyFill="0" applyBorder="0" applyAlignment="0" applyProtection="0"/>
    <xf numFmtId="0" fontId="74" fillId="0" borderId="0" applyNumberFormat="0" applyFill="0" applyBorder="0" applyAlignment="0" applyProtection="0"/>
    <xf numFmtId="0" fontId="75" fillId="0" borderId="0" applyNumberFormat="0" applyFill="0" applyBorder="0" applyAlignment="0" applyProtection="0"/>
    <xf numFmtId="0" fontId="74" fillId="0" borderId="0" applyNumberFormat="0" applyFill="0" applyBorder="0" applyAlignment="0" applyProtection="0"/>
    <xf numFmtId="0" fontId="75" fillId="0" borderId="0" applyNumberFormat="0" applyFill="0" applyBorder="0" applyAlignment="0" applyProtection="0"/>
    <xf numFmtId="0" fontId="74" fillId="0" borderId="0" applyNumberFormat="0" applyFill="0" applyBorder="0" applyAlignment="0" applyProtection="0"/>
    <xf numFmtId="0" fontId="75" fillId="0" borderId="0" applyNumberFormat="0" applyFill="0" applyBorder="0" applyAlignment="0" applyProtection="0"/>
    <xf numFmtId="0" fontId="74" fillId="0" borderId="0" applyNumberFormat="0" applyFill="0" applyBorder="0" applyAlignment="0" applyProtection="0"/>
    <xf numFmtId="0" fontId="75" fillId="0" borderId="0" applyNumberFormat="0" applyFill="0" applyBorder="0" applyAlignment="0" applyProtection="0"/>
    <xf numFmtId="0" fontId="74" fillId="0" borderId="0" applyNumberFormat="0" applyFill="0" applyBorder="0" applyAlignment="0" applyProtection="0"/>
    <xf numFmtId="0" fontId="75" fillId="0" borderId="0" applyNumberFormat="0" applyFill="0" applyBorder="0" applyAlignment="0" applyProtection="0"/>
  </cellStyleXfs>
  <cellXfs count="911">
    <xf numFmtId="0" fontId="0" fillId="0" borderId="0" xfId="0"/>
    <xf numFmtId="0" fontId="1"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1" fillId="0" borderId="0" xfId="0" applyFont="1" applyAlignment="1">
      <alignment horizontal="center" vertical="center" wrapText="1"/>
    </xf>
    <xf numFmtId="0" fontId="9" fillId="0" borderId="1" xfId="0" applyFont="1" applyBorder="1" applyAlignment="1">
      <alignment vertical="center" wrapText="1"/>
    </xf>
    <xf numFmtId="0" fontId="13" fillId="8" borderId="37" xfId="0" applyFont="1" applyFill="1" applyBorder="1" applyAlignment="1">
      <alignment vertical="center" wrapText="1"/>
    </xf>
    <xf numFmtId="0" fontId="0" fillId="8" borderId="38" xfId="0" applyFill="1" applyBorder="1" applyAlignment="1">
      <alignment horizontal="center" vertical="top" wrapText="1"/>
    </xf>
    <xf numFmtId="0" fontId="0" fillId="8" borderId="37" xfId="0" applyFill="1" applyBorder="1" applyAlignment="1">
      <alignment vertical="top" wrapText="1"/>
    </xf>
    <xf numFmtId="0" fontId="0" fillId="8" borderId="0" xfId="0" applyFill="1" applyAlignment="1">
      <alignment horizontal="center" vertical="top" wrapText="1"/>
    </xf>
    <xf numFmtId="0" fontId="0" fillId="8" borderId="0" xfId="0" applyFill="1" applyAlignment="1">
      <alignment vertical="top" wrapText="1"/>
    </xf>
    <xf numFmtId="0" fontId="14" fillId="0" borderId="1" xfId="0" applyFont="1" applyBorder="1" applyAlignment="1">
      <alignment vertical="center" wrapText="1"/>
    </xf>
    <xf numFmtId="0" fontId="14" fillId="0" borderId="1" xfId="0" applyFont="1" applyBorder="1" applyAlignment="1">
      <alignment vertical="top" wrapText="1"/>
    </xf>
    <xf numFmtId="1" fontId="15" fillId="0" borderId="1" xfId="0" applyNumberFormat="1" applyFont="1" applyBorder="1" applyAlignment="1">
      <alignment horizontal="center" vertical="center" shrinkToFit="1"/>
    </xf>
    <xf numFmtId="1" fontId="15" fillId="0" borderId="1" xfId="0" applyNumberFormat="1" applyFont="1" applyBorder="1" applyAlignment="1">
      <alignment vertical="center" shrinkToFit="1"/>
    </xf>
    <xf numFmtId="1" fontId="15" fillId="0" borderId="1" xfId="0" applyNumberFormat="1" applyFont="1" applyBorder="1" applyAlignment="1">
      <alignment horizontal="center" vertical="top" shrinkToFit="1"/>
    </xf>
    <xf numFmtId="1" fontId="15" fillId="0" borderId="1" xfId="0" applyNumberFormat="1" applyFont="1" applyBorder="1" applyAlignment="1">
      <alignment vertical="top" shrinkToFit="1"/>
    </xf>
    <xf numFmtId="0" fontId="0" fillId="0" borderId="1" xfId="0" applyBorder="1" applyAlignment="1">
      <alignment vertical="center" wrapText="1"/>
    </xf>
    <xf numFmtId="0" fontId="14" fillId="0" borderId="1" xfId="0" applyFont="1" applyBorder="1" applyAlignment="1">
      <alignment vertical="top"/>
    </xf>
    <xf numFmtId="0" fontId="0" fillId="0" borderId="1" xfId="0" applyBorder="1" applyAlignment="1">
      <alignment wrapText="1"/>
    </xf>
    <xf numFmtId="0" fontId="0" fillId="0" borderId="1" xfId="0" applyBorder="1" applyAlignment="1">
      <alignment vertical="top" wrapText="1"/>
    </xf>
    <xf numFmtId="0" fontId="14" fillId="0" borderId="1" xfId="0" applyFont="1" applyBorder="1" applyAlignment="1">
      <alignment horizontal="center" vertical="top" wrapText="1"/>
    </xf>
    <xf numFmtId="0" fontId="14" fillId="0" borderId="39" xfId="0" applyFont="1" applyBorder="1" applyAlignment="1">
      <alignment vertical="top" wrapText="1"/>
    </xf>
    <xf numFmtId="0" fontId="14" fillId="0" borderId="40" xfId="0" applyFont="1" applyBorder="1" applyAlignment="1">
      <alignment vertical="top" wrapText="1"/>
    </xf>
    <xf numFmtId="1" fontId="15" fillId="0" borderId="41" xfId="0" applyNumberFormat="1" applyFont="1" applyBorder="1" applyAlignment="1">
      <alignment horizontal="center" vertical="top" shrinkToFit="1"/>
    </xf>
    <xf numFmtId="1" fontId="15" fillId="0" borderId="40" xfId="0" applyNumberFormat="1" applyFont="1" applyBorder="1" applyAlignment="1">
      <alignment vertical="top" shrinkToFit="1"/>
    </xf>
    <xf numFmtId="0" fontId="14" fillId="0" borderId="42" xfId="0" applyFont="1" applyBorder="1" applyAlignment="1">
      <alignment vertical="top" wrapText="1"/>
    </xf>
    <xf numFmtId="0" fontId="14" fillId="0" borderId="43" xfId="0" applyFont="1" applyBorder="1" applyAlignment="1">
      <alignment vertical="top" wrapText="1"/>
    </xf>
    <xf numFmtId="1" fontId="15" fillId="0" borderId="33" xfId="0" applyNumberFormat="1" applyFont="1" applyBorder="1" applyAlignment="1">
      <alignment horizontal="center" vertical="top" shrinkToFit="1"/>
    </xf>
    <xf numFmtId="1" fontId="15" fillId="0" borderId="43" xfId="0" applyNumberFormat="1" applyFont="1" applyBorder="1" applyAlignment="1">
      <alignment vertical="top" shrinkToFit="1"/>
    </xf>
    <xf numFmtId="0" fontId="14" fillId="0" borderId="42" xfId="0" applyFont="1" applyBorder="1" applyAlignment="1">
      <alignment vertical="center" wrapText="1"/>
    </xf>
    <xf numFmtId="0" fontId="14" fillId="0" borderId="43" xfId="0" applyFont="1" applyBorder="1" applyAlignment="1">
      <alignment vertical="center" wrapText="1"/>
    </xf>
    <xf numFmtId="0" fontId="0" fillId="0" borderId="0" xfId="0" applyAlignment="1">
      <alignment wrapText="1"/>
    </xf>
    <xf numFmtId="0" fontId="14" fillId="7" borderId="1" xfId="0" applyFont="1" applyFill="1" applyBorder="1" applyAlignment="1">
      <alignment horizontal="center" vertical="top" wrapText="1"/>
    </xf>
    <xf numFmtId="0" fontId="17" fillId="9" borderId="43" xfId="0" applyFont="1" applyFill="1" applyBorder="1" applyAlignment="1">
      <alignment horizontal="center" vertical="top" wrapText="1"/>
    </xf>
    <xf numFmtId="0" fontId="17" fillId="9" borderId="33" xfId="0" applyFont="1" applyFill="1" applyBorder="1" applyAlignment="1">
      <alignment horizontal="center" vertical="top" wrapText="1"/>
    </xf>
    <xf numFmtId="0" fontId="0" fillId="9" borderId="43" xfId="0" applyFill="1" applyBorder="1" applyAlignment="1">
      <alignment horizontal="center" vertical="top" wrapText="1"/>
    </xf>
    <xf numFmtId="0" fontId="0" fillId="9" borderId="33" xfId="0" applyFill="1" applyBorder="1" applyAlignment="1">
      <alignment horizontal="center" vertical="top" wrapText="1"/>
    </xf>
    <xf numFmtId="0" fontId="0" fillId="0" borderId="43" xfId="0" applyBorder="1" applyAlignment="1">
      <alignment horizontal="left" vertical="top" wrapText="1" indent="1"/>
    </xf>
    <xf numFmtId="0" fontId="0" fillId="0" borderId="33" xfId="0" applyBorder="1" applyAlignment="1">
      <alignment horizontal="left" vertical="top" wrapText="1" indent="1"/>
    </xf>
    <xf numFmtId="1" fontId="19" fillId="0" borderId="43" xfId="0" applyNumberFormat="1" applyFont="1" applyBorder="1" applyAlignment="1">
      <alignment horizontal="left" vertical="center" indent="4" shrinkToFit="1"/>
    </xf>
    <xf numFmtId="1" fontId="19" fillId="0" borderId="33" xfId="0" applyNumberFormat="1" applyFont="1" applyBorder="1" applyAlignment="1">
      <alignment horizontal="center" vertical="center" shrinkToFit="1"/>
    </xf>
    <xf numFmtId="1" fontId="19" fillId="0" borderId="43" xfId="0" applyNumberFormat="1" applyFont="1" applyBorder="1" applyAlignment="1">
      <alignment horizontal="center" vertical="center" shrinkToFit="1"/>
    </xf>
    <xf numFmtId="0" fontId="0" fillId="0" borderId="37" xfId="0" applyBorder="1" applyAlignment="1">
      <alignment horizontal="left" vertical="top" wrapText="1" indent="1"/>
    </xf>
    <xf numFmtId="0" fontId="0" fillId="0" borderId="38" xfId="0" applyBorder="1" applyAlignment="1">
      <alignment horizontal="left" vertical="top" wrapText="1" indent="1"/>
    </xf>
    <xf numFmtId="1" fontId="19" fillId="0" borderId="37" xfId="0" applyNumberFormat="1" applyFont="1" applyBorder="1" applyAlignment="1">
      <alignment horizontal="left" indent="4" shrinkToFit="1"/>
    </xf>
    <xf numFmtId="1" fontId="19" fillId="0" borderId="38" xfId="0" applyNumberFormat="1" applyFont="1" applyBorder="1" applyAlignment="1">
      <alignment horizontal="center" shrinkToFit="1"/>
    </xf>
    <xf numFmtId="1" fontId="19" fillId="0" borderId="37" xfId="0" applyNumberFormat="1" applyFont="1" applyBorder="1" applyAlignment="1">
      <alignment horizontal="center" shrinkToFit="1"/>
    </xf>
    <xf numFmtId="0" fontId="20" fillId="0" borderId="43" xfId="0" applyFont="1" applyBorder="1" applyAlignment="1">
      <alignment horizontal="left" vertical="center" wrapText="1" indent="1"/>
    </xf>
    <xf numFmtId="1" fontId="19" fillId="0" borderId="43" xfId="0" applyNumberFormat="1" applyFont="1" applyBorder="1" applyAlignment="1">
      <alignment horizontal="right" vertical="center" indent="5" shrinkToFit="1"/>
    </xf>
    <xf numFmtId="0" fontId="20" fillId="0" borderId="33" xfId="0" applyFont="1" applyBorder="1" applyAlignment="1">
      <alignment horizontal="left" vertical="top" wrapText="1" indent="1"/>
    </xf>
    <xf numFmtId="1" fontId="19" fillId="0" borderId="43" xfId="0" applyNumberFormat="1" applyFont="1" applyBorder="1" applyAlignment="1">
      <alignment horizontal="right" vertical="top" indent="5" shrinkToFit="1"/>
    </xf>
    <xf numFmtId="1" fontId="19" fillId="0" borderId="33" xfId="0" applyNumberFormat="1" applyFont="1" applyBorder="1" applyAlignment="1">
      <alignment horizontal="center" vertical="top" shrinkToFit="1"/>
    </xf>
    <xf numFmtId="1" fontId="19" fillId="0" borderId="43" xfId="0" applyNumberFormat="1" applyFont="1" applyBorder="1" applyAlignment="1">
      <alignment horizontal="center" vertical="top" shrinkToFit="1"/>
    </xf>
    <xf numFmtId="0" fontId="18" fillId="0" borderId="33" xfId="0" applyFont="1" applyBorder="1" applyAlignment="1">
      <alignment horizontal="left" vertical="top" wrapText="1" indent="1"/>
    </xf>
    <xf numFmtId="0" fontId="0" fillId="0" borderId="43" xfId="0" applyBorder="1" applyAlignment="1">
      <alignment horizontal="center" vertical="center" wrapText="1"/>
    </xf>
    <xf numFmtId="0" fontId="0" fillId="0" borderId="37" xfId="0" applyBorder="1" applyAlignment="1">
      <alignment horizontal="center" vertical="center" wrapText="1"/>
    </xf>
    <xf numFmtId="0" fontId="20" fillId="0" borderId="43" xfId="0" applyFont="1" applyBorder="1" applyAlignment="1">
      <alignment horizontal="center" vertical="center" wrapText="1"/>
    </xf>
    <xf numFmtId="0" fontId="18" fillId="0" borderId="43" xfId="0" applyFont="1" applyBorder="1" applyAlignment="1">
      <alignment horizontal="center" vertical="center" wrapText="1"/>
    </xf>
    <xf numFmtId="0" fontId="0" fillId="0" borderId="0" xfId="0" applyAlignment="1">
      <alignment horizontal="center"/>
    </xf>
    <xf numFmtId="0" fontId="22" fillId="0" borderId="1" xfId="0" applyFont="1" applyBorder="1" applyAlignment="1">
      <alignment vertical="top" wrapText="1"/>
    </xf>
    <xf numFmtId="0" fontId="23" fillId="0" borderId="1" xfId="0" applyFont="1" applyBorder="1" applyAlignment="1">
      <alignment vertical="top" wrapText="1"/>
    </xf>
    <xf numFmtId="0" fontId="1" fillId="0" borderId="27" xfId="0" applyFont="1" applyBorder="1" applyAlignment="1">
      <alignment horizontal="center" vertical="center" wrapText="1"/>
    </xf>
    <xf numFmtId="0" fontId="24" fillId="0" borderId="1" xfId="0" applyFont="1" applyBorder="1" applyAlignment="1">
      <alignment vertical="top" wrapText="1"/>
    </xf>
    <xf numFmtId="0" fontId="0" fillId="0" borderId="1" xfId="0" applyBorder="1" applyAlignment="1">
      <alignment horizontal="left" vertical="center" wrapText="1"/>
    </xf>
    <xf numFmtId="0" fontId="0" fillId="0" borderId="0" xfId="0" applyAlignment="1">
      <alignment vertical="top" wrapText="1"/>
    </xf>
    <xf numFmtId="0" fontId="0" fillId="0" borderId="1" xfId="0" applyBorder="1" applyAlignment="1">
      <alignment horizontal="center" vertical="center"/>
    </xf>
    <xf numFmtId="172" fontId="0" fillId="0" borderId="0" xfId="0" applyNumberFormat="1"/>
    <xf numFmtId="1" fontId="25" fillId="0" borderId="1" xfId="0" applyNumberFormat="1" applyFont="1" applyBorder="1" applyAlignment="1">
      <alignment horizontal="center" vertical="center" shrinkToFit="1"/>
    </xf>
    <xf numFmtId="0" fontId="20" fillId="0" borderId="1" xfId="0" applyFont="1" applyBorder="1" applyAlignment="1">
      <alignment horizontal="left" vertical="top" wrapText="1"/>
    </xf>
    <xf numFmtId="0" fontId="0" fillId="0" borderId="1" xfId="0" applyBorder="1" applyAlignment="1">
      <alignment horizontal="left" vertical="top" wrapText="1"/>
    </xf>
    <xf numFmtId="0" fontId="20" fillId="0" borderId="1" xfId="0" applyFont="1" applyBorder="1" applyAlignment="1">
      <alignment vertical="top" wrapText="1"/>
    </xf>
    <xf numFmtId="1" fontId="25" fillId="0" borderId="1" xfId="0" applyNumberFormat="1" applyFont="1" applyBorder="1" applyAlignment="1">
      <alignment horizontal="center" vertical="top" shrinkToFit="1"/>
    </xf>
    <xf numFmtId="0" fontId="0" fillId="0" borderId="1" xfId="0" applyBorder="1"/>
    <xf numFmtId="0" fontId="18" fillId="0" borderId="1" xfId="0" applyFont="1" applyBorder="1" applyAlignment="1">
      <alignment vertical="top" wrapText="1"/>
    </xf>
    <xf numFmtId="170" fontId="4" fillId="10" borderId="0" xfId="0" applyNumberFormat="1" applyFont="1" applyFill="1"/>
    <xf numFmtId="0" fontId="18" fillId="0" borderId="1" xfId="0" applyFont="1" applyBorder="1" applyAlignment="1">
      <alignment horizontal="left" vertical="top"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33" fillId="0" borderId="1" xfId="0" applyFont="1" applyBorder="1" applyAlignment="1">
      <alignment horizontal="center" vertical="center" wrapText="1"/>
    </xf>
    <xf numFmtId="0" fontId="0" fillId="0" borderId="0" xfId="0" applyAlignment="1">
      <alignment horizontal="center" vertical="center"/>
    </xf>
    <xf numFmtId="0" fontId="12" fillId="0" borderId="1" xfId="0" applyFont="1" applyBorder="1" applyAlignment="1">
      <alignment horizontal="center" vertical="center"/>
    </xf>
    <xf numFmtId="0" fontId="20" fillId="0" borderId="1" xfId="0" applyFont="1" applyBorder="1" applyAlignment="1">
      <alignment vertical="center" wrapText="1"/>
    </xf>
    <xf numFmtId="0" fontId="6" fillId="0" borderId="13" xfId="0" applyFont="1" applyBorder="1" applyAlignment="1">
      <alignment horizontal="center" vertical="center" wrapText="1"/>
    </xf>
    <xf numFmtId="0" fontId="6" fillId="0" borderId="13" xfId="0" applyFont="1" applyBorder="1" applyAlignment="1">
      <alignment horizontal="center" vertical="center"/>
    </xf>
    <xf numFmtId="9" fontId="0" fillId="0" borderId="0" xfId="0" applyNumberFormat="1"/>
    <xf numFmtId="0" fontId="36" fillId="0" borderId="0" xfId="0" applyFont="1"/>
    <xf numFmtId="0" fontId="36" fillId="0" borderId="1" xfId="0" applyFont="1" applyBorder="1" applyAlignment="1">
      <alignment vertical="top" wrapText="1"/>
    </xf>
    <xf numFmtId="0" fontId="37" fillId="0" borderId="1" xfId="0" applyFont="1" applyBorder="1" applyAlignment="1">
      <alignment vertical="center" wrapText="1"/>
    </xf>
    <xf numFmtId="0" fontId="36" fillId="0" borderId="0" xfId="0" applyFont="1" applyAlignment="1">
      <alignment horizontal="center" vertical="center"/>
    </xf>
    <xf numFmtId="0" fontId="36" fillId="0" borderId="0" xfId="0" applyFont="1" applyAlignment="1">
      <alignment vertical="top" wrapText="1"/>
    </xf>
    <xf numFmtId="0" fontId="36" fillId="0" borderId="0" xfId="0" applyFont="1" applyAlignment="1">
      <alignment horizontal="center" vertical="center" wrapText="1"/>
    </xf>
    <xf numFmtId="167" fontId="26" fillId="13" borderId="22" xfId="34" applyFont="1" applyFill="1" applyBorder="1" applyAlignment="1">
      <alignment horizontal="center" vertical="center" wrapText="1"/>
    </xf>
    <xf numFmtId="0" fontId="6" fillId="0" borderId="0" xfId="9" applyFont="1" applyAlignment="1">
      <alignment horizontal="left" vertical="top"/>
    </xf>
    <xf numFmtId="0" fontId="6" fillId="0" borderId="0" xfId="9" applyFont="1" applyAlignment="1">
      <alignment horizontal="right" vertical="top"/>
    </xf>
    <xf numFmtId="175" fontId="0" fillId="0" borderId="0" xfId="0" applyNumberFormat="1"/>
    <xf numFmtId="0" fontId="45" fillId="6" borderId="0" xfId="6" applyFont="1" applyFill="1" applyAlignment="1">
      <alignment vertical="center"/>
    </xf>
    <xf numFmtId="0" fontId="10" fillId="6" borderId="0" xfId="6" applyFont="1" applyFill="1" applyAlignment="1">
      <alignment vertical="center"/>
    </xf>
    <xf numFmtId="168" fontId="32" fillId="6" borderId="0" xfId="5" applyNumberFormat="1" applyFont="1" applyFill="1" applyAlignment="1">
      <alignment horizontal="center" vertical="center" wrapText="1"/>
    </xf>
    <xf numFmtId="0" fontId="48" fillId="0" borderId="0" xfId="0" applyFont="1" applyAlignment="1">
      <alignment horizontal="center" vertical="center" wrapText="1"/>
    </xf>
    <xf numFmtId="177" fontId="0" fillId="0" borderId="0" xfId="0" applyNumberFormat="1"/>
    <xf numFmtId="177" fontId="4" fillId="10" borderId="0" xfId="0" applyNumberFormat="1" applyFont="1" applyFill="1"/>
    <xf numFmtId="175" fontId="17" fillId="0" borderId="1" xfId="1" applyNumberFormat="1" applyFont="1" applyFill="1" applyBorder="1" applyAlignment="1">
      <alignment horizontal="right" vertical="center"/>
    </xf>
    <xf numFmtId="0" fontId="17" fillId="0" borderId="1" xfId="0" applyFont="1" applyBorder="1" applyAlignment="1">
      <alignment vertical="top" wrapText="1"/>
    </xf>
    <xf numFmtId="0" fontId="51" fillId="0" borderId="0" xfId="0" applyFont="1"/>
    <xf numFmtId="0" fontId="50" fillId="0" borderId="0" xfId="0" applyFont="1"/>
    <xf numFmtId="0" fontId="28" fillId="0" borderId="1" xfId="0" applyFont="1" applyBorder="1" applyAlignment="1">
      <alignment vertical="center" wrapText="1"/>
    </xf>
    <xf numFmtId="0" fontId="31" fillId="0" borderId="0" xfId="0" applyFont="1"/>
    <xf numFmtId="179" fontId="53" fillId="0" borderId="1" xfId="0" applyNumberFormat="1" applyFont="1" applyBorder="1" applyAlignment="1">
      <alignment horizontal="left"/>
    </xf>
    <xf numFmtId="179" fontId="53" fillId="13" borderId="1" xfId="0" applyNumberFormat="1" applyFont="1" applyFill="1" applyBorder="1" applyAlignment="1">
      <alignment horizontal="left"/>
    </xf>
    <xf numFmtId="2" fontId="53" fillId="12" borderId="1" xfId="54" applyNumberFormat="1" applyFont="1" applyFill="1" applyBorder="1" applyAlignment="1">
      <alignment horizontal="center"/>
    </xf>
    <xf numFmtId="2" fontId="0" fillId="17" borderId="1" xfId="0" applyNumberFormat="1" applyFill="1" applyBorder="1"/>
    <xf numFmtId="14" fontId="0" fillId="0" borderId="1" xfId="0" applyNumberFormat="1" applyBorder="1"/>
    <xf numFmtId="2" fontId="0" fillId="0" borderId="1" xfId="0" applyNumberFormat="1" applyBorder="1"/>
    <xf numFmtId="0" fontId="0" fillId="3" borderId="1" xfId="0" applyFill="1" applyBorder="1"/>
    <xf numFmtId="0" fontId="51" fillId="0" borderId="1" xfId="0" applyFont="1" applyBorder="1" applyAlignment="1">
      <alignment horizontal="center"/>
    </xf>
    <xf numFmtId="175" fontId="51" fillId="0" borderId="1" xfId="0" applyNumberFormat="1" applyFont="1" applyBorder="1" applyAlignment="1">
      <alignment horizontal="right"/>
    </xf>
    <xf numFmtId="0" fontId="51" fillId="0" borderId="0" xfId="0" applyFont="1" applyAlignment="1">
      <alignment horizontal="center"/>
    </xf>
    <xf numFmtId="0" fontId="34" fillId="0" borderId="1" xfId="0" applyFont="1" applyBorder="1" applyAlignment="1">
      <alignment horizontal="center" vertical="center" wrapText="1"/>
    </xf>
    <xf numFmtId="0" fontId="51" fillId="0" borderId="1" xfId="0" applyFont="1" applyBorder="1" applyAlignment="1">
      <alignment horizontal="center" vertical="center"/>
    </xf>
    <xf numFmtId="0" fontId="51" fillId="0" borderId="0" xfId="0" applyFont="1" applyAlignment="1">
      <alignment horizontal="center" vertical="center"/>
    </xf>
    <xf numFmtId="1" fontId="54" fillId="0" borderId="1" xfId="0" applyNumberFormat="1" applyFont="1" applyBorder="1" applyAlignment="1">
      <alignment horizontal="center" vertical="center" shrinkToFit="1"/>
    </xf>
    <xf numFmtId="0" fontId="51" fillId="0" borderId="0" xfId="0" applyFont="1" applyAlignment="1">
      <alignment vertical="center"/>
    </xf>
    <xf numFmtId="1" fontId="54" fillId="0" borderId="1" xfId="0" applyNumberFormat="1" applyFont="1" applyBorder="1" applyAlignment="1">
      <alignment horizontal="center" vertical="center" wrapText="1" shrinkToFit="1"/>
    </xf>
    <xf numFmtId="0" fontId="34" fillId="0" borderId="13" xfId="0" applyFont="1" applyBorder="1" applyAlignment="1">
      <alignment horizontal="center" vertical="center" wrapText="1"/>
    </xf>
    <xf numFmtId="0" fontId="36" fillId="0" borderId="1" xfId="0" applyFont="1" applyBorder="1" applyAlignment="1">
      <alignment horizontal="left" vertical="top" wrapText="1"/>
    </xf>
    <xf numFmtId="0" fontId="36" fillId="0" borderId="1" xfId="0" applyFont="1" applyBorder="1"/>
    <xf numFmtId="0" fontId="4" fillId="10" borderId="0" xfId="0" applyFont="1" applyFill="1"/>
    <xf numFmtId="2" fontId="53" fillId="11" borderId="1" xfId="54" applyNumberFormat="1" applyFont="1" applyFill="1" applyBorder="1" applyAlignment="1">
      <alignment horizontal="center"/>
    </xf>
    <xf numFmtId="177" fontId="32" fillId="0" borderId="0" xfId="1" applyNumberFormat="1" applyFont="1" applyFill="1" applyBorder="1" applyAlignment="1">
      <alignment horizontal="center" vertical="center"/>
    </xf>
    <xf numFmtId="0" fontId="1" fillId="0" borderId="0" xfId="0" applyFont="1"/>
    <xf numFmtId="177" fontId="1" fillId="0" borderId="0" xfId="0" applyNumberFormat="1" applyFont="1"/>
    <xf numFmtId="3" fontId="1" fillId="0" borderId="0" xfId="0" applyNumberFormat="1" applyFont="1"/>
    <xf numFmtId="168" fontId="33" fillId="0" borderId="1" xfId="5" applyNumberFormat="1" applyFont="1" applyBorder="1" applyAlignment="1">
      <alignment horizontal="left" vertical="center" wrapText="1"/>
    </xf>
    <xf numFmtId="0" fontId="33" fillId="0" borderId="1" xfId="0" applyFont="1" applyBorder="1" applyAlignment="1">
      <alignment vertical="center" wrapText="1"/>
    </xf>
    <xf numFmtId="0" fontId="33" fillId="0" borderId="1" xfId="0" applyFont="1" applyBorder="1" applyAlignment="1">
      <alignment horizontal="center" vertical="center"/>
    </xf>
    <xf numFmtId="3" fontId="33" fillId="0" borderId="1" xfId="0" applyNumberFormat="1" applyFont="1" applyBorder="1" applyAlignment="1">
      <alignment horizontal="center" vertical="center"/>
    </xf>
    <xf numFmtId="0" fontId="33" fillId="0" borderId="1" xfId="0" applyFont="1" applyBorder="1" applyAlignment="1">
      <alignment vertical="top" wrapText="1"/>
    </xf>
    <xf numFmtId="168" fontId="42" fillId="0" borderId="1" xfId="5" applyNumberFormat="1" applyFont="1" applyBorder="1" applyAlignment="1">
      <alignment horizontal="left" vertical="center" wrapText="1"/>
    </xf>
    <xf numFmtId="3" fontId="33" fillId="0" borderId="1" xfId="0" applyNumberFormat="1" applyFont="1" applyBorder="1"/>
    <xf numFmtId="0" fontId="33" fillId="0" borderId="1" xfId="0" applyFont="1" applyBorder="1" applyAlignment="1">
      <alignment horizontal="left" vertical="center" wrapText="1" indent="1"/>
    </xf>
    <xf numFmtId="0" fontId="33" fillId="0" borderId="1" xfId="0" applyFont="1" applyBorder="1" applyAlignment="1">
      <alignment horizontal="left" vertical="center" wrapText="1"/>
    </xf>
    <xf numFmtId="0" fontId="33" fillId="0" borderId="2" xfId="0" applyFont="1" applyBorder="1" applyAlignment="1">
      <alignment vertical="center" wrapText="1"/>
    </xf>
    <xf numFmtId="3" fontId="33" fillId="0" borderId="1" xfId="0" applyNumberFormat="1" applyFont="1" applyBorder="1" applyAlignment="1">
      <alignment horizontal="center" vertical="center" wrapText="1"/>
    </xf>
    <xf numFmtId="168" fontId="33" fillId="0" borderId="11" xfId="5" applyNumberFormat="1" applyFont="1" applyBorder="1" applyAlignment="1">
      <alignment horizontal="left" vertical="center" wrapText="1"/>
    </xf>
    <xf numFmtId="3" fontId="33" fillId="0" borderId="0" xfId="0" applyNumberFormat="1" applyFont="1" applyAlignment="1">
      <alignment horizontal="center" vertical="center"/>
    </xf>
    <xf numFmtId="168" fontId="42" fillId="0" borderId="45" xfId="5" applyNumberFormat="1" applyFont="1" applyBorder="1" applyAlignment="1">
      <alignment horizontal="left" vertical="center" wrapText="1"/>
    </xf>
    <xf numFmtId="0" fontId="33" fillId="0" borderId="33" xfId="0" applyFont="1" applyBorder="1" applyAlignment="1">
      <alignment vertical="center" wrapText="1"/>
    </xf>
    <xf numFmtId="0" fontId="33" fillId="0" borderId="33" xfId="0" applyFont="1" applyBorder="1" applyAlignment="1">
      <alignment horizontal="center" vertical="center"/>
    </xf>
    <xf numFmtId="168" fontId="42" fillId="0" borderId="33" xfId="5" applyNumberFormat="1" applyFont="1" applyBorder="1" applyAlignment="1">
      <alignment horizontal="left" vertical="center" wrapText="1"/>
    </xf>
    <xf numFmtId="0" fontId="33" fillId="0" borderId="11" xfId="0" applyFont="1" applyBorder="1" applyAlignment="1">
      <alignment vertical="center" wrapText="1"/>
    </xf>
    <xf numFmtId="168" fontId="42" fillId="0" borderId="11" xfId="5" applyNumberFormat="1" applyFont="1" applyBorder="1" applyAlignment="1">
      <alignment horizontal="left" vertical="center" wrapText="1"/>
    </xf>
    <xf numFmtId="0" fontId="33" fillId="0" borderId="2" xfId="0" applyFont="1" applyBorder="1" applyAlignment="1">
      <alignment horizontal="center" vertical="center"/>
    </xf>
    <xf numFmtId="3" fontId="33" fillId="0" borderId="33" xfId="0" applyNumberFormat="1" applyFont="1" applyBorder="1" applyAlignment="1">
      <alignment horizontal="center" vertical="center"/>
    </xf>
    <xf numFmtId="0" fontId="33" fillId="0" borderId="13" xfId="0" applyFont="1" applyBorder="1" applyAlignment="1">
      <alignment horizontal="center" vertical="center"/>
    </xf>
    <xf numFmtId="3" fontId="33" fillId="0" borderId="13" xfId="0" applyNumberFormat="1" applyFont="1" applyBorder="1" applyAlignment="1">
      <alignment horizontal="center" vertical="center"/>
    </xf>
    <xf numFmtId="0" fontId="33" fillId="0" borderId="13" xfId="0" applyFont="1" applyBorder="1" applyAlignment="1">
      <alignment horizontal="center" vertical="center" wrapText="1"/>
    </xf>
    <xf numFmtId="0" fontId="33" fillId="0" borderId="30" xfId="0" applyFont="1" applyBorder="1" applyAlignment="1">
      <alignment horizontal="center" vertical="center" wrapText="1"/>
    </xf>
    <xf numFmtId="0" fontId="33" fillId="0" borderId="11" xfId="0" applyFont="1" applyBorder="1" applyAlignment="1">
      <alignment horizontal="left" vertical="center" wrapText="1"/>
    </xf>
    <xf numFmtId="0" fontId="33" fillId="0" borderId="45" xfId="0" applyFont="1" applyBorder="1" applyAlignment="1">
      <alignment horizontal="left" vertical="center" wrapText="1"/>
    </xf>
    <xf numFmtId="168" fontId="6" fillId="0" borderId="0" xfId="5" applyNumberFormat="1" applyAlignment="1">
      <alignment horizontal="left" vertical="center" wrapText="1"/>
    </xf>
    <xf numFmtId="0" fontId="6" fillId="0" borderId="0" xfId="0" applyFont="1" applyAlignment="1">
      <alignment vertical="center" wrapText="1"/>
    </xf>
    <xf numFmtId="0" fontId="6" fillId="0" borderId="0" xfId="0" applyFont="1" applyAlignment="1">
      <alignment horizontal="center" vertical="center" wrapText="1"/>
    </xf>
    <xf numFmtId="0" fontId="6" fillId="0" borderId="0" xfId="0" applyFont="1" applyAlignment="1">
      <alignment horizontal="center" vertical="center"/>
    </xf>
    <xf numFmtId="3" fontId="32" fillId="0" borderId="0" xfId="5" applyNumberFormat="1" applyFont="1" applyAlignment="1">
      <alignment horizontal="center" vertical="center"/>
    </xf>
    <xf numFmtId="177" fontId="32" fillId="0" borderId="0" xfId="5" applyNumberFormat="1" applyFont="1" applyAlignment="1">
      <alignment horizontal="center" vertical="center"/>
    </xf>
    <xf numFmtId="3" fontId="6" fillId="0" borderId="0" xfId="0" applyNumberFormat="1" applyFont="1" applyAlignment="1">
      <alignment horizontal="center" vertical="center"/>
    </xf>
    <xf numFmtId="177" fontId="2" fillId="0" borderId="1" xfId="0" applyNumberFormat="1" applyFont="1" applyBorder="1"/>
    <xf numFmtId="175" fontId="36" fillId="0" borderId="0" xfId="0" applyNumberFormat="1" applyFont="1"/>
    <xf numFmtId="0" fontId="36" fillId="0" borderId="0" xfId="0" applyFont="1" applyAlignment="1">
      <alignment vertical="center"/>
    </xf>
    <xf numFmtId="175" fontId="39" fillId="0" borderId="1" xfId="0" applyNumberFormat="1" applyFont="1" applyBorder="1"/>
    <xf numFmtId="175" fontId="51" fillId="0" borderId="1" xfId="0" applyNumberFormat="1" applyFont="1" applyBorder="1" applyAlignment="1">
      <alignment horizontal="right" vertical="center"/>
    </xf>
    <xf numFmtId="0" fontId="37" fillId="0" borderId="1" xfId="0" applyFont="1" applyBorder="1" applyAlignment="1">
      <alignment vertical="top" wrapText="1"/>
    </xf>
    <xf numFmtId="0" fontId="26" fillId="0" borderId="1" xfId="0" applyFont="1" applyBorder="1" applyAlignment="1">
      <alignment vertical="center" wrapText="1"/>
    </xf>
    <xf numFmtId="0" fontId="6" fillId="0" borderId="1" xfId="0" applyFont="1" applyBorder="1" applyAlignment="1">
      <alignment vertical="center" wrapText="1"/>
    </xf>
    <xf numFmtId="0" fontId="32" fillId="13" borderId="1" xfId="5" applyFont="1" applyFill="1" applyBorder="1" applyAlignment="1">
      <alignment horizontal="center" vertical="center" wrapText="1"/>
    </xf>
    <xf numFmtId="0" fontId="33" fillId="0" borderId="13" xfId="5" applyFont="1" applyBorder="1" applyAlignment="1">
      <alignment horizontal="center" vertical="center" wrapText="1"/>
    </xf>
    <xf numFmtId="0" fontId="56" fillId="0" borderId="1" xfId="0" applyFont="1" applyBorder="1" applyAlignment="1">
      <alignment vertical="center" wrapText="1"/>
    </xf>
    <xf numFmtId="0" fontId="47" fillId="15" borderId="35" xfId="4" applyFont="1" applyFill="1" applyBorder="1" applyAlignment="1">
      <alignment vertical="center" wrapText="1"/>
    </xf>
    <xf numFmtId="0" fontId="3" fillId="0" borderId="15"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6" xfId="0" applyFont="1" applyBorder="1" applyAlignment="1">
      <alignment horizontal="center" vertical="center" wrapText="1"/>
    </xf>
    <xf numFmtId="0" fontId="57" fillId="0" borderId="10" xfId="0" applyFont="1" applyBorder="1"/>
    <xf numFmtId="1" fontId="59" fillId="0" borderId="19" xfId="0" applyNumberFormat="1" applyFont="1" applyBorder="1" applyAlignment="1">
      <alignment horizontal="center" wrapText="1"/>
    </xf>
    <xf numFmtId="0" fontId="33" fillId="0" borderId="0" xfId="0" applyFont="1" applyAlignment="1">
      <alignment wrapText="1"/>
    </xf>
    <xf numFmtId="0" fontId="60" fillId="0" borderId="0" xfId="0" applyFont="1"/>
    <xf numFmtId="177" fontId="60" fillId="0" borderId="0" xfId="0" applyNumberFormat="1" applyFont="1"/>
    <xf numFmtId="0" fontId="60" fillId="0" borderId="0" xfId="0" applyFont="1" applyAlignment="1">
      <alignment vertical="center"/>
    </xf>
    <xf numFmtId="3" fontId="60" fillId="0" borderId="0" xfId="0" applyNumberFormat="1" applyFont="1"/>
    <xf numFmtId="0" fontId="0" fillId="0" borderId="25" xfId="0" applyBorder="1" applyAlignment="1">
      <alignment horizontal="center"/>
    </xf>
    <xf numFmtId="0" fontId="33" fillId="0" borderId="1" xfId="0" applyFont="1" applyBorder="1" applyAlignment="1">
      <alignment horizontal="left" vertical="center"/>
    </xf>
    <xf numFmtId="0" fontId="2" fillId="0" borderId="1" xfId="0" applyFont="1" applyBorder="1" applyAlignment="1">
      <alignment horizontal="center" vertical="center" wrapText="1"/>
    </xf>
    <xf numFmtId="0" fontId="36" fillId="0" borderId="1" xfId="0" applyFont="1" applyBorder="1" applyAlignment="1">
      <alignment horizontal="center" vertical="center"/>
    </xf>
    <xf numFmtId="0" fontId="6" fillId="0" borderId="33" xfId="0" applyFont="1" applyBorder="1" applyAlignment="1">
      <alignment vertical="center" wrapText="1"/>
    </xf>
    <xf numFmtId="0" fontId="1" fillId="0" borderId="33" xfId="0" applyFont="1" applyBorder="1" applyAlignment="1">
      <alignment horizontal="center" vertical="center"/>
    </xf>
    <xf numFmtId="0" fontId="6" fillId="0" borderId="11" xfId="0" applyFont="1" applyBorder="1" applyAlignment="1">
      <alignment horizontal="center" vertical="center" wrapText="1"/>
    </xf>
    <xf numFmtId="0" fontId="1" fillId="0" borderId="0" xfId="0" applyFont="1" applyAlignment="1">
      <alignment horizontal="center"/>
    </xf>
    <xf numFmtId="10" fontId="33" fillId="0" borderId="1" xfId="1" applyNumberFormat="1" applyFont="1" applyFill="1" applyBorder="1" applyAlignment="1">
      <alignment horizontal="center" vertical="center"/>
    </xf>
    <xf numFmtId="177" fontId="33" fillId="0" borderId="1" xfId="8" applyNumberFormat="1" applyFont="1" applyFill="1" applyBorder="1" applyAlignment="1">
      <alignment horizontal="center" vertical="center"/>
    </xf>
    <xf numFmtId="3" fontId="33" fillId="0" borderId="1" xfId="5" applyNumberFormat="1" applyFont="1" applyBorder="1" applyAlignment="1">
      <alignment horizontal="center" vertical="center"/>
    </xf>
    <xf numFmtId="177" fontId="33" fillId="0" borderId="1" xfId="5" applyNumberFormat="1" applyFont="1" applyBorder="1" applyAlignment="1">
      <alignment horizontal="center" vertical="center"/>
    </xf>
    <xf numFmtId="3" fontId="33" fillId="0" borderId="1" xfId="0" applyNumberFormat="1" applyFont="1" applyBorder="1" applyAlignment="1">
      <alignment vertical="center"/>
    </xf>
    <xf numFmtId="3" fontId="33" fillId="0" borderId="14" xfId="5" applyNumberFormat="1" applyFont="1" applyBorder="1" applyAlignment="1">
      <alignment horizontal="center" vertical="center"/>
    </xf>
    <xf numFmtId="177" fontId="6" fillId="0" borderId="1" xfId="5" applyNumberFormat="1" applyBorder="1" applyAlignment="1">
      <alignment horizontal="center" vertical="center"/>
    </xf>
    <xf numFmtId="0" fontId="6" fillId="0" borderId="1" xfId="0" applyFont="1" applyBorder="1" applyAlignment="1">
      <alignment horizontal="center" vertical="top" wrapText="1"/>
    </xf>
    <xf numFmtId="1" fontId="6" fillId="0" borderId="1" xfId="0" applyNumberFormat="1" applyFont="1" applyBorder="1" applyAlignment="1">
      <alignment vertical="top" shrinkToFit="1"/>
    </xf>
    <xf numFmtId="0" fontId="6" fillId="0" borderId="1" xfId="0" applyFont="1" applyBorder="1" applyAlignment="1">
      <alignment horizontal="left" vertical="top" wrapText="1" indent="2"/>
    </xf>
    <xf numFmtId="0" fontId="6" fillId="0" borderId="1" xfId="0" applyFont="1" applyBorder="1" applyAlignment="1">
      <alignment horizontal="left" vertical="top" wrapText="1"/>
    </xf>
    <xf numFmtId="1" fontId="6" fillId="0" borderId="1" xfId="0" applyNumberFormat="1" applyFont="1" applyBorder="1" applyAlignment="1">
      <alignment vertical="center" shrinkToFit="1"/>
    </xf>
    <xf numFmtId="175" fontId="6" fillId="0" borderId="1" xfId="1" applyNumberFormat="1" applyFont="1" applyFill="1" applyBorder="1" applyAlignment="1">
      <alignment horizontal="right" vertical="center"/>
    </xf>
    <xf numFmtId="10" fontId="6" fillId="0" borderId="1" xfId="1" applyNumberFormat="1" applyFont="1" applyFill="1" applyBorder="1" applyAlignment="1">
      <alignment horizontal="right" vertical="center"/>
    </xf>
    <xf numFmtId="175" fontId="6" fillId="0" borderId="1" xfId="5" applyNumberFormat="1" applyBorder="1" applyAlignment="1">
      <alignment horizontal="right" vertical="center"/>
    </xf>
    <xf numFmtId="0" fontId="6" fillId="0" borderId="43" xfId="0" applyFont="1" applyBorder="1" applyAlignment="1">
      <alignment vertical="top" wrapText="1"/>
    </xf>
    <xf numFmtId="0" fontId="6" fillId="0" borderId="43" xfId="0" applyFont="1" applyBorder="1" applyAlignment="1">
      <alignment vertical="center" wrapText="1"/>
    </xf>
    <xf numFmtId="0" fontId="1" fillId="0" borderId="1" xfId="0" applyFont="1" applyBorder="1" applyAlignment="1">
      <alignment vertical="center"/>
    </xf>
    <xf numFmtId="0" fontId="6" fillId="0" borderId="1" xfId="0" applyFont="1" applyBorder="1" applyAlignment="1">
      <alignment horizontal="left" vertical="center" wrapText="1"/>
    </xf>
    <xf numFmtId="1" fontId="33" fillId="0" borderId="1" xfId="0" applyNumberFormat="1" applyFont="1" applyBorder="1" applyAlignment="1">
      <alignment horizontal="center" vertical="center" shrinkToFit="1"/>
    </xf>
    <xf numFmtId="177" fontId="6" fillId="0" borderId="1" xfId="1" applyNumberFormat="1" applyFont="1" applyFill="1" applyBorder="1" applyAlignment="1">
      <alignment horizontal="right" vertical="center"/>
    </xf>
    <xf numFmtId="3" fontId="1" fillId="0" borderId="1" xfId="0" applyNumberFormat="1" applyFont="1" applyBorder="1" applyAlignment="1">
      <alignment horizontal="center" vertical="center"/>
    </xf>
    <xf numFmtId="177" fontId="1" fillId="0" borderId="1" xfId="0" applyNumberFormat="1" applyFont="1" applyBorder="1" applyAlignment="1">
      <alignment horizontal="right" vertical="center"/>
    </xf>
    <xf numFmtId="0" fontId="1" fillId="0" borderId="1" xfId="0" applyFont="1" applyBorder="1" applyAlignment="1">
      <alignment horizontal="left" vertical="center" wrapText="1"/>
    </xf>
    <xf numFmtId="0" fontId="6" fillId="0" borderId="33" xfId="0" applyFont="1" applyBorder="1" applyAlignment="1">
      <alignment horizontal="center" vertical="center" wrapText="1"/>
    </xf>
    <xf numFmtId="0" fontId="6" fillId="0" borderId="33" xfId="0" applyFont="1" applyBorder="1" applyAlignment="1">
      <alignment horizontal="center" vertical="center"/>
    </xf>
    <xf numFmtId="0" fontId="1" fillId="0" borderId="1" xfId="0" applyFont="1" applyBorder="1" applyAlignment="1">
      <alignment horizontal="center" vertical="center"/>
    </xf>
    <xf numFmtId="175" fontId="34" fillId="0" borderId="1" xfId="1" applyNumberFormat="1" applyFont="1" applyFill="1" applyBorder="1" applyAlignment="1">
      <alignment horizontal="right" vertical="center"/>
    </xf>
    <xf numFmtId="0" fontId="1" fillId="0" borderId="1" xfId="0" applyFont="1" applyBorder="1" applyAlignment="1">
      <alignment horizontal="center"/>
    </xf>
    <xf numFmtId="1" fontId="33" fillId="0" borderId="1" xfId="0" applyNumberFormat="1" applyFont="1" applyBorder="1" applyAlignment="1">
      <alignment horizontal="center" vertical="top" shrinkToFit="1"/>
    </xf>
    <xf numFmtId="10" fontId="6" fillId="0" borderId="1" xfId="1" applyNumberFormat="1" applyFont="1" applyFill="1" applyBorder="1" applyAlignment="1">
      <alignment horizontal="center" vertical="center"/>
    </xf>
    <xf numFmtId="175" fontId="6" fillId="0" borderId="1" xfId="1" applyNumberFormat="1" applyFont="1" applyFill="1" applyBorder="1" applyAlignment="1">
      <alignment horizontal="center" vertical="center"/>
    </xf>
    <xf numFmtId="0" fontId="6" fillId="0" borderId="1" xfId="0" applyFont="1" applyBorder="1" applyAlignment="1">
      <alignment horizontal="justify" vertical="center" wrapText="1"/>
    </xf>
    <xf numFmtId="0" fontId="1" fillId="0" borderId="1" xfId="0" applyFont="1" applyBorder="1" applyAlignment="1">
      <alignment vertical="center" wrapText="1"/>
    </xf>
    <xf numFmtId="1" fontId="1" fillId="0" borderId="1" xfId="0" applyNumberFormat="1" applyFont="1" applyBorder="1" applyAlignment="1">
      <alignment horizontal="left" vertical="center" wrapText="1" shrinkToFit="1"/>
    </xf>
    <xf numFmtId="0" fontId="1" fillId="0" borderId="13" xfId="0" applyFont="1" applyBorder="1" applyAlignment="1">
      <alignment horizontal="center" vertical="center" wrapText="1"/>
    </xf>
    <xf numFmtId="175" fontId="1" fillId="0" borderId="1" xfId="1" applyNumberFormat="1" applyFont="1" applyFill="1" applyBorder="1" applyAlignment="1">
      <alignment horizontal="right" vertical="center"/>
    </xf>
    <xf numFmtId="0" fontId="38" fillId="0" borderId="1" xfId="0" applyFont="1" applyBorder="1" applyAlignment="1">
      <alignment horizontal="left" vertical="top" wrapText="1"/>
    </xf>
    <xf numFmtId="177" fontId="6" fillId="0" borderId="1" xfId="1" applyNumberFormat="1" applyFont="1" applyFill="1" applyBorder="1" applyAlignment="1">
      <alignment horizontal="center" vertical="center"/>
    </xf>
    <xf numFmtId="177" fontId="36" fillId="0" borderId="1" xfId="0" applyNumberFormat="1" applyFont="1" applyBorder="1" applyAlignment="1">
      <alignment horizontal="center" vertical="center"/>
    </xf>
    <xf numFmtId="0" fontId="38" fillId="0" borderId="1" xfId="0" applyFont="1" applyBorder="1" applyAlignment="1">
      <alignment vertical="top" wrapText="1"/>
    </xf>
    <xf numFmtId="0" fontId="1" fillId="0" borderId="1" xfId="0" applyFont="1" applyBorder="1" applyAlignment="1">
      <alignment horizontal="left" vertical="top" wrapText="1"/>
    </xf>
    <xf numFmtId="0" fontId="1" fillId="0" borderId="1" xfId="0" applyFont="1" applyBorder="1" applyAlignment="1">
      <alignment vertical="top" wrapText="1"/>
    </xf>
    <xf numFmtId="0" fontId="6" fillId="0" borderId="1" xfId="0" applyFont="1" applyBorder="1" applyAlignment="1">
      <alignment vertical="top" wrapText="1"/>
    </xf>
    <xf numFmtId="0" fontId="1" fillId="0" borderId="1" xfId="0" applyFont="1" applyBorder="1"/>
    <xf numFmtId="1" fontId="6" fillId="0" borderId="1" xfId="5" applyNumberFormat="1" applyBorder="1" applyAlignment="1">
      <alignment horizontal="center" vertical="center" wrapText="1"/>
    </xf>
    <xf numFmtId="175" fontId="6" fillId="6" borderId="1" xfId="1" applyNumberFormat="1" applyFont="1" applyFill="1" applyBorder="1" applyAlignment="1">
      <alignment horizontal="right" vertical="center" wrapText="1"/>
    </xf>
    <xf numFmtId="168" fontId="6" fillId="0" borderId="1" xfId="5" applyNumberFormat="1" applyBorder="1" applyAlignment="1">
      <alignment horizontal="left" vertical="center" wrapText="1"/>
    </xf>
    <xf numFmtId="10" fontId="6" fillId="0" borderId="1" xfId="54" applyNumberFormat="1" applyFont="1" applyFill="1" applyBorder="1" applyAlignment="1">
      <alignment horizontal="center" vertical="center"/>
    </xf>
    <xf numFmtId="0" fontId="40" fillId="0" borderId="1" xfId="0" applyFont="1" applyBorder="1"/>
    <xf numFmtId="0" fontId="40" fillId="0" borderId="1" xfId="0" applyFont="1" applyBorder="1" applyAlignment="1">
      <alignment horizontal="center"/>
    </xf>
    <xf numFmtId="175" fontId="36" fillId="0" borderId="1" xfId="0" applyNumberFormat="1" applyFont="1" applyBorder="1" applyAlignment="1">
      <alignment horizontal="right" vertical="center"/>
    </xf>
    <xf numFmtId="0" fontId="41" fillId="0" borderId="1" xfId="0" applyFont="1" applyBorder="1"/>
    <xf numFmtId="0" fontId="40" fillId="0" borderId="33" xfId="0" applyFont="1" applyBorder="1"/>
    <xf numFmtId="0" fontId="6" fillId="0" borderId="26" xfId="0" applyFont="1" applyBorder="1" applyAlignment="1">
      <alignment horizontal="center" vertical="center"/>
    </xf>
    <xf numFmtId="0" fontId="6" fillId="0" borderId="49" xfId="0" applyFont="1" applyBorder="1" applyAlignment="1">
      <alignment horizontal="center" vertical="center" wrapText="1"/>
    </xf>
    <xf numFmtId="0" fontId="36" fillId="0" borderId="11" xfId="0" applyFont="1" applyBorder="1"/>
    <xf numFmtId="168" fontId="33" fillId="0" borderId="13" xfId="5" applyNumberFormat="1" applyFont="1" applyBorder="1" applyAlignment="1">
      <alignment horizontal="left" vertical="center" wrapText="1"/>
    </xf>
    <xf numFmtId="0" fontId="6" fillId="0" borderId="33" xfId="5" applyBorder="1" applyAlignment="1">
      <alignment horizontal="center" vertical="center" wrapText="1"/>
    </xf>
    <xf numFmtId="0" fontId="62" fillId="0" borderId="1" xfId="0" applyFont="1" applyBorder="1" applyAlignment="1">
      <alignment horizontal="center" vertical="center" wrapText="1"/>
    </xf>
    <xf numFmtId="173" fontId="46" fillId="0" borderId="33" xfId="23" applyNumberFormat="1" applyFont="1" applyFill="1" applyBorder="1" applyAlignment="1">
      <alignment horizontal="center" vertical="center" wrapText="1"/>
    </xf>
    <xf numFmtId="0" fontId="6" fillId="0" borderId="33" xfId="0" applyFont="1" applyBorder="1" applyAlignment="1">
      <alignment vertical="top" wrapText="1"/>
    </xf>
    <xf numFmtId="0" fontId="43" fillId="0" borderId="33" xfId="0" applyFont="1" applyBorder="1" applyAlignment="1">
      <alignment horizontal="center" vertical="center" wrapText="1"/>
    </xf>
    <xf numFmtId="173" fontId="63" fillId="0" borderId="33" xfId="23" applyNumberFormat="1" applyFont="1" applyFill="1" applyBorder="1" applyAlignment="1">
      <alignment horizontal="center" vertical="center" wrapText="1"/>
    </xf>
    <xf numFmtId="173" fontId="63" fillId="0" borderId="33" xfId="23" applyNumberFormat="1" applyFont="1" applyFill="1" applyBorder="1" applyAlignment="1">
      <alignment horizontal="right" vertical="center" wrapText="1"/>
    </xf>
    <xf numFmtId="0" fontId="6" fillId="0" borderId="33" xfId="0" applyFont="1" applyBorder="1" applyAlignment="1">
      <alignment horizontal="left" vertical="center" wrapText="1"/>
    </xf>
    <xf numFmtId="0" fontId="1" fillId="0" borderId="0" xfId="0" applyFont="1" applyAlignment="1">
      <alignment vertical="center"/>
    </xf>
    <xf numFmtId="177" fontId="2" fillId="10" borderId="0" xfId="0" applyNumberFormat="1" applyFont="1" applyFill="1"/>
    <xf numFmtId="0" fontId="42" fillId="0" borderId="21" xfId="0" applyFont="1" applyBorder="1" applyAlignment="1">
      <alignment horizontal="center"/>
    </xf>
    <xf numFmtId="179" fontId="64" fillId="0" borderId="1" xfId="0" applyNumberFormat="1" applyFont="1" applyBorder="1" applyAlignment="1">
      <alignment horizontal="left"/>
    </xf>
    <xf numFmtId="179" fontId="64" fillId="13" borderId="1" xfId="0" applyNumberFormat="1" applyFont="1" applyFill="1" applyBorder="1" applyAlignment="1">
      <alignment horizontal="left"/>
    </xf>
    <xf numFmtId="2" fontId="64" fillId="6" borderId="1" xfId="54" applyNumberFormat="1" applyFont="1" applyFill="1" applyBorder="1" applyAlignment="1">
      <alignment horizontal="center"/>
    </xf>
    <xf numFmtId="2" fontId="64" fillId="19" borderId="1" xfId="54" applyNumberFormat="1" applyFont="1" applyFill="1" applyBorder="1" applyAlignment="1">
      <alignment horizontal="center"/>
    </xf>
    <xf numFmtId="2" fontId="64" fillId="17" borderId="1" xfId="54" applyNumberFormat="1" applyFont="1" applyFill="1" applyBorder="1" applyAlignment="1">
      <alignment horizontal="center"/>
    </xf>
    <xf numFmtId="2" fontId="64" fillId="12" borderId="1" xfId="54" applyNumberFormat="1" applyFont="1" applyFill="1" applyBorder="1" applyAlignment="1">
      <alignment horizontal="center"/>
    </xf>
    <xf numFmtId="2" fontId="64" fillId="0" borderId="1" xfId="54" applyNumberFormat="1" applyFont="1" applyFill="1" applyBorder="1" applyAlignment="1">
      <alignment horizontal="center"/>
    </xf>
    <xf numFmtId="0" fontId="0" fillId="0" borderId="0" xfId="0" applyAlignment="1">
      <alignment horizontal="left"/>
    </xf>
    <xf numFmtId="2" fontId="53" fillId="11" borderId="14" xfId="54" applyNumberFormat="1" applyFont="1" applyFill="1" applyBorder="1" applyAlignment="1">
      <alignment horizontal="center"/>
    </xf>
    <xf numFmtId="2" fontId="53" fillId="12" borderId="14" xfId="54" applyNumberFormat="1" applyFont="1" applyFill="1" applyBorder="1" applyAlignment="1">
      <alignment horizontal="center"/>
    </xf>
    <xf numFmtId="0" fontId="0" fillId="20" borderId="1" xfId="0" applyFill="1" applyBorder="1" applyAlignment="1">
      <alignment vertical="center"/>
    </xf>
    <xf numFmtId="14" fontId="6" fillId="0" borderId="1" xfId="0" applyNumberFormat="1" applyFont="1" applyBorder="1" applyAlignment="1">
      <alignment horizontal="center" vertical="center"/>
    </xf>
    <xf numFmtId="177" fontId="6" fillId="0" borderId="1" xfId="5" applyNumberFormat="1" applyBorder="1" applyAlignment="1">
      <alignment vertical="center" wrapText="1"/>
    </xf>
    <xf numFmtId="164" fontId="0" fillId="0" borderId="1" xfId="0" applyNumberFormat="1" applyBorder="1" applyAlignment="1">
      <alignment vertical="center"/>
    </xf>
    <xf numFmtId="164" fontId="0" fillId="0" borderId="1" xfId="54" applyNumberFormat="1" applyFont="1" applyBorder="1" applyAlignment="1">
      <alignment vertical="center"/>
    </xf>
    <xf numFmtId="10" fontId="0" fillId="0" borderId="1" xfId="54" applyNumberFormat="1" applyFont="1" applyBorder="1" applyAlignment="1">
      <alignment vertical="center"/>
    </xf>
    <xf numFmtId="0" fontId="0" fillId="0" borderId="0" xfId="0" applyAlignment="1">
      <alignment vertical="center"/>
    </xf>
    <xf numFmtId="0" fontId="0" fillId="12" borderId="1" xfId="0" applyFill="1" applyBorder="1" applyAlignment="1">
      <alignment vertical="center"/>
    </xf>
    <xf numFmtId="168" fontId="6" fillId="0" borderId="1" xfId="5" applyNumberFormat="1" applyBorder="1" applyAlignment="1">
      <alignment vertical="center" wrapText="1"/>
    </xf>
    <xf numFmtId="177" fontId="6" fillId="0" borderId="1" xfId="1" applyNumberFormat="1" applyFont="1" applyFill="1" applyBorder="1" applyAlignment="1">
      <alignment vertical="center" wrapText="1"/>
    </xf>
    <xf numFmtId="168" fontId="33" fillId="0" borderId="1" xfId="5" applyNumberFormat="1" applyFont="1" applyBorder="1" applyAlignment="1">
      <alignment vertical="center" wrapText="1"/>
    </xf>
    <xf numFmtId="177" fontId="33" fillId="0" borderId="1" xfId="1" applyNumberFormat="1" applyFont="1" applyFill="1" applyBorder="1" applyAlignment="1">
      <alignment horizontal="right" vertical="center"/>
    </xf>
    <xf numFmtId="0" fontId="33" fillId="0" borderId="13" xfId="0" applyFont="1" applyBorder="1" applyAlignment="1">
      <alignment vertical="center" wrapText="1"/>
    </xf>
    <xf numFmtId="173" fontId="33" fillId="0" borderId="1" xfId="1" applyNumberFormat="1" applyFont="1" applyFill="1" applyBorder="1" applyAlignment="1">
      <alignment horizontal="center" vertical="center" wrapText="1"/>
    </xf>
    <xf numFmtId="177" fontId="33" fillId="0" borderId="1" xfId="8" applyNumberFormat="1" applyFont="1" applyFill="1" applyBorder="1" applyAlignment="1">
      <alignment horizontal="right" vertical="center"/>
    </xf>
    <xf numFmtId="168" fontId="6" fillId="0" borderId="33" xfId="5" applyNumberFormat="1" applyBorder="1" applyAlignment="1">
      <alignment vertical="center" wrapText="1"/>
    </xf>
    <xf numFmtId="0" fontId="26" fillId="0" borderId="33" xfId="0" applyFont="1" applyBorder="1" applyAlignment="1">
      <alignment vertical="center" wrapText="1"/>
    </xf>
    <xf numFmtId="177" fontId="6" fillId="0" borderId="33" xfId="1" applyNumberFormat="1" applyFont="1" applyFill="1" applyBorder="1" applyAlignment="1">
      <alignment vertical="center" wrapText="1"/>
    </xf>
    <xf numFmtId="177" fontId="33" fillId="0" borderId="11" xfId="1" applyNumberFormat="1" applyFont="1" applyFill="1" applyBorder="1" applyAlignment="1">
      <alignment horizontal="right" vertical="center"/>
    </xf>
    <xf numFmtId="168" fontId="6" fillId="0" borderId="33" xfId="5" applyNumberFormat="1" applyBorder="1" applyAlignment="1">
      <alignment horizontal="left" vertical="center" wrapText="1"/>
    </xf>
    <xf numFmtId="0" fontId="6" fillId="0" borderId="33" xfId="0" applyFont="1" applyBorder="1" applyAlignment="1">
      <alignment horizontal="center" wrapText="1"/>
    </xf>
    <xf numFmtId="177" fontId="6" fillId="0" borderId="33" xfId="1" applyNumberFormat="1" applyFont="1" applyFill="1" applyBorder="1" applyAlignment="1">
      <alignment horizontal="right" vertical="center" wrapText="1"/>
    </xf>
    <xf numFmtId="0" fontId="34" fillId="0" borderId="33" xfId="0" applyFont="1" applyBorder="1" applyAlignment="1">
      <alignment horizontal="center" vertical="center" wrapText="1"/>
    </xf>
    <xf numFmtId="0" fontId="34" fillId="0" borderId="33" xfId="0" applyFont="1" applyBorder="1" applyAlignment="1">
      <alignment horizontal="center" vertical="center"/>
    </xf>
    <xf numFmtId="0" fontId="0" fillId="19" borderId="1" xfId="0" applyFill="1" applyBorder="1" applyAlignment="1">
      <alignment vertical="center"/>
    </xf>
    <xf numFmtId="0" fontId="6" fillId="0" borderId="11" xfId="0" applyFont="1" applyBorder="1" applyAlignment="1">
      <alignment vertical="center" wrapText="1"/>
    </xf>
    <xf numFmtId="173" fontId="6" fillId="0" borderId="1" xfId="1" applyNumberFormat="1" applyFont="1" applyFill="1" applyBorder="1" applyAlignment="1">
      <alignment horizontal="center" vertical="center" wrapText="1"/>
    </xf>
    <xf numFmtId="0" fontId="6" fillId="0" borderId="2" xfId="0" applyFont="1" applyBorder="1" applyAlignment="1">
      <alignment vertical="center" wrapText="1"/>
    </xf>
    <xf numFmtId="0" fontId="51" fillId="0" borderId="45" xfId="0" applyFont="1" applyBorder="1"/>
    <xf numFmtId="0" fontId="51" fillId="0" borderId="43" xfId="0" applyFont="1" applyBorder="1"/>
    <xf numFmtId="0" fontId="0" fillId="7" borderId="1" xfId="0" applyFill="1" applyBorder="1" applyAlignment="1">
      <alignment vertical="center"/>
    </xf>
    <xf numFmtId="0" fontId="51" fillId="0" borderId="1" xfId="0" applyFont="1" applyBorder="1"/>
    <xf numFmtId="0" fontId="1" fillId="0" borderId="1" xfId="0" applyFont="1" applyBorder="1" applyAlignment="1">
      <alignment wrapText="1"/>
    </xf>
    <xf numFmtId="0" fontId="34" fillId="0" borderId="1" xfId="0" applyFont="1" applyBorder="1" applyAlignment="1">
      <alignment horizontal="left" vertical="center" wrapText="1"/>
    </xf>
    <xf numFmtId="0" fontId="54" fillId="0" borderId="1" xfId="0" applyFont="1" applyBorder="1"/>
    <xf numFmtId="164" fontId="6" fillId="0" borderId="1" xfId="0" applyNumberFormat="1" applyFont="1" applyBorder="1" applyAlignment="1">
      <alignment horizontal="right" vertical="center"/>
    </xf>
    <xf numFmtId="0" fontId="34" fillId="0" borderId="1" xfId="0" applyFont="1" applyBorder="1" applyAlignment="1">
      <alignment vertical="center" wrapText="1"/>
    </xf>
    <xf numFmtId="0" fontId="0" fillId="17" borderId="1" xfId="0" applyFill="1" applyBorder="1" applyAlignment="1">
      <alignment vertical="center"/>
    </xf>
    <xf numFmtId="0" fontId="34" fillId="0" borderId="42" xfId="0" applyFont="1" applyBorder="1" applyAlignment="1">
      <alignment vertical="center" wrapText="1"/>
    </xf>
    <xf numFmtId="0" fontId="34" fillId="0" borderId="1" xfId="0" applyFont="1" applyBorder="1" applyAlignment="1">
      <alignment horizontal="center" vertical="center"/>
    </xf>
    <xf numFmtId="0" fontId="34" fillId="0" borderId="43" xfId="0" applyFont="1" applyBorder="1" applyAlignment="1">
      <alignment horizontal="left" vertical="center" wrapText="1"/>
    </xf>
    <xf numFmtId="0" fontId="34" fillId="0" borderId="1" xfId="0" applyFont="1" applyBorder="1" applyAlignment="1">
      <alignment horizontal="left" vertical="center" wrapText="1" indent="2"/>
    </xf>
    <xf numFmtId="0" fontId="34" fillId="0" borderId="13" xfId="0" applyFont="1" applyBorder="1" applyAlignment="1">
      <alignment horizontal="center" vertical="center"/>
    </xf>
    <xf numFmtId="0" fontId="34" fillId="0" borderId="2" xfId="0" applyFont="1" applyBorder="1" applyAlignment="1">
      <alignment horizontal="left" vertical="center" wrapText="1"/>
    </xf>
    <xf numFmtId="0" fontId="34" fillId="0" borderId="2" xfId="0" applyFont="1" applyBorder="1" applyAlignment="1">
      <alignment horizontal="center" vertical="center" wrapText="1"/>
    </xf>
    <xf numFmtId="0" fontId="34" fillId="0" borderId="13" xfId="0" applyFont="1" applyBorder="1" applyAlignment="1">
      <alignment vertical="center" wrapText="1"/>
    </xf>
    <xf numFmtId="0" fontId="0" fillId="21" borderId="26" xfId="0" applyFill="1" applyBorder="1" applyAlignment="1">
      <alignment vertical="center"/>
    </xf>
    <xf numFmtId="0" fontId="1" fillId="0" borderId="33" xfId="0" applyFont="1" applyBorder="1" applyAlignment="1">
      <alignment horizontal="center"/>
    </xf>
    <xf numFmtId="0" fontId="0" fillId="22" borderId="26" xfId="0" applyFill="1" applyBorder="1" applyAlignment="1">
      <alignment vertical="center"/>
    </xf>
    <xf numFmtId="0" fontId="6" fillId="0" borderId="0" xfId="0" applyFont="1" applyAlignment="1">
      <alignment horizontal="left" vertical="center" wrapText="1"/>
    </xf>
    <xf numFmtId="0" fontId="12" fillId="0" borderId="1" xfId="0" applyFont="1" applyBorder="1" applyAlignment="1">
      <alignment horizontal="center" vertical="center" wrapText="1"/>
    </xf>
    <xf numFmtId="0" fontId="18" fillId="0" borderId="1" xfId="0" applyFont="1" applyBorder="1" applyAlignment="1">
      <alignment horizontal="left" vertical="center" wrapText="1"/>
    </xf>
    <xf numFmtId="0" fontId="1" fillId="0" borderId="13" xfId="0" applyFont="1" applyBorder="1" applyAlignment="1">
      <alignment horizontal="center" vertical="center"/>
    </xf>
    <xf numFmtId="0" fontId="1" fillId="0" borderId="13" xfId="0" applyFont="1" applyBorder="1" applyAlignment="1">
      <alignment horizontal="center"/>
    </xf>
    <xf numFmtId="0" fontId="51" fillId="0" borderId="13" xfId="0" applyFont="1" applyBorder="1" applyAlignment="1">
      <alignment horizontal="center" vertical="center"/>
    </xf>
    <xf numFmtId="0" fontId="0" fillId="23" borderId="26" xfId="0" applyFill="1" applyBorder="1" applyAlignment="1">
      <alignment vertical="center"/>
    </xf>
    <xf numFmtId="0" fontId="6" fillId="0" borderId="2" xfId="0" applyFont="1" applyBorder="1" applyAlignment="1">
      <alignment horizontal="center" vertical="center" wrapText="1"/>
    </xf>
    <xf numFmtId="0" fontId="6" fillId="0" borderId="61" xfId="0" applyFont="1" applyBorder="1" applyAlignment="1">
      <alignment horizontal="center" vertical="center" wrapText="1"/>
    </xf>
    <xf numFmtId="0" fontId="0" fillId="24" borderId="26" xfId="0" applyFill="1" applyBorder="1" applyAlignment="1">
      <alignment vertical="center"/>
    </xf>
    <xf numFmtId="0" fontId="0" fillId="10" borderId="26" xfId="0" applyFill="1" applyBorder="1" applyAlignment="1">
      <alignment vertical="center"/>
    </xf>
    <xf numFmtId="0" fontId="34" fillId="0" borderId="41" xfId="0" applyFont="1" applyBorder="1" applyAlignment="1">
      <alignment horizontal="left" vertical="center" wrapText="1"/>
    </xf>
    <xf numFmtId="0" fontId="34" fillId="0" borderId="40" xfId="0" applyFont="1" applyBorder="1" applyAlignment="1">
      <alignment horizontal="left" vertical="center" wrapText="1"/>
    </xf>
    <xf numFmtId="0" fontId="34" fillId="0" borderId="30" xfId="0" applyFont="1" applyBorder="1" applyAlignment="1">
      <alignment horizontal="center" vertical="center" wrapText="1"/>
    </xf>
    <xf numFmtId="173" fontId="34" fillId="0" borderId="1" xfId="8" applyNumberFormat="1" applyFont="1" applyBorder="1" applyAlignment="1">
      <alignment horizontal="center" vertical="center"/>
    </xf>
    <xf numFmtId="0" fontId="34" fillId="0" borderId="33" xfId="0" applyFont="1" applyBorder="1" applyAlignment="1">
      <alignment horizontal="left" vertical="center" wrapText="1"/>
    </xf>
    <xf numFmtId="173" fontId="34" fillId="0" borderId="1" xfId="8" applyNumberFormat="1" applyFont="1" applyFill="1" applyBorder="1" applyAlignment="1">
      <alignment horizontal="center" vertical="center"/>
    </xf>
    <xf numFmtId="0" fontId="0" fillId="25" borderId="27" xfId="0" applyFill="1" applyBorder="1" applyAlignment="1">
      <alignment vertical="center"/>
    </xf>
    <xf numFmtId="0" fontId="37" fillId="0" borderId="1" xfId="0" applyFont="1" applyBorder="1" applyAlignment="1">
      <alignment horizontal="center" vertical="center" wrapText="1"/>
    </xf>
    <xf numFmtId="0" fontId="0" fillId="7" borderId="27" xfId="0" applyFill="1" applyBorder="1" applyAlignment="1">
      <alignment vertical="center"/>
    </xf>
    <xf numFmtId="0" fontId="6" fillId="26" borderId="1" xfId="0" applyFont="1" applyFill="1" applyBorder="1" applyAlignment="1">
      <alignment horizontal="center" vertical="top" wrapText="1"/>
    </xf>
    <xf numFmtId="0" fontId="0" fillId="7" borderId="1" xfId="0" applyFill="1" applyBorder="1" applyAlignment="1">
      <alignment horizontal="center" vertical="center"/>
    </xf>
    <xf numFmtId="0" fontId="6" fillId="26" borderId="1" xfId="0" applyFont="1" applyFill="1" applyBorder="1" applyAlignment="1">
      <alignment horizontal="center" vertical="top"/>
    </xf>
    <xf numFmtId="14" fontId="6" fillId="7" borderId="1" xfId="0" applyNumberFormat="1" applyFont="1" applyFill="1" applyBorder="1" applyAlignment="1">
      <alignment horizontal="center" vertical="center"/>
    </xf>
    <xf numFmtId="175" fontId="1" fillId="7" borderId="1" xfId="1" applyNumberFormat="1" applyFont="1" applyFill="1" applyBorder="1" applyAlignment="1">
      <alignment horizontal="right" vertical="center"/>
    </xf>
    <xf numFmtId="164" fontId="0" fillId="7" borderId="1" xfId="0" applyNumberFormat="1" applyFill="1" applyBorder="1" applyAlignment="1">
      <alignment vertical="center"/>
    </xf>
    <xf numFmtId="164" fontId="0" fillId="7" borderId="1" xfId="54" applyNumberFormat="1" applyFont="1" applyFill="1" applyBorder="1" applyAlignment="1">
      <alignment vertical="center"/>
    </xf>
    <xf numFmtId="10" fontId="0" fillId="7" borderId="1" xfId="54" applyNumberFormat="1" applyFont="1" applyFill="1" applyBorder="1" applyAlignment="1">
      <alignment vertical="center"/>
    </xf>
    <xf numFmtId="0" fontId="6" fillId="27" borderId="1" xfId="0" applyFont="1" applyFill="1" applyBorder="1" applyAlignment="1">
      <alignment horizontal="center" vertical="top"/>
    </xf>
    <xf numFmtId="4" fontId="6" fillId="27" borderId="1" xfId="0" applyNumberFormat="1" applyFont="1" applyFill="1" applyBorder="1" applyAlignment="1">
      <alignment horizontal="center" vertical="top"/>
    </xf>
    <xf numFmtId="0" fontId="6" fillId="27" borderId="14" xfId="0" applyFont="1" applyFill="1" applyBorder="1" applyAlignment="1">
      <alignment horizontal="center" vertical="top"/>
    </xf>
    <xf numFmtId="4" fontId="6" fillId="27" borderId="14" xfId="0" applyNumberFormat="1" applyFont="1" applyFill="1" applyBorder="1" applyAlignment="1">
      <alignment horizontal="center" vertical="top"/>
    </xf>
    <xf numFmtId="0" fontId="6" fillId="27" borderId="1" xfId="0" applyFont="1" applyFill="1" applyBorder="1" applyAlignment="1">
      <alignment horizontal="center" vertical="center"/>
    </xf>
    <xf numFmtId="173" fontId="44" fillId="14" borderId="1" xfId="23" applyNumberFormat="1" applyFont="1" applyFill="1" applyBorder="1" applyAlignment="1">
      <alignment horizontal="center" vertical="center" wrapText="1"/>
    </xf>
    <xf numFmtId="178" fontId="44" fillId="14" borderId="1" xfId="23" applyNumberFormat="1" applyFont="1" applyFill="1" applyBorder="1" applyAlignment="1">
      <alignment horizontal="center" vertical="center" wrapText="1"/>
    </xf>
    <xf numFmtId="0" fontId="1" fillId="0" borderId="54" xfId="0" applyFont="1" applyBorder="1"/>
    <xf numFmtId="0" fontId="1" fillId="0" borderId="32" xfId="0" applyFont="1" applyBorder="1"/>
    <xf numFmtId="0" fontId="1" fillId="0" borderId="62" xfId="0" applyFont="1" applyBorder="1"/>
    <xf numFmtId="0" fontId="2" fillId="0" borderId="0" xfId="0" applyFont="1"/>
    <xf numFmtId="0" fontId="1" fillId="0" borderId="0" xfId="0" applyFont="1" applyAlignment="1">
      <alignment horizontal="center" vertical="center"/>
    </xf>
    <xf numFmtId="176" fontId="2" fillId="0" borderId="33" xfId="1" applyNumberFormat="1" applyFont="1" applyBorder="1"/>
    <xf numFmtId="176" fontId="1" fillId="0" borderId="33" xfId="0" applyNumberFormat="1" applyFont="1" applyBorder="1" applyAlignment="1">
      <alignment horizontal="center"/>
    </xf>
    <xf numFmtId="176" fontId="1" fillId="0" borderId="0" xfId="0" applyNumberFormat="1" applyFont="1"/>
    <xf numFmtId="0" fontId="2" fillId="0" borderId="0" xfId="0" applyFont="1" applyAlignment="1">
      <alignment horizontal="center"/>
    </xf>
    <xf numFmtId="0" fontId="1" fillId="0" borderId="0" xfId="0" applyFont="1" applyAlignment="1">
      <alignment vertical="center" wrapText="1"/>
    </xf>
    <xf numFmtId="0" fontId="2" fillId="0" borderId="0" xfId="0" applyFont="1" applyAlignment="1">
      <alignment vertical="center" wrapText="1"/>
    </xf>
    <xf numFmtId="0" fontId="33" fillId="0" borderId="64" xfId="0" applyFont="1" applyBorder="1" applyAlignment="1">
      <alignment horizontal="center" vertical="center" wrapText="1"/>
    </xf>
    <xf numFmtId="0" fontId="33" fillId="0" borderId="65" xfId="0" applyFont="1" applyBorder="1" applyAlignment="1">
      <alignment horizontal="center" vertical="center" wrapText="1"/>
    </xf>
    <xf numFmtId="0" fontId="58" fillId="0" borderId="65" xfId="0" applyFont="1" applyBorder="1" applyAlignment="1">
      <alignment horizontal="center" vertical="center" wrapText="1"/>
    </xf>
    <xf numFmtId="0" fontId="33" fillId="0" borderId="66" xfId="0" applyFont="1" applyBorder="1" applyAlignment="1">
      <alignment horizontal="center" vertical="center" wrapText="1"/>
    </xf>
    <xf numFmtId="0" fontId="33" fillId="0" borderId="67" xfId="0" applyFont="1" applyBorder="1" applyAlignment="1">
      <alignment horizontal="center" vertical="center" wrapText="1"/>
    </xf>
    <xf numFmtId="0" fontId="33" fillId="0" borderId="33" xfId="0" applyFont="1" applyBorder="1" applyAlignment="1">
      <alignment horizontal="center" vertical="center" wrapText="1"/>
    </xf>
    <xf numFmtId="0" fontId="58" fillId="0" borderId="33" xfId="0" applyFont="1" applyBorder="1" applyAlignment="1">
      <alignment horizontal="center" vertical="center" wrapText="1"/>
    </xf>
    <xf numFmtId="0" fontId="66" fillId="0" borderId="33" xfId="0" applyFont="1" applyBorder="1" applyAlignment="1">
      <alignment horizontal="center" vertical="center" wrapText="1"/>
    </xf>
    <xf numFmtId="0" fontId="33" fillId="0" borderId="68" xfId="0" applyFont="1" applyBorder="1" applyAlignment="1">
      <alignment horizontal="center" vertical="center" wrapText="1"/>
    </xf>
    <xf numFmtId="1" fontId="58" fillId="0" borderId="33" xfId="0" applyNumberFormat="1" applyFont="1" applyBorder="1" applyAlignment="1">
      <alignment horizontal="center" vertical="center" wrapText="1"/>
    </xf>
    <xf numFmtId="0" fontId="58" fillId="6" borderId="33" xfId="0" applyFont="1" applyFill="1" applyBorder="1" applyAlignment="1">
      <alignment horizontal="center" vertical="center" wrapText="1"/>
    </xf>
    <xf numFmtId="1" fontId="58" fillId="6" borderId="33" xfId="0" applyNumberFormat="1" applyFont="1" applyFill="1" applyBorder="1" applyAlignment="1">
      <alignment horizontal="center" vertical="center" wrapText="1"/>
    </xf>
    <xf numFmtId="0" fontId="33" fillId="0" borderId="69" xfId="0" applyFont="1" applyBorder="1" applyAlignment="1">
      <alignment horizontal="center" vertical="center" wrapText="1"/>
    </xf>
    <xf numFmtId="0" fontId="33" fillId="0" borderId="70" xfId="0" applyFont="1" applyBorder="1" applyAlignment="1">
      <alignment horizontal="center" vertical="center" wrapText="1"/>
    </xf>
    <xf numFmtId="0" fontId="58" fillId="0" borderId="70" xfId="0" applyFont="1" applyBorder="1" applyAlignment="1">
      <alignment horizontal="center" vertical="center" wrapText="1"/>
    </xf>
    <xf numFmtId="1" fontId="58" fillId="0" borderId="70" xfId="0" applyNumberFormat="1" applyFont="1" applyBorder="1" applyAlignment="1">
      <alignment horizontal="center" vertical="center" wrapText="1"/>
    </xf>
    <xf numFmtId="0" fontId="33" fillId="0" borderId="71" xfId="0" applyFont="1" applyBorder="1" applyAlignment="1">
      <alignment horizontal="center" vertical="center" wrapText="1"/>
    </xf>
    <xf numFmtId="0" fontId="33" fillId="0" borderId="0" xfId="0" applyFont="1" applyAlignment="1">
      <alignment horizontal="center" wrapText="1"/>
    </xf>
    <xf numFmtId="0" fontId="33" fillId="0" borderId="0" xfId="0" applyFont="1"/>
    <xf numFmtId="0" fontId="31" fillId="0" borderId="0" xfId="0" applyFont="1" applyAlignment="1">
      <alignment horizontal="center"/>
    </xf>
    <xf numFmtId="0" fontId="31" fillId="0" borderId="1" xfId="0" applyFont="1" applyBorder="1"/>
    <xf numFmtId="177" fontId="31" fillId="0" borderId="1" xfId="0" applyNumberFormat="1" applyFont="1" applyBorder="1"/>
    <xf numFmtId="175" fontId="52" fillId="18" borderId="1" xfId="0" applyNumberFormat="1" applyFont="1" applyFill="1" applyBorder="1"/>
    <xf numFmtId="0" fontId="28" fillId="0" borderId="1" xfId="0" applyFont="1" applyBorder="1" applyAlignment="1">
      <alignment horizontal="left" vertical="center" wrapText="1"/>
    </xf>
    <xf numFmtId="0" fontId="28" fillId="0" borderId="1" xfId="0" applyFont="1" applyBorder="1" applyAlignment="1">
      <alignment horizontal="center" vertical="center" wrapText="1"/>
    </xf>
    <xf numFmtId="0" fontId="30" fillId="0" borderId="1" xfId="0" applyFont="1" applyBorder="1" applyAlignment="1">
      <alignment vertical="center" wrapText="1"/>
    </xf>
    <xf numFmtId="10" fontId="30" fillId="0" borderId="1" xfId="54" applyNumberFormat="1" applyFont="1" applyBorder="1" applyAlignment="1">
      <alignment horizontal="center" vertical="center"/>
    </xf>
    <xf numFmtId="177" fontId="30" fillId="0" borderId="1" xfId="8" applyNumberFormat="1" applyFont="1" applyFill="1" applyBorder="1" applyAlignment="1">
      <alignment horizontal="center" vertical="center"/>
    </xf>
    <xf numFmtId="0" fontId="28" fillId="0" borderId="1" xfId="0" applyFont="1" applyBorder="1" applyAlignment="1">
      <alignment horizontal="center" vertical="center"/>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28" fillId="0" borderId="1" xfId="0" applyFont="1" applyBorder="1" applyAlignment="1">
      <alignment vertical="center"/>
    </xf>
    <xf numFmtId="0" fontId="31" fillId="0" borderId="1" xfId="0" applyFont="1" applyBorder="1" applyAlignment="1">
      <alignment horizontal="center" vertical="center" wrapText="1"/>
    </xf>
    <xf numFmtId="0" fontId="28" fillId="0" borderId="1" xfId="0" applyFont="1" applyBorder="1" applyAlignment="1">
      <alignment horizontal="left" vertical="center"/>
    </xf>
    <xf numFmtId="164" fontId="32" fillId="0" borderId="1" xfId="0" applyNumberFormat="1" applyFont="1" applyBorder="1" applyAlignment="1">
      <alignment horizontal="center" vertical="center"/>
    </xf>
    <xf numFmtId="10" fontId="33" fillId="0" borderId="13" xfId="54" applyNumberFormat="1" applyFont="1" applyFill="1" applyBorder="1" applyAlignment="1">
      <alignment horizontal="center" vertical="center" wrapText="1"/>
    </xf>
    <xf numFmtId="166" fontId="33" fillId="0" borderId="1" xfId="1" applyFont="1" applyFill="1" applyBorder="1" applyAlignment="1">
      <alignment horizontal="center" vertical="center" wrapText="1"/>
    </xf>
    <xf numFmtId="0" fontId="6" fillId="0" borderId="14" xfId="0" applyFont="1" applyBorder="1" applyAlignment="1">
      <alignment horizontal="center" vertical="center" wrapText="1"/>
    </xf>
    <xf numFmtId="0" fontId="6" fillId="0" borderId="38" xfId="5" applyBorder="1" applyAlignment="1">
      <alignment horizontal="center" vertical="center" wrapText="1"/>
    </xf>
    <xf numFmtId="0" fontId="51" fillId="0" borderId="33" xfId="0" applyFont="1" applyBorder="1"/>
    <xf numFmtId="174" fontId="32" fillId="0" borderId="33" xfId="8" applyNumberFormat="1" applyFont="1" applyFill="1" applyBorder="1" applyAlignment="1">
      <alignment horizontal="center" vertical="center" wrapText="1"/>
    </xf>
    <xf numFmtId="0" fontId="27" fillId="0" borderId="0" xfId="0" applyFont="1" applyAlignment="1">
      <alignment horizontal="center" vertical="center" wrapText="1"/>
    </xf>
    <xf numFmtId="174" fontId="0" fillId="0" borderId="0" xfId="0" applyNumberFormat="1"/>
    <xf numFmtId="175" fontId="3" fillId="10" borderId="2" xfId="0" applyNumberFormat="1" applyFont="1" applyFill="1" applyBorder="1"/>
    <xf numFmtId="175" fontId="3" fillId="10" borderId="35" xfId="0" applyNumberFormat="1" applyFont="1" applyFill="1" applyBorder="1"/>
    <xf numFmtId="175" fontId="1" fillId="0" borderId="1" xfId="0" applyNumberFormat="1" applyFont="1" applyBorder="1" applyAlignment="1">
      <alignment horizontal="center" vertical="center"/>
    </xf>
    <xf numFmtId="175" fontId="39" fillId="10" borderId="0" xfId="0" applyNumberFormat="1" applyFont="1" applyFill="1"/>
    <xf numFmtId="175" fontId="51" fillId="0" borderId="1" xfId="0" applyNumberFormat="1" applyFont="1" applyBorder="1" applyAlignment="1">
      <alignment horizontal="center" vertical="center"/>
    </xf>
    <xf numFmtId="180" fontId="32" fillId="13" borderId="1" xfId="34" applyNumberFormat="1" applyFont="1" applyFill="1" applyBorder="1" applyAlignment="1">
      <alignment horizontal="center" vertical="center" wrapText="1"/>
    </xf>
    <xf numFmtId="10" fontId="6" fillId="0" borderId="2" xfId="1" applyNumberFormat="1" applyFont="1" applyFill="1" applyBorder="1" applyAlignment="1">
      <alignment horizontal="right" vertical="center"/>
    </xf>
    <xf numFmtId="175" fontId="4" fillId="10" borderId="1" xfId="0" applyNumberFormat="1" applyFont="1" applyFill="1" applyBorder="1"/>
    <xf numFmtId="0" fontId="37" fillId="0" borderId="14" xfId="0" applyFont="1" applyBorder="1" applyAlignment="1">
      <alignment vertical="center" wrapText="1"/>
    </xf>
    <xf numFmtId="0" fontId="37" fillId="0" borderId="13" xfId="0" applyFont="1" applyBorder="1" applyAlignment="1">
      <alignment vertical="center" wrapText="1"/>
    </xf>
    <xf numFmtId="0" fontId="1" fillId="0" borderId="33" xfId="25" applyFont="1" applyBorder="1" applyAlignment="1">
      <alignment horizontal="center" vertical="center" wrapText="1"/>
    </xf>
    <xf numFmtId="176" fontId="2" fillId="0" borderId="75" xfId="0" applyNumberFormat="1" applyFont="1" applyBorder="1"/>
    <xf numFmtId="176" fontId="2" fillId="17" borderId="77" xfId="0" applyNumberFormat="1" applyFont="1" applyFill="1" applyBorder="1"/>
    <xf numFmtId="176" fontId="2" fillId="17" borderId="76" xfId="0" applyNumberFormat="1" applyFont="1" applyFill="1" applyBorder="1"/>
    <xf numFmtId="0" fontId="1" fillId="0" borderId="41" xfId="25" applyFont="1" applyBorder="1" applyAlignment="1">
      <alignment horizontal="center" vertical="center" wrapText="1"/>
    </xf>
    <xf numFmtId="0" fontId="2" fillId="0" borderId="0" xfId="0" applyFont="1" applyAlignment="1">
      <alignment vertical="center"/>
    </xf>
    <xf numFmtId="0" fontId="65" fillId="12" borderId="1" xfId="0" applyFont="1" applyFill="1" applyBorder="1" applyAlignment="1">
      <alignment horizontal="center" vertical="center" wrapText="1"/>
    </xf>
    <xf numFmtId="176" fontId="1" fillId="0" borderId="74" xfId="0" applyNumberFormat="1" applyFont="1" applyBorder="1" applyAlignment="1">
      <alignment horizontal="center" vertical="center"/>
    </xf>
    <xf numFmtId="176" fontId="2" fillId="0" borderId="78" xfId="58" applyNumberFormat="1" applyFont="1" applyFill="1" applyBorder="1" applyAlignment="1">
      <alignment horizontal="center" vertical="center" wrapText="1"/>
    </xf>
    <xf numFmtId="0" fontId="2" fillId="0" borderId="87" xfId="0" applyFont="1" applyBorder="1" applyAlignment="1">
      <alignment horizontal="center" vertical="center" wrapText="1"/>
    </xf>
    <xf numFmtId="0" fontId="32" fillId="29" borderId="1" xfId="0" applyFont="1" applyFill="1" applyBorder="1" applyAlignment="1">
      <alignment horizontal="center" vertical="center" wrapText="1"/>
    </xf>
    <xf numFmtId="0" fontId="33" fillId="0" borderId="1" xfId="0" applyFont="1" applyBorder="1"/>
    <xf numFmtId="164" fontId="33" fillId="0" borderId="1" xfId="0" applyNumberFormat="1" applyFont="1" applyBorder="1"/>
    <xf numFmtId="164" fontId="1" fillId="0" borderId="13" xfId="0" applyNumberFormat="1" applyFont="1" applyBorder="1"/>
    <xf numFmtId="170" fontId="1" fillId="0" borderId="0" xfId="0" applyNumberFormat="1" applyFont="1"/>
    <xf numFmtId="167" fontId="1" fillId="0" borderId="0" xfId="214" applyFont="1"/>
    <xf numFmtId="164" fontId="1" fillId="0" borderId="0" xfId="0" applyNumberFormat="1" applyFont="1"/>
    <xf numFmtId="180" fontId="1" fillId="0" borderId="0" xfId="214" applyNumberFormat="1" applyFont="1"/>
    <xf numFmtId="9" fontId="33" fillId="0" borderId="13" xfId="0" applyNumberFormat="1" applyFont="1" applyBorder="1" applyAlignment="1">
      <alignment horizontal="center"/>
    </xf>
    <xf numFmtId="164" fontId="33" fillId="0" borderId="13" xfId="0" applyNumberFormat="1" applyFont="1" applyBorder="1"/>
    <xf numFmtId="0" fontId="6" fillId="0" borderId="0" xfId="0" applyFont="1" applyAlignment="1">
      <alignment vertical="top" wrapText="1"/>
    </xf>
    <xf numFmtId="164" fontId="33" fillId="0" borderId="1" xfId="0" applyNumberFormat="1" applyFont="1" applyBorder="1" applyAlignment="1">
      <alignment vertical="center"/>
    </xf>
    <xf numFmtId="9" fontId="33" fillId="0" borderId="1" xfId="0" applyNumberFormat="1" applyFont="1" applyBorder="1" applyAlignment="1">
      <alignment horizontal="center" vertical="center"/>
    </xf>
    <xf numFmtId="0" fontId="33" fillId="13" borderId="1" xfId="0" applyFont="1" applyFill="1" applyBorder="1" applyAlignment="1">
      <alignment horizontal="center" vertical="center" wrapText="1"/>
    </xf>
    <xf numFmtId="0" fontId="32" fillId="29" borderId="2" xfId="0" applyFont="1" applyFill="1" applyBorder="1" applyAlignment="1">
      <alignment horizontal="center" vertical="center" wrapText="1"/>
    </xf>
    <xf numFmtId="0" fontId="32" fillId="0" borderId="0" xfId="0" applyFont="1" applyAlignment="1">
      <alignment horizontal="left" vertical="top"/>
    </xf>
    <xf numFmtId="0" fontId="1" fillId="0" borderId="0" xfId="0" applyFont="1" applyAlignment="1">
      <alignment vertical="top" wrapText="1"/>
    </xf>
    <xf numFmtId="175" fontId="2" fillId="0" borderId="1" xfId="0" applyNumberFormat="1" applyFont="1" applyBorder="1"/>
    <xf numFmtId="168" fontId="32" fillId="13" borderId="1" xfId="5" applyNumberFormat="1" applyFont="1" applyFill="1" applyBorder="1" applyAlignment="1">
      <alignment horizontal="center" vertical="center" wrapText="1"/>
    </xf>
    <xf numFmtId="170" fontId="32" fillId="13" borderId="1" xfId="5" applyNumberFormat="1" applyFont="1" applyFill="1" applyBorder="1" applyAlignment="1">
      <alignment horizontal="center" vertical="center" wrapText="1"/>
    </xf>
    <xf numFmtId="3" fontId="2" fillId="13" borderId="1" xfId="0" applyNumberFormat="1" applyFont="1" applyFill="1" applyBorder="1" applyAlignment="1">
      <alignment horizontal="center"/>
    </xf>
    <xf numFmtId="0" fontId="61" fillId="0" borderId="0" xfId="0" applyFont="1" applyAlignment="1">
      <alignment horizontal="center" wrapText="1"/>
    </xf>
    <xf numFmtId="0" fontId="55" fillId="0" borderId="1" xfId="0" applyFont="1" applyBorder="1" applyAlignment="1">
      <alignment vertical="center" wrapText="1"/>
    </xf>
    <xf numFmtId="164" fontId="30" fillId="0" borderId="1" xfId="0" applyNumberFormat="1" applyFont="1" applyBorder="1" applyAlignment="1">
      <alignment vertical="center" wrapText="1"/>
    </xf>
    <xf numFmtId="0" fontId="49" fillId="0" borderId="0" xfId="0" applyFont="1" applyAlignment="1">
      <alignment wrapText="1"/>
    </xf>
    <xf numFmtId="0" fontId="49" fillId="0" borderId="0" xfId="0" applyFont="1"/>
    <xf numFmtId="0" fontId="29" fillId="0" borderId="3" xfId="0" applyFont="1" applyBorder="1" applyAlignment="1">
      <alignment horizontal="center" vertical="center" wrapText="1"/>
    </xf>
    <xf numFmtId="3" fontId="29" fillId="0" borderId="5" xfId="0" applyNumberFormat="1" applyFont="1" applyBorder="1" applyAlignment="1">
      <alignment vertical="center"/>
    </xf>
    <xf numFmtId="0" fontId="30" fillId="0" borderId="0" xfId="0" applyFont="1"/>
    <xf numFmtId="0" fontId="30" fillId="0" borderId="6" xfId="0" applyFont="1" applyBorder="1" applyAlignment="1">
      <alignment vertical="center" wrapText="1"/>
    </xf>
    <xf numFmtId="4" fontId="30" fillId="0" borderId="7" xfId="0" applyNumberFormat="1" applyFont="1" applyBorder="1" applyAlignment="1">
      <alignment horizontal="left" vertical="center" wrapText="1"/>
    </xf>
    <xf numFmtId="0" fontId="30" fillId="0" borderId="8" xfId="0" applyFont="1" applyBorder="1" applyAlignment="1">
      <alignment vertical="center" wrapText="1"/>
    </xf>
    <xf numFmtId="4" fontId="30" fillId="0" borderId="9" xfId="0" applyNumberFormat="1" applyFont="1" applyBorder="1" applyAlignment="1">
      <alignment horizontal="left" vertical="center" wrapText="1"/>
    </xf>
    <xf numFmtId="4" fontId="29" fillId="0" borderId="5" xfId="0" applyNumberFormat="1" applyFont="1" applyBorder="1" applyAlignment="1">
      <alignment vertical="center"/>
    </xf>
    <xf numFmtId="0" fontId="29" fillId="13" borderId="1" xfId="0" applyFont="1" applyFill="1" applyBorder="1" applyAlignment="1">
      <alignment horizontal="center" vertical="center" wrapText="1"/>
    </xf>
    <xf numFmtId="0" fontId="55" fillId="0" borderId="1" xfId="0" applyFont="1" applyBorder="1" applyAlignment="1">
      <alignment horizontal="left" vertical="center" wrapText="1"/>
    </xf>
    <xf numFmtId="0" fontId="29" fillId="29" borderId="1" xfId="0" applyFont="1" applyFill="1" applyBorder="1" applyAlignment="1">
      <alignment horizontal="center" vertical="center" wrapText="1"/>
    </xf>
    <xf numFmtId="0" fontId="32" fillId="30" borderId="1" xfId="0" applyFont="1" applyFill="1" applyBorder="1" applyAlignment="1">
      <alignment horizontal="center" vertical="center" wrapText="1"/>
    </xf>
    <xf numFmtId="0" fontId="32" fillId="31" borderId="1" xfId="9" applyFont="1" applyFill="1" applyBorder="1" applyAlignment="1">
      <alignment horizontal="center" vertical="center" wrapText="1"/>
    </xf>
    <xf numFmtId="178" fontId="33" fillId="6" borderId="1" xfId="7" applyNumberFormat="1" applyFont="1" applyFill="1" applyBorder="1" applyAlignment="1">
      <alignment horizontal="center" vertical="center" wrapText="1"/>
    </xf>
    <xf numFmtId="173" fontId="33" fillId="6" borderId="1" xfId="7" applyNumberFormat="1" applyFont="1" applyFill="1" applyBorder="1" applyAlignment="1">
      <alignment horizontal="center" vertical="center" wrapText="1"/>
    </xf>
    <xf numFmtId="178" fontId="33" fillId="6" borderId="1" xfId="77" applyNumberFormat="1" applyFont="1" applyFill="1" applyBorder="1" applyAlignment="1">
      <alignment horizontal="center" vertical="center" wrapText="1"/>
    </xf>
    <xf numFmtId="178" fontId="33" fillId="6" borderId="1" xfId="89" applyNumberFormat="1" applyFont="1" applyFill="1" applyBorder="1" applyAlignment="1">
      <alignment horizontal="center" vertical="center" wrapText="1"/>
    </xf>
    <xf numFmtId="178" fontId="33" fillId="6" borderId="1" xfId="88" applyNumberFormat="1" applyFont="1" applyFill="1" applyBorder="1" applyAlignment="1">
      <alignment horizontal="center" vertical="center" wrapText="1"/>
    </xf>
    <xf numFmtId="178" fontId="33" fillId="6" borderId="1" xfId="93" applyNumberFormat="1" applyFont="1" applyFill="1" applyBorder="1" applyAlignment="1">
      <alignment horizontal="center" vertical="center" wrapText="1"/>
    </xf>
    <xf numFmtId="178" fontId="33" fillId="6" borderId="1" xfId="95" applyNumberFormat="1" applyFont="1" applyFill="1" applyBorder="1" applyAlignment="1">
      <alignment horizontal="center" vertical="center" wrapText="1"/>
    </xf>
    <xf numFmtId="178" fontId="33" fillId="6" borderId="1" xfId="97" applyNumberFormat="1" applyFont="1" applyFill="1" applyBorder="1" applyAlignment="1">
      <alignment horizontal="center" vertical="center" wrapText="1"/>
    </xf>
    <xf numFmtId="178" fontId="33" fillId="6" borderId="1" xfId="99" applyNumberFormat="1" applyFont="1" applyFill="1" applyBorder="1" applyAlignment="1">
      <alignment horizontal="center" vertical="center" wrapText="1"/>
    </xf>
    <xf numFmtId="178" fontId="33" fillId="6" borderId="1" xfId="101" applyNumberFormat="1" applyFont="1" applyFill="1" applyBorder="1" applyAlignment="1">
      <alignment horizontal="center" vertical="center" wrapText="1"/>
    </xf>
    <xf numFmtId="178" fontId="33" fillId="6" borderId="1" xfId="103" applyNumberFormat="1" applyFont="1" applyFill="1" applyBorder="1" applyAlignment="1">
      <alignment horizontal="center" vertical="center" wrapText="1"/>
    </xf>
    <xf numFmtId="178" fontId="33" fillId="6" borderId="1" xfId="105" applyNumberFormat="1" applyFont="1" applyFill="1" applyBorder="1" applyAlignment="1">
      <alignment horizontal="center" vertical="center" wrapText="1"/>
    </xf>
    <xf numFmtId="178" fontId="33" fillId="6" borderId="1" xfId="109" applyNumberFormat="1" applyFont="1" applyFill="1" applyBorder="1" applyAlignment="1">
      <alignment horizontal="center" vertical="center" wrapText="1"/>
    </xf>
    <xf numFmtId="178" fontId="33" fillId="6" borderId="1" xfId="111" applyNumberFormat="1" applyFont="1" applyFill="1" applyBorder="1" applyAlignment="1">
      <alignment horizontal="center" vertical="center" wrapText="1"/>
    </xf>
    <xf numFmtId="178" fontId="33" fillId="6" borderId="1" xfId="113" applyNumberFormat="1" applyFont="1" applyFill="1" applyBorder="1" applyAlignment="1">
      <alignment horizontal="center" vertical="center" wrapText="1"/>
    </xf>
    <xf numFmtId="178" fontId="33" fillId="6" borderId="1" xfId="115" applyNumberFormat="1" applyFont="1" applyFill="1" applyBorder="1" applyAlignment="1">
      <alignment horizontal="center" vertical="center" wrapText="1"/>
    </xf>
    <xf numFmtId="178" fontId="33" fillId="6" borderId="1" xfId="117" applyNumberFormat="1" applyFont="1" applyFill="1" applyBorder="1" applyAlignment="1">
      <alignment horizontal="center" vertical="center" wrapText="1"/>
    </xf>
    <xf numFmtId="178" fontId="33" fillId="6" borderId="1" xfId="119" applyNumberFormat="1" applyFont="1" applyFill="1" applyBorder="1" applyAlignment="1">
      <alignment horizontal="center" vertical="center" wrapText="1"/>
    </xf>
    <xf numFmtId="178" fontId="33" fillId="6" borderId="1" xfId="121" applyNumberFormat="1" applyFont="1" applyFill="1" applyBorder="1" applyAlignment="1">
      <alignment horizontal="center" vertical="center" wrapText="1"/>
    </xf>
    <xf numFmtId="178" fontId="33" fillId="6" borderId="1" xfId="123" applyNumberFormat="1" applyFont="1" applyFill="1" applyBorder="1" applyAlignment="1">
      <alignment horizontal="center" vertical="center" wrapText="1"/>
    </xf>
    <xf numFmtId="178" fontId="33" fillId="6" borderId="1" xfId="127" applyNumberFormat="1" applyFont="1" applyFill="1" applyBorder="1" applyAlignment="1">
      <alignment horizontal="center" vertical="center" wrapText="1"/>
    </xf>
    <xf numFmtId="178" fontId="33" fillId="6" borderId="1" xfId="129" applyNumberFormat="1" applyFont="1" applyFill="1" applyBorder="1" applyAlignment="1">
      <alignment horizontal="center" vertical="center" wrapText="1"/>
    </xf>
    <xf numFmtId="178" fontId="33" fillId="6" borderId="1" xfId="131" applyNumberFormat="1" applyFont="1" applyFill="1" applyBorder="1" applyAlignment="1">
      <alignment horizontal="center" vertical="center" wrapText="1"/>
    </xf>
    <xf numFmtId="178" fontId="33" fillId="6" borderId="1" xfId="133" applyNumberFormat="1" applyFont="1" applyFill="1" applyBorder="1" applyAlignment="1">
      <alignment horizontal="center" vertical="center" wrapText="1"/>
    </xf>
    <xf numFmtId="178" fontId="33" fillId="6" borderId="1" xfId="135" applyNumberFormat="1" applyFont="1" applyFill="1" applyBorder="1" applyAlignment="1">
      <alignment horizontal="center" vertical="center" wrapText="1"/>
    </xf>
    <xf numFmtId="178" fontId="33" fillId="6" borderId="1" xfId="137" applyNumberFormat="1" applyFont="1" applyFill="1" applyBorder="1" applyAlignment="1">
      <alignment horizontal="center" vertical="center" wrapText="1"/>
    </xf>
    <xf numFmtId="178" fontId="33" fillId="6" borderId="1" xfId="139" applyNumberFormat="1" applyFont="1" applyFill="1" applyBorder="1" applyAlignment="1">
      <alignment horizontal="center" vertical="center" wrapText="1"/>
    </xf>
    <xf numFmtId="178" fontId="33" fillId="6" borderId="1" xfId="141" applyNumberFormat="1" applyFont="1" applyFill="1" applyBorder="1" applyAlignment="1">
      <alignment horizontal="center" vertical="center" wrapText="1"/>
    </xf>
    <xf numFmtId="178" fontId="33" fillId="6" borderId="1" xfId="143" applyNumberFormat="1" applyFont="1" applyFill="1" applyBorder="1" applyAlignment="1">
      <alignment horizontal="center" vertical="center" wrapText="1"/>
    </xf>
    <xf numFmtId="178" fontId="33" fillId="6" borderId="1" xfId="145" applyNumberFormat="1" applyFont="1" applyFill="1" applyBorder="1" applyAlignment="1">
      <alignment horizontal="center" vertical="center" wrapText="1"/>
    </xf>
    <xf numFmtId="178" fontId="33" fillId="6" borderId="1" xfId="147" applyNumberFormat="1" applyFont="1" applyFill="1" applyBorder="1" applyAlignment="1">
      <alignment horizontal="center" vertical="center" wrapText="1"/>
    </xf>
    <xf numFmtId="178" fontId="33" fillId="6" borderId="1" xfId="149" applyNumberFormat="1" applyFont="1" applyFill="1" applyBorder="1" applyAlignment="1">
      <alignment horizontal="center" vertical="center" wrapText="1"/>
    </xf>
    <xf numFmtId="178" fontId="33" fillId="6" borderId="1" xfId="151" applyNumberFormat="1" applyFont="1" applyFill="1" applyBorder="1" applyAlignment="1">
      <alignment horizontal="center" vertical="center" wrapText="1"/>
    </xf>
    <xf numFmtId="178" fontId="33" fillId="6" borderId="1" xfId="153" applyNumberFormat="1" applyFont="1" applyFill="1" applyBorder="1" applyAlignment="1">
      <alignment horizontal="center" vertical="center" wrapText="1"/>
    </xf>
    <xf numFmtId="178" fontId="33" fillId="6" borderId="1" xfId="155" applyNumberFormat="1" applyFont="1" applyFill="1" applyBorder="1" applyAlignment="1">
      <alignment horizontal="center" vertical="center" wrapText="1"/>
    </xf>
    <xf numFmtId="178" fontId="33" fillId="6" borderId="1" xfId="157" applyNumberFormat="1" applyFont="1" applyFill="1" applyBorder="1" applyAlignment="1">
      <alignment horizontal="center" vertical="center" wrapText="1"/>
    </xf>
    <xf numFmtId="178" fontId="33" fillId="6" borderId="1" xfId="159" applyNumberFormat="1" applyFont="1" applyFill="1" applyBorder="1" applyAlignment="1">
      <alignment horizontal="center" vertical="center" wrapText="1"/>
    </xf>
    <xf numFmtId="178" fontId="33" fillId="6" borderId="1" xfId="161" applyNumberFormat="1" applyFont="1" applyFill="1" applyBorder="1" applyAlignment="1">
      <alignment horizontal="center" vertical="center" wrapText="1"/>
    </xf>
    <xf numFmtId="178" fontId="33" fillId="6" borderId="1" xfId="165" applyNumberFormat="1" applyFont="1" applyFill="1" applyBorder="1" applyAlignment="1">
      <alignment horizontal="center" vertical="center" wrapText="1"/>
    </xf>
    <xf numFmtId="178" fontId="33" fillId="6" borderId="1" xfId="167" applyNumberFormat="1" applyFont="1" applyFill="1" applyBorder="1" applyAlignment="1">
      <alignment horizontal="center" vertical="center" wrapText="1"/>
    </xf>
    <xf numFmtId="178" fontId="33" fillId="6" borderId="1" xfId="169" applyNumberFormat="1" applyFont="1" applyFill="1" applyBorder="1" applyAlignment="1">
      <alignment horizontal="center" vertical="center" wrapText="1"/>
    </xf>
    <xf numFmtId="178" fontId="33" fillId="6" borderId="1" xfId="171" applyNumberFormat="1" applyFont="1" applyFill="1" applyBorder="1" applyAlignment="1">
      <alignment horizontal="center" vertical="center" wrapText="1"/>
    </xf>
    <xf numFmtId="178" fontId="33" fillId="6" borderId="1" xfId="173" applyNumberFormat="1" applyFont="1" applyFill="1" applyBorder="1" applyAlignment="1">
      <alignment horizontal="center" vertical="center" wrapText="1"/>
    </xf>
    <xf numFmtId="178" fontId="33" fillId="6" borderId="1" xfId="175" applyNumberFormat="1" applyFont="1" applyFill="1" applyBorder="1" applyAlignment="1">
      <alignment horizontal="center" vertical="center" wrapText="1"/>
    </xf>
    <xf numFmtId="178" fontId="33" fillId="6" borderId="1" xfId="177" applyNumberFormat="1" applyFont="1" applyFill="1" applyBorder="1" applyAlignment="1">
      <alignment horizontal="center" vertical="center" wrapText="1"/>
    </xf>
    <xf numFmtId="178" fontId="33" fillId="6" borderId="1" xfId="179" applyNumberFormat="1" applyFont="1" applyFill="1" applyBorder="1" applyAlignment="1">
      <alignment horizontal="center" vertical="center" wrapText="1"/>
    </xf>
    <xf numFmtId="178" fontId="33" fillId="6" borderId="1" xfId="181" applyNumberFormat="1" applyFont="1" applyFill="1" applyBorder="1" applyAlignment="1">
      <alignment horizontal="center" vertical="center" wrapText="1"/>
    </xf>
    <xf numFmtId="178" fontId="33" fillId="6" borderId="1" xfId="183" applyNumberFormat="1" applyFont="1" applyFill="1" applyBorder="1" applyAlignment="1">
      <alignment horizontal="center" vertical="center" wrapText="1"/>
    </xf>
    <xf numFmtId="178" fontId="33" fillId="6" borderId="1" xfId="185" applyNumberFormat="1" applyFont="1" applyFill="1" applyBorder="1" applyAlignment="1">
      <alignment horizontal="center" vertical="center" wrapText="1"/>
    </xf>
    <xf numFmtId="178" fontId="33" fillId="6" borderId="1" xfId="187" applyNumberFormat="1" applyFont="1" applyFill="1" applyBorder="1" applyAlignment="1">
      <alignment horizontal="center" vertical="center" wrapText="1"/>
    </xf>
    <xf numFmtId="178" fontId="33" fillId="6" borderId="0" xfId="7" applyNumberFormat="1" applyFont="1" applyFill="1" applyBorder="1" applyAlignment="1">
      <alignment horizontal="center" vertical="center" wrapText="1"/>
    </xf>
    <xf numFmtId="0" fontId="6" fillId="27" borderId="0" xfId="0" applyFont="1" applyFill="1" applyAlignment="1">
      <alignment horizontal="center" vertical="top"/>
    </xf>
    <xf numFmtId="178" fontId="33" fillId="6" borderId="0" xfId="187" applyNumberFormat="1" applyFont="1" applyFill="1" applyBorder="1" applyAlignment="1">
      <alignment horizontal="center" vertical="center" wrapText="1"/>
    </xf>
    <xf numFmtId="173" fontId="33" fillId="6" borderId="2" xfId="7" applyNumberFormat="1" applyFont="1" applyFill="1" applyBorder="1" applyAlignment="1">
      <alignment horizontal="center" vertical="center" wrapText="1"/>
    </xf>
    <xf numFmtId="173" fontId="33" fillId="6" borderId="35" xfId="7" applyNumberFormat="1" applyFont="1" applyFill="1" applyBorder="1" applyAlignment="1">
      <alignment horizontal="center" vertical="center" wrapText="1"/>
    </xf>
    <xf numFmtId="173" fontId="33" fillId="6" borderId="11" xfId="7" applyNumberFormat="1" applyFont="1" applyFill="1" applyBorder="1" applyAlignment="1">
      <alignment horizontal="center" vertical="center" wrapText="1"/>
    </xf>
    <xf numFmtId="175" fontId="32" fillId="0" borderId="1" xfId="9" applyNumberFormat="1" applyFont="1" applyBorder="1" applyAlignment="1">
      <alignment horizontal="right" vertical="top"/>
    </xf>
    <xf numFmtId="175" fontId="32" fillId="16" borderId="1" xfId="9" applyNumberFormat="1" applyFont="1" applyFill="1" applyBorder="1" applyAlignment="1">
      <alignment horizontal="right" vertical="center"/>
    </xf>
    <xf numFmtId="176" fontId="2" fillId="0" borderId="1" xfId="0" applyNumberFormat="1" applyFont="1" applyBorder="1"/>
    <xf numFmtId="176" fontId="1" fillId="0" borderId="1" xfId="0" applyNumberFormat="1" applyFont="1" applyBorder="1" applyAlignment="1">
      <alignment horizontal="center" vertical="center"/>
    </xf>
    <xf numFmtId="176" fontId="1" fillId="0" borderId="1" xfId="0" applyNumberFormat="1" applyFont="1" applyBorder="1" applyAlignment="1">
      <alignment vertical="center"/>
    </xf>
    <xf numFmtId="176" fontId="2" fillId="0" borderId="6" xfId="0" applyNumberFormat="1" applyFont="1" applyBorder="1"/>
    <xf numFmtId="176" fontId="2" fillId="0" borderId="7" xfId="0" applyNumberFormat="1" applyFont="1" applyBorder="1"/>
    <xf numFmtId="176" fontId="1" fillId="0" borderId="6" xfId="0" applyNumberFormat="1" applyFont="1" applyBorder="1" applyAlignment="1">
      <alignment horizontal="center" vertical="center"/>
    </xf>
    <xf numFmtId="176" fontId="1" fillId="0" borderId="7" xfId="0" applyNumberFormat="1" applyFont="1" applyBorder="1" applyAlignment="1">
      <alignment vertical="center"/>
    </xf>
    <xf numFmtId="176" fontId="2" fillId="17" borderId="8" xfId="0" applyNumberFormat="1" applyFont="1" applyFill="1" applyBorder="1"/>
    <xf numFmtId="176" fontId="2" fillId="17" borderId="79" xfId="0" applyNumberFormat="1" applyFont="1" applyFill="1" applyBorder="1"/>
    <xf numFmtId="176" fontId="2" fillId="17" borderId="9" xfId="0" applyNumberFormat="1" applyFont="1" applyFill="1" applyBorder="1"/>
    <xf numFmtId="176" fontId="2" fillId="0" borderId="6" xfId="0"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7" xfId="0" applyNumberFormat="1" applyFont="1" applyBorder="1" applyAlignment="1">
      <alignment horizontal="center" vertical="center"/>
    </xf>
    <xf numFmtId="176" fontId="2" fillId="0" borderId="33" xfId="1" applyNumberFormat="1" applyFont="1" applyFill="1" applyBorder="1" applyAlignment="1">
      <alignment horizontal="center" vertical="center"/>
    </xf>
    <xf numFmtId="0" fontId="2" fillId="0" borderId="0" xfId="0" applyFont="1" applyAlignment="1">
      <alignment horizontal="center" vertical="center"/>
    </xf>
    <xf numFmtId="176" fontId="2" fillId="0" borderId="74" xfId="1" applyNumberFormat="1" applyFont="1" applyFill="1" applyBorder="1" applyAlignment="1">
      <alignment horizontal="center" vertical="center"/>
    </xf>
    <xf numFmtId="176" fontId="2" fillId="0" borderId="75" xfId="1" applyNumberFormat="1" applyFont="1" applyFill="1" applyBorder="1" applyAlignment="1">
      <alignment horizontal="center" vertical="center"/>
    </xf>
    <xf numFmtId="0" fontId="32" fillId="13" borderId="14" xfId="0" applyFont="1" applyFill="1" applyBorder="1" applyAlignment="1">
      <alignment horizontal="center" vertical="center" wrapText="1"/>
    </xf>
    <xf numFmtId="0" fontId="42" fillId="12" borderId="67" xfId="0" applyFont="1" applyFill="1" applyBorder="1" applyAlignment="1">
      <alignment horizontal="center" vertical="center" wrapText="1"/>
    </xf>
    <xf numFmtId="0" fontId="42" fillId="12" borderId="33" xfId="0" applyFont="1" applyFill="1" applyBorder="1" applyAlignment="1">
      <alignment horizontal="center" vertical="center" wrapText="1"/>
    </xf>
    <xf numFmtId="0" fontId="42" fillId="12" borderId="68" xfId="0" applyFont="1" applyFill="1" applyBorder="1" applyAlignment="1">
      <alignment horizontal="center" vertical="center" wrapText="1"/>
    </xf>
    <xf numFmtId="0" fontId="1" fillId="0" borderId="41" xfId="0" applyFont="1" applyBorder="1"/>
    <xf numFmtId="0" fontId="1" fillId="0" borderId="91" xfId="0" applyFont="1" applyBorder="1"/>
    <xf numFmtId="0" fontId="1" fillId="6" borderId="74" xfId="32" applyFont="1" applyFill="1" applyBorder="1" applyAlignment="1">
      <alignment vertical="center"/>
    </xf>
    <xf numFmtId="0" fontId="2" fillId="17" borderId="93" xfId="0" applyFont="1" applyFill="1" applyBorder="1" applyAlignment="1">
      <alignment horizontal="left"/>
    </xf>
    <xf numFmtId="0" fontId="2" fillId="0" borderId="28" xfId="0" applyFont="1" applyBorder="1" applyAlignment="1">
      <alignment horizontal="center" vertical="center"/>
    </xf>
    <xf numFmtId="0" fontId="2" fillId="0" borderId="94" xfId="0" applyFont="1" applyBorder="1" applyAlignment="1">
      <alignment horizontal="center" vertical="center"/>
    </xf>
    <xf numFmtId="0" fontId="2" fillId="0" borderId="95" xfId="0" applyFont="1" applyBorder="1" applyAlignment="1">
      <alignment horizontal="center" vertical="center"/>
    </xf>
    <xf numFmtId="0" fontId="2" fillId="0" borderId="22" xfId="0" applyFont="1" applyBorder="1" applyAlignment="1">
      <alignment horizontal="center" vertical="center" wrapText="1"/>
    </xf>
    <xf numFmtId="176" fontId="2" fillId="0" borderId="22" xfId="69" applyNumberFormat="1" applyFont="1" applyFill="1" applyBorder="1" applyAlignment="1">
      <alignment horizontal="center" vertical="center" wrapText="1"/>
    </xf>
    <xf numFmtId="0" fontId="2" fillId="0" borderId="96" xfId="0" applyFont="1" applyBorder="1" applyAlignment="1">
      <alignment horizontal="center" vertical="center" wrapText="1"/>
    </xf>
    <xf numFmtId="0" fontId="2" fillId="0" borderId="1" xfId="0" applyFont="1" applyBorder="1" applyAlignment="1">
      <alignment horizontal="center"/>
    </xf>
    <xf numFmtId="176" fontId="2" fillId="0" borderId="1" xfId="1" applyNumberFormat="1" applyFont="1" applyBorder="1"/>
    <xf numFmtId="0" fontId="51" fillId="12" borderId="1" xfId="0" applyFont="1" applyFill="1" applyBorder="1" applyAlignment="1">
      <alignment horizontal="center" vertical="center"/>
    </xf>
    <xf numFmtId="176" fontId="51" fillId="0" borderId="1" xfId="1" applyNumberFormat="1" applyFont="1" applyFill="1" applyBorder="1" applyAlignment="1">
      <alignment vertical="center"/>
    </xf>
    <xf numFmtId="0" fontId="51" fillId="0" borderId="1" xfId="25" applyFont="1" applyBorder="1" applyAlignment="1">
      <alignment horizontal="center" vertical="center" wrapText="1"/>
    </xf>
    <xf numFmtId="0" fontId="1" fillId="0" borderId="1" xfId="25" applyFont="1" applyBorder="1" applyAlignment="1">
      <alignment horizontal="center" vertical="center" wrapText="1"/>
    </xf>
    <xf numFmtId="176" fontId="1" fillId="0" borderId="1" xfId="0" applyNumberFormat="1" applyFont="1" applyBorder="1" applyAlignment="1">
      <alignment horizontal="center"/>
    </xf>
    <xf numFmtId="0" fontId="2" fillId="0" borderId="1" xfId="25" applyFont="1" applyBorder="1" applyAlignment="1">
      <alignment horizontal="center" vertical="center" wrapText="1"/>
    </xf>
    <xf numFmtId="176" fontId="2" fillId="0" borderId="1" xfId="1" applyNumberFormat="1" applyFont="1" applyFill="1" applyBorder="1" applyAlignment="1">
      <alignment horizontal="center" vertical="center"/>
    </xf>
    <xf numFmtId="0" fontId="2" fillId="0" borderId="6" xfId="0" applyFont="1" applyBorder="1"/>
    <xf numFmtId="0" fontId="70" fillId="12" borderId="6" xfId="0" applyFont="1" applyFill="1" applyBorder="1" applyAlignment="1">
      <alignment horizontal="left" vertical="center" wrapText="1"/>
    </xf>
    <xf numFmtId="176" fontId="51" fillId="0" borderId="7" xfId="0" applyNumberFormat="1" applyFont="1" applyBorder="1" applyAlignment="1">
      <alignment vertical="center"/>
    </xf>
    <xf numFmtId="0" fontId="1" fillId="0" borderId="6" xfId="25" applyFont="1" applyBorder="1" applyAlignment="1">
      <alignment vertical="center" wrapText="1"/>
    </xf>
    <xf numFmtId="0" fontId="2" fillId="0" borderId="6" xfId="25" applyFont="1" applyBorder="1" applyAlignment="1">
      <alignment horizontal="left" vertical="center" wrapText="1"/>
    </xf>
    <xf numFmtId="176" fontId="2" fillId="0" borderId="7" xfId="1" applyNumberFormat="1" applyFont="1" applyFill="1" applyBorder="1" applyAlignment="1">
      <alignment horizontal="center" vertical="center"/>
    </xf>
    <xf numFmtId="0" fontId="65" fillId="12" borderId="6" xfId="0" applyFont="1" applyFill="1" applyBorder="1" applyAlignment="1">
      <alignment vertical="center" wrapText="1"/>
    </xf>
    <xf numFmtId="0" fontId="1" fillId="0" borderId="6" xfId="0" applyFont="1" applyBorder="1"/>
    <xf numFmtId="0" fontId="2" fillId="17" borderId="8" xfId="0" applyFont="1" applyFill="1" applyBorder="1"/>
    <xf numFmtId="0" fontId="2" fillId="17" borderId="79" xfId="0" applyFont="1" applyFill="1" applyBorder="1"/>
    <xf numFmtId="0" fontId="2" fillId="17" borderId="79" xfId="0" applyFont="1" applyFill="1" applyBorder="1" applyAlignment="1">
      <alignment horizontal="left"/>
    </xf>
    <xf numFmtId="0" fontId="2" fillId="0" borderId="95" xfId="0" applyFont="1" applyBorder="1" applyAlignment="1">
      <alignment horizontal="center" vertical="center" wrapText="1"/>
    </xf>
    <xf numFmtId="176" fontId="2" fillId="17" borderId="72" xfId="0" applyNumberFormat="1" applyFont="1" applyFill="1" applyBorder="1"/>
    <xf numFmtId="176" fontId="2" fillId="17" borderId="78" xfId="0" applyNumberFormat="1" applyFont="1" applyFill="1" applyBorder="1"/>
    <xf numFmtId="176" fontId="2" fillId="17" borderId="73" xfId="0" applyNumberFormat="1" applyFont="1" applyFill="1" applyBorder="1"/>
    <xf numFmtId="176" fontId="1" fillId="0" borderId="100" xfId="0" applyNumberFormat="1" applyFont="1" applyBorder="1"/>
    <xf numFmtId="176" fontId="2" fillId="17" borderId="86" xfId="0" applyNumberFormat="1" applyFont="1" applyFill="1" applyBorder="1"/>
    <xf numFmtId="176" fontId="2" fillId="17" borderId="87" xfId="0" applyNumberFormat="1" applyFont="1" applyFill="1" applyBorder="1"/>
    <xf numFmtId="176" fontId="1" fillId="0" borderId="101" xfId="0" applyNumberFormat="1" applyFont="1" applyBorder="1"/>
    <xf numFmtId="176" fontId="1" fillId="0" borderId="102" xfId="0" applyNumberFormat="1" applyFont="1" applyBorder="1"/>
    <xf numFmtId="175" fontId="71" fillId="0" borderId="1" xfId="0" applyNumberFormat="1" applyFont="1" applyBorder="1"/>
    <xf numFmtId="0" fontId="32" fillId="13" borderId="1" xfId="0" applyFont="1" applyFill="1" applyBorder="1" applyAlignment="1">
      <alignment horizontal="center" vertical="center" wrapText="1"/>
    </xf>
    <xf numFmtId="0" fontId="32" fillId="13" borderId="1" xfId="0" applyFont="1" applyFill="1" applyBorder="1" applyAlignment="1">
      <alignment horizontal="center" vertical="top" wrapText="1"/>
    </xf>
    <xf numFmtId="0" fontId="61" fillId="0" borderId="0" xfId="0" applyFont="1" applyAlignment="1">
      <alignment wrapText="1"/>
    </xf>
    <xf numFmtId="0" fontId="32" fillId="13" borderId="1" xfId="0" applyFont="1" applyFill="1" applyBorder="1" applyAlignment="1">
      <alignment vertical="top" wrapText="1"/>
    </xf>
    <xf numFmtId="0" fontId="17" fillId="13" borderId="1" xfId="0" applyFont="1" applyFill="1" applyBorder="1" applyAlignment="1">
      <alignment horizontal="center" vertical="center" wrapText="1"/>
    </xf>
    <xf numFmtId="0" fontId="17" fillId="13" borderId="1" xfId="0" applyFont="1" applyFill="1" applyBorder="1" applyAlignment="1">
      <alignment vertical="top" wrapText="1"/>
    </xf>
    <xf numFmtId="175" fontId="6" fillId="0" borderId="1" xfId="1" applyNumberFormat="1" applyFont="1" applyFill="1" applyBorder="1" applyAlignment="1">
      <alignment vertical="center"/>
    </xf>
    <xf numFmtId="175" fontId="1" fillId="0" borderId="1" xfId="1" applyNumberFormat="1" applyFont="1" applyFill="1" applyBorder="1" applyAlignment="1">
      <alignment vertical="center"/>
    </xf>
    <xf numFmtId="0" fontId="51" fillId="0" borderId="0" xfId="0" applyFont="1" applyAlignment="1">
      <alignment horizontal="right"/>
    </xf>
    <xf numFmtId="0" fontId="17" fillId="13" borderId="1" xfId="0" applyFont="1" applyFill="1" applyBorder="1" applyAlignment="1">
      <alignment vertical="center" wrapText="1"/>
    </xf>
    <xf numFmtId="0" fontId="35" fillId="0" borderId="0" xfId="0" applyFont="1"/>
    <xf numFmtId="0" fontId="12" fillId="0" borderId="0" xfId="0" applyFont="1"/>
    <xf numFmtId="1" fontId="0" fillId="0" borderId="1" xfId="0" applyNumberFormat="1" applyBorder="1" applyAlignment="1">
      <alignment horizontal="left"/>
    </xf>
    <xf numFmtId="177" fontId="17" fillId="13" borderId="1" xfId="0" applyNumberFormat="1" applyFont="1" applyFill="1" applyBorder="1" applyAlignment="1">
      <alignment vertical="top" wrapText="1"/>
    </xf>
    <xf numFmtId="177" fontId="34" fillId="0" borderId="1" xfId="1" applyNumberFormat="1" applyFont="1" applyFill="1" applyBorder="1" applyAlignment="1">
      <alignment horizontal="center" vertical="center"/>
    </xf>
    <xf numFmtId="0" fontId="4" fillId="0" borderId="0" xfId="0" applyFont="1" applyAlignment="1">
      <alignment horizontal="left" vertical="center"/>
    </xf>
    <xf numFmtId="0" fontId="54" fillId="0" borderId="33" xfId="0" applyFont="1" applyBorder="1"/>
    <xf numFmtId="175" fontId="4" fillId="0" borderId="1" xfId="0" applyNumberFormat="1" applyFont="1" applyBorder="1"/>
    <xf numFmtId="0" fontId="4" fillId="0" borderId="0" xfId="0" applyFont="1"/>
    <xf numFmtId="173" fontId="44" fillId="0" borderId="33" xfId="23" applyNumberFormat="1" applyFont="1" applyFill="1" applyBorder="1" applyAlignment="1">
      <alignment horizontal="center" vertical="center" wrapText="1"/>
    </xf>
    <xf numFmtId="0" fontId="2" fillId="13" borderId="1" xfId="0" applyFont="1" applyFill="1" applyBorder="1" applyAlignment="1">
      <alignment horizontal="center" vertical="center" wrapText="1"/>
    </xf>
    <xf numFmtId="0" fontId="32" fillId="13" borderId="33" xfId="0" applyFont="1" applyFill="1" applyBorder="1" applyAlignment="1">
      <alignment vertical="center" wrapText="1"/>
    </xf>
    <xf numFmtId="0" fontId="32" fillId="13" borderId="43" xfId="0" applyFont="1" applyFill="1" applyBorder="1" applyAlignment="1">
      <alignment vertical="center" wrapText="1"/>
    </xf>
    <xf numFmtId="168" fontId="32" fillId="0" borderId="1" xfId="5" applyNumberFormat="1" applyFont="1" applyBorder="1" applyAlignment="1">
      <alignment horizontal="left" vertical="center" wrapText="1"/>
    </xf>
    <xf numFmtId="177" fontId="32" fillId="6" borderId="1" xfId="5" applyNumberFormat="1" applyFont="1" applyFill="1" applyBorder="1" applyAlignment="1">
      <alignment horizontal="center" vertical="center" wrapText="1"/>
    </xf>
    <xf numFmtId="0" fontId="71" fillId="0" borderId="0" xfId="0" applyFont="1"/>
    <xf numFmtId="167" fontId="1" fillId="0" borderId="0" xfId="34" applyFont="1"/>
    <xf numFmtId="167" fontId="2" fillId="0" borderId="0" xfId="34" applyFont="1"/>
    <xf numFmtId="176" fontId="2" fillId="0" borderId="0" xfId="0" applyNumberFormat="1" applyFont="1"/>
    <xf numFmtId="10" fontId="1" fillId="0" borderId="0" xfId="0" applyNumberFormat="1" applyFont="1"/>
    <xf numFmtId="9" fontId="1" fillId="0" borderId="0" xfId="0" applyNumberFormat="1" applyFont="1"/>
    <xf numFmtId="178" fontId="33" fillId="0" borderId="1" xfId="7" applyNumberFormat="1" applyFont="1" applyFill="1" applyBorder="1" applyAlignment="1">
      <alignment horizontal="left" vertical="center" wrapText="1"/>
    </xf>
    <xf numFmtId="178" fontId="33" fillId="6" borderId="1" xfId="7" applyNumberFormat="1" applyFont="1" applyFill="1" applyBorder="1" applyAlignment="1">
      <alignment horizontal="left" vertical="center" wrapText="1"/>
    </xf>
    <xf numFmtId="0" fontId="6" fillId="27" borderId="1" xfId="0" applyFont="1" applyFill="1" applyBorder="1" applyAlignment="1">
      <alignment horizontal="left" vertical="top" wrapText="1"/>
    </xf>
    <xf numFmtId="178" fontId="33" fillId="6" borderId="1" xfId="79" applyNumberFormat="1" applyFont="1" applyFill="1" applyBorder="1" applyAlignment="1">
      <alignment horizontal="left" vertical="center" wrapText="1"/>
    </xf>
    <xf numFmtId="178" fontId="33" fillId="6" borderId="1" xfId="90" applyNumberFormat="1" applyFont="1" applyFill="1" applyBorder="1" applyAlignment="1">
      <alignment horizontal="left" vertical="center" wrapText="1"/>
    </xf>
    <xf numFmtId="178" fontId="33" fillId="6" borderId="1" xfId="107" applyNumberFormat="1" applyFont="1" applyFill="1" applyBorder="1" applyAlignment="1">
      <alignment horizontal="left" vertical="center" wrapText="1"/>
    </xf>
    <xf numFmtId="178" fontId="33" fillId="6" borderId="1" xfId="125" applyNumberFormat="1" applyFont="1" applyFill="1" applyBorder="1" applyAlignment="1">
      <alignment horizontal="left" vertical="center" wrapText="1"/>
    </xf>
    <xf numFmtId="0" fontId="73" fillId="0" borderId="0" xfId="0" applyFont="1" applyAlignment="1">
      <alignment horizontal="justify" vertical="center"/>
    </xf>
    <xf numFmtId="44" fontId="1" fillId="0" borderId="0" xfId="0" applyNumberFormat="1" applyFont="1"/>
    <xf numFmtId="164" fontId="30" fillId="13" borderId="1" xfId="0" applyNumberFormat="1" applyFont="1" applyFill="1" applyBorder="1" applyAlignment="1">
      <alignment vertical="center" wrapText="1"/>
    </xf>
    <xf numFmtId="0" fontId="42" fillId="13" borderId="1" xfId="0" applyFont="1" applyFill="1" applyBorder="1" applyAlignment="1">
      <alignment horizontal="center" vertical="center" wrapText="1"/>
    </xf>
    <xf numFmtId="0" fontId="1" fillId="0" borderId="45" xfId="0" applyFont="1" applyBorder="1" applyAlignment="1">
      <alignment horizontal="center"/>
    </xf>
    <xf numFmtId="180" fontId="1" fillId="0" borderId="7" xfId="34" applyNumberFormat="1" applyFont="1" applyBorder="1" applyAlignment="1">
      <alignment vertical="center"/>
    </xf>
    <xf numFmtId="180" fontId="1" fillId="0" borderId="1" xfId="0" applyNumberFormat="1" applyFont="1" applyBorder="1" applyAlignment="1">
      <alignment vertical="center"/>
    </xf>
    <xf numFmtId="180" fontId="1" fillId="0" borderId="6" xfId="34" applyNumberFormat="1" applyFont="1" applyBorder="1" applyAlignment="1">
      <alignment horizontal="center" vertical="center"/>
    </xf>
    <xf numFmtId="167" fontId="26" fillId="13" borderId="26" xfId="34" applyFont="1" applyFill="1" applyBorder="1" applyAlignment="1">
      <alignment horizontal="center" vertical="center" wrapText="1"/>
    </xf>
    <xf numFmtId="0" fontId="26" fillId="3" borderId="1" xfId="0" applyFont="1" applyFill="1" applyBorder="1" applyAlignment="1">
      <alignment vertical="center" wrapText="1"/>
    </xf>
    <xf numFmtId="168" fontId="6" fillId="3" borderId="1" xfId="5" applyNumberFormat="1" applyFill="1" applyBorder="1" applyAlignment="1">
      <alignment vertical="center" wrapText="1"/>
    </xf>
    <xf numFmtId="0" fontId="6" fillId="3" borderId="1" xfId="0" applyFont="1" applyFill="1" applyBorder="1" applyAlignment="1">
      <alignment horizontal="center" vertical="center" wrapText="1"/>
    </xf>
    <xf numFmtId="175" fontId="50" fillId="10" borderId="1" xfId="0" applyNumberFormat="1" applyFont="1" applyFill="1" applyBorder="1"/>
    <xf numFmtId="173" fontId="0" fillId="0" borderId="0" xfId="0" applyNumberFormat="1"/>
    <xf numFmtId="0" fontId="2" fillId="0" borderId="85" xfId="0" applyFont="1" applyBorder="1" applyAlignment="1">
      <alignment horizontal="center" vertical="center" wrapText="1"/>
    </xf>
    <xf numFmtId="0" fontId="2" fillId="0" borderId="86" xfId="0" applyFont="1" applyBorder="1" applyAlignment="1">
      <alignment horizontal="center" vertical="center" wrapText="1"/>
    </xf>
    <xf numFmtId="0" fontId="4" fillId="0" borderId="1" xfId="0" applyFont="1" applyBorder="1" applyAlignment="1">
      <alignment horizontal="center"/>
    </xf>
    <xf numFmtId="0" fontId="4" fillId="0" borderId="1" xfId="0" applyFont="1" applyBorder="1"/>
    <xf numFmtId="173" fontId="5" fillId="0" borderId="1" xfId="1" applyNumberFormat="1" applyFont="1" applyBorder="1"/>
    <xf numFmtId="181" fontId="5" fillId="0" borderId="1" xfId="1" applyNumberFormat="1" applyFont="1" applyBorder="1" applyAlignment="1">
      <alignment horizontal="center"/>
    </xf>
    <xf numFmtId="180" fontId="1" fillId="0" borderId="33" xfId="34" applyNumberFormat="1" applyFont="1" applyBorder="1" applyAlignment="1">
      <alignment horizontal="center"/>
    </xf>
    <xf numFmtId="167" fontId="1" fillId="0" borderId="33" xfId="34" applyFont="1" applyBorder="1" applyAlignment="1">
      <alignment horizontal="center"/>
    </xf>
    <xf numFmtId="44" fontId="1" fillId="0" borderId="1" xfId="0" applyNumberFormat="1" applyFont="1" applyBorder="1" applyAlignment="1">
      <alignment horizontal="center"/>
    </xf>
    <xf numFmtId="44" fontId="51" fillId="0" borderId="1" xfId="1" applyNumberFormat="1" applyFont="1" applyFill="1" applyBorder="1" applyAlignment="1">
      <alignment vertical="center"/>
    </xf>
    <xf numFmtId="44" fontId="1" fillId="0" borderId="1" xfId="0" applyNumberFormat="1" applyFont="1" applyBorder="1" applyAlignment="1">
      <alignment horizontal="center" vertical="center"/>
    </xf>
    <xf numFmtId="0" fontId="0" fillId="0" borderId="14" xfId="0" applyBorder="1" applyAlignment="1">
      <alignment horizontal="center" vertical="center"/>
    </xf>
    <xf numFmtId="0" fontId="0" fillId="0" borderId="13" xfId="0" applyBorder="1" applyAlignment="1">
      <alignment horizontal="center" vertical="center"/>
    </xf>
    <xf numFmtId="2" fontId="53" fillId="6" borderId="1" xfId="54" applyNumberFormat="1" applyFont="1" applyFill="1" applyBorder="1" applyAlignment="1">
      <alignment horizontal="center" wrapText="1"/>
    </xf>
    <xf numFmtId="0" fontId="4" fillId="0" borderId="1" xfId="0" applyFont="1" applyBorder="1" applyAlignment="1">
      <alignment horizontal="center"/>
    </xf>
    <xf numFmtId="0" fontId="4" fillId="0" borderId="2" xfId="0" applyFont="1" applyBorder="1" applyAlignment="1">
      <alignment horizontal="center"/>
    </xf>
    <xf numFmtId="0" fontId="4" fillId="0" borderId="35" xfId="0" applyFont="1" applyBorder="1" applyAlignment="1">
      <alignment horizontal="center"/>
    </xf>
    <xf numFmtId="0" fontId="4" fillId="0" borderId="11" xfId="0" applyFont="1" applyBorder="1" applyAlignment="1">
      <alignment horizontal="center"/>
    </xf>
    <xf numFmtId="0" fontId="32" fillId="0" borderId="1" xfId="0" applyFont="1" applyBorder="1" applyAlignment="1">
      <alignment horizontal="center" vertical="center" wrapText="1"/>
    </xf>
    <xf numFmtId="0" fontId="0" fillId="0" borderId="1" xfId="0" applyBorder="1" applyAlignment="1">
      <alignment horizontal="center"/>
    </xf>
    <xf numFmtId="0" fontId="72" fillId="0" borderId="0" xfId="0" applyFont="1" applyAlignment="1">
      <alignment horizontal="left" vertical="center" wrapText="1"/>
    </xf>
    <xf numFmtId="0" fontId="73" fillId="0" borderId="0" xfId="0" applyFont="1" applyAlignment="1">
      <alignment horizontal="left" vertical="center" wrapText="1"/>
    </xf>
    <xf numFmtId="0" fontId="2" fillId="5" borderId="3" xfId="0" applyFont="1" applyFill="1" applyBorder="1" applyAlignment="1">
      <alignment horizontal="center"/>
    </xf>
    <xf numFmtId="0" fontId="2" fillId="5" borderId="4" xfId="0" applyFont="1" applyFill="1" applyBorder="1" applyAlignment="1">
      <alignment horizontal="center"/>
    </xf>
    <xf numFmtId="0" fontId="2" fillId="5" borderId="5" xfId="0" applyFont="1" applyFill="1" applyBorder="1" applyAlignment="1">
      <alignment horizontal="center"/>
    </xf>
    <xf numFmtId="0" fontId="2" fillId="0" borderId="43" xfId="0" applyFont="1" applyBorder="1" applyAlignment="1">
      <alignment horizontal="center"/>
    </xf>
    <xf numFmtId="0" fontId="2" fillId="0" borderId="42" xfId="0" applyFont="1" applyBorder="1" applyAlignment="1">
      <alignment horizontal="center"/>
    </xf>
    <xf numFmtId="0" fontId="2" fillId="0" borderId="103" xfId="0" applyFont="1" applyBorder="1" applyAlignment="1">
      <alignment horizontal="center"/>
    </xf>
    <xf numFmtId="0" fontId="2" fillId="5" borderId="97" xfId="0" applyFont="1" applyFill="1" applyBorder="1" applyAlignment="1">
      <alignment horizontal="center"/>
    </xf>
    <xf numFmtId="0" fontId="2" fillId="5" borderId="41" xfId="0" applyFont="1" applyFill="1" applyBorder="1" applyAlignment="1">
      <alignment horizontal="center"/>
    </xf>
    <xf numFmtId="0" fontId="2" fillId="5" borderId="98" xfId="0" applyFont="1" applyFill="1" applyBorder="1" applyAlignment="1">
      <alignment horizontal="center"/>
    </xf>
    <xf numFmtId="0" fontId="2" fillId="5" borderId="99" xfId="0" applyFont="1" applyFill="1" applyBorder="1" applyAlignment="1">
      <alignment horizontal="center"/>
    </xf>
    <xf numFmtId="0" fontId="2" fillId="5" borderId="31" xfId="0" applyFont="1" applyFill="1" applyBorder="1" applyAlignment="1">
      <alignment horizontal="center"/>
    </xf>
    <xf numFmtId="0" fontId="2" fillId="5" borderId="94" xfId="0" applyFont="1" applyFill="1" applyBorder="1" applyAlignment="1">
      <alignment horizontal="center"/>
    </xf>
    <xf numFmtId="0" fontId="2" fillId="17" borderId="92" xfId="0" applyFont="1" applyFill="1" applyBorder="1" applyAlignment="1">
      <alignment horizontal="left"/>
    </xf>
    <xf numFmtId="0" fontId="2" fillId="17" borderId="93" xfId="0" applyFont="1" applyFill="1" applyBorder="1" applyAlignment="1">
      <alignment horizontal="left"/>
    </xf>
    <xf numFmtId="0" fontId="2" fillId="5" borderId="88" xfId="0" applyFont="1" applyFill="1" applyBorder="1" applyAlignment="1">
      <alignment horizontal="center"/>
    </xf>
    <xf numFmtId="0" fontId="2" fillId="5" borderId="89" xfId="0" applyFont="1" applyFill="1" applyBorder="1" applyAlignment="1">
      <alignment horizontal="center"/>
    </xf>
    <xf numFmtId="0" fontId="2" fillId="5" borderId="90" xfId="0" applyFont="1" applyFill="1" applyBorder="1" applyAlignment="1">
      <alignment horizontal="center"/>
    </xf>
    <xf numFmtId="0" fontId="2" fillId="0" borderId="0" xfId="0" applyFont="1" applyAlignment="1">
      <alignment horizontal="center"/>
    </xf>
    <xf numFmtId="0" fontId="69" fillId="0" borderId="0" xfId="0" applyFont="1" applyAlignment="1">
      <alignment horizontal="center"/>
    </xf>
    <xf numFmtId="0" fontId="2" fillId="0" borderId="54" xfId="0" applyFont="1" applyBorder="1" applyAlignment="1">
      <alignment horizontal="center"/>
    </xf>
    <xf numFmtId="0" fontId="2" fillId="0" borderId="83" xfId="0" applyFont="1" applyBorder="1" applyAlignment="1">
      <alignment horizontal="center"/>
    </xf>
    <xf numFmtId="0" fontId="2" fillId="0" borderId="84" xfId="0" applyFont="1" applyBorder="1" applyAlignment="1">
      <alignment horizontal="center"/>
    </xf>
    <xf numFmtId="46" fontId="1" fillId="0" borderId="0" xfId="0" applyNumberFormat="1" applyFont="1" applyAlignment="1">
      <alignment horizontal="center"/>
    </xf>
    <xf numFmtId="0" fontId="1" fillId="0" borderId="0" xfId="0" applyFont="1" applyAlignment="1">
      <alignment horizontal="center"/>
    </xf>
    <xf numFmtId="0" fontId="4" fillId="0" borderId="8" xfId="0" applyFont="1" applyBorder="1" applyAlignment="1">
      <alignment horizontal="center"/>
    </xf>
    <xf numFmtId="0" fontId="4" fillId="0" borderId="79" xfId="0" applyFont="1" applyBorder="1" applyAlignment="1">
      <alignment horizontal="center"/>
    </xf>
    <xf numFmtId="0" fontId="4" fillId="0" borderId="9"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applyAlignment="1">
      <alignment horizontal="center"/>
    </xf>
    <xf numFmtId="0" fontId="2" fillId="0" borderId="53" xfId="0" applyFont="1" applyBorder="1" applyAlignment="1">
      <alignment horizontal="center"/>
    </xf>
    <xf numFmtId="0" fontId="2" fillId="0" borderId="34" xfId="0" applyFont="1" applyBorder="1" applyAlignment="1">
      <alignment horizontal="center"/>
    </xf>
    <xf numFmtId="0" fontId="2" fillId="0" borderId="63" xfId="0" applyFont="1" applyBorder="1" applyAlignment="1">
      <alignment horizontal="center"/>
    </xf>
    <xf numFmtId="0" fontId="2" fillId="0" borderId="80" xfId="0" applyFont="1" applyBorder="1" applyAlignment="1">
      <alignment horizontal="center"/>
    </xf>
    <xf numFmtId="0" fontId="2" fillId="0" borderId="81" xfId="0" applyFont="1" applyBorder="1" applyAlignment="1">
      <alignment horizontal="center"/>
    </xf>
    <xf numFmtId="0" fontId="2" fillId="0" borderId="82" xfId="0" applyFont="1" applyBorder="1" applyAlignment="1">
      <alignment horizontal="center"/>
    </xf>
    <xf numFmtId="0" fontId="0" fillId="0" borderId="8" xfId="0" applyBorder="1" applyAlignment="1">
      <alignment horizontal="center"/>
    </xf>
    <xf numFmtId="0" fontId="0" fillId="0" borderId="79" xfId="0" applyBorder="1" applyAlignment="1">
      <alignment horizontal="center"/>
    </xf>
    <xf numFmtId="0" fontId="0" fillId="0" borderId="9" xfId="0" applyBorder="1" applyAlignment="1">
      <alignment horizontal="center"/>
    </xf>
    <xf numFmtId="0" fontId="32" fillId="13" borderId="27" xfId="0" applyFont="1" applyFill="1" applyBorder="1" applyAlignment="1">
      <alignment horizontal="center" vertical="center" wrapText="1"/>
    </xf>
    <xf numFmtId="0" fontId="32" fillId="13" borderId="0" xfId="0" applyFont="1" applyFill="1" applyAlignment="1">
      <alignment horizontal="center" vertical="center" wrapText="1"/>
    </xf>
    <xf numFmtId="0" fontId="32" fillId="13" borderId="28" xfId="0" applyFont="1" applyFill="1" applyBorder="1" applyAlignment="1">
      <alignment horizontal="center" vertical="center" wrapText="1"/>
    </xf>
    <xf numFmtId="0" fontId="32" fillId="13" borderId="29" xfId="0" applyFont="1" applyFill="1" applyBorder="1" applyAlignment="1">
      <alignment horizontal="center" vertical="center" wrapText="1"/>
    </xf>
    <xf numFmtId="0" fontId="42" fillId="0" borderId="24" xfId="0" applyFont="1" applyBorder="1" applyAlignment="1">
      <alignment horizontal="center"/>
    </xf>
    <xf numFmtId="0" fontId="42" fillId="0" borderId="25" xfId="0" applyFont="1" applyBorder="1" applyAlignment="1">
      <alignment horizontal="center"/>
    </xf>
    <xf numFmtId="0" fontId="42" fillId="0" borderId="21" xfId="0" applyFont="1" applyBorder="1" applyAlignment="1">
      <alignment horizontal="center"/>
    </xf>
    <xf numFmtId="0" fontId="32" fillId="13" borderId="57" xfId="0" applyFont="1" applyFill="1" applyBorder="1" applyAlignment="1">
      <alignment horizontal="center" vertical="center" wrapText="1"/>
    </xf>
    <xf numFmtId="0" fontId="32" fillId="13" borderId="58" xfId="0" applyFont="1" applyFill="1" applyBorder="1" applyAlignment="1">
      <alignment horizontal="center" vertical="center" wrapText="1"/>
    </xf>
    <xf numFmtId="0" fontId="32" fillId="13" borderId="60" xfId="0" applyFont="1" applyFill="1" applyBorder="1" applyAlignment="1">
      <alignment horizontal="center" vertical="center" wrapText="1"/>
    </xf>
    <xf numFmtId="0" fontId="32" fillId="13" borderId="55" xfId="0" applyFont="1" applyFill="1" applyBorder="1" applyAlignment="1">
      <alignment horizontal="center" vertical="center" wrapText="1"/>
    </xf>
    <xf numFmtId="0" fontId="32" fillId="13" borderId="59" xfId="0" applyFont="1" applyFill="1" applyBorder="1" applyAlignment="1">
      <alignment horizontal="center" vertical="center" wrapText="1"/>
    </xf>
    <xf numFmtId="0" fontId="32" fillId="13" borderId="56" xfId="0" applyFont="1" applyFill="1" applyBorder="1" applyAlignment="1">
      <alignment horizontal="center" vertical="center" wrapText="1"/>
    </xf>
    <xf numFmtId="0" fontId="32" fillId="13" borderId="26" xfId="0" applyFont="1" applyFill="1" applyBorder="1" applyAlignment="1">
      <alignment horizontal="center" vertical="center" wrapText="1"/>
    </xf>
    <xf numFmtId="0" fontId="31" fillId="0" borderId="0" xfId="0" applyFont="1" applyAlignment="1">
      <alignment horizontal="left" wrapText="1"/>
    </xf>
    <xf numFmtId="0" fontId="31" fillId="0" borderId="0" xfId="0" applyFont="1" applyAlignment="1">
      <alignment horizontal="left"/>
    </xf>
    <xf numFmtId="0" fontId="29" fillId="32" borderId="2" xfId="0" applyFont="1" applyFill="1" applyBorder="1" applyAlignment="1">
      <alignment horizontal="center" vertical="center" wrapText="1"/>
    </xf>
    <xf numFmtId="0" fontId="29" fillId="32" borderId="35" xfId="0" applyFont="1" applyFill="1" applyBorder="1" applyAlignment="1">
      <alignment horizontal="center" vertical="center" wrapText="1"/>
    </xf>
    <xf numFmtId="0" fontId="29" fillId="32" borderId="11" xfId="0" applyFont="1" applyFill="1" applyBorder="1" applyAlignment="1">
      <alignment horizontal="center" vertical="center" wrapText="1"/>
    </xf>
    <xf numFmtId="0" fontId="29" fillId="32" borderId="30" xfId="0" applyFont="1" applyFill="1" applyBorder="1" applyAlignment="1">
      <alignment horizontal="center" vertical="center" wrapText="1"/>
    </xf>
    <xf numFmtId="0" fontId="29" fillId="32" borderId="36" xfId="0" applyFont="1" applyFill="1" applyBorder="1" applyAlignment="1">
      <alignment horizontal="center" vertical="center" wrapText="1"/>
    </xf>
    <xf numFmtId="0" fontId="12" fillId="0" borderId="0" xfId="0" applyFont="1" applyAlignment="1">
      <alignment horizontal="left" vertical="top" wrapText="1"/>
    </xf>
    <xf numFmtId="0" fontId="29" fillId="29" borderId="1" xfId="0" applyFont="1" applyFill="1" applyBorder="1" applyAlignment="1">
      <alignment horizontal="center" vertical="center" wrapText="1"/>
    </xf>
    <xf numFmtId="0" fontId="29" fillId="13" borderId="14" xfId="0" applyFont="1" applyFill="1" applyBorder="1" applyAlignment="1">
      <alignment horizontal="center" vertical="center" wrapText="1"/>
    </xf>
    <xf numFmtId="0" fontId="29" fillId="13" borderId="26" xfId="0" applyFont="1" applyFill="1" applyBorder="1" applyAlignment="1">
      <alignment horizontal="center" vertical="center" wrapText="1"/>
    </xf>
    <xf numFmtId="0" fontId="29" fillId="13" borderId="13" xfId="0" applyFont="1" applyFill="1" applyBorder="1" applyAlignment="1">
      <alignment horizontal="center" vertical="center" wrapText="1"/>
    </xf>
    <xf numFmtId="0" fontId="29" fillId="13" borderId="1" xfId="0" applyFont="1" applyFill="1" applyBorder="1" applyAlignment="1">
      <alignment horizontal="center" vertical="center" wrapText="1"/>
    </xf>
    <xf numFmtId="0" fontId="1" fillId="4" borderId="0" xfId="0" applyFont="1" applyFill="1" applyAlignment="1">
      <alignment horizontal="center"/>
    </xf>
    <xf numFmtId="0" fontId="1" fillId="4" borderId="47" xfId="0" applyFont="1" applyFill="1" applyBorder="1" applyAlignment="1">
      <alignment horizontal="center"/>
    </xf>
    <xf numFmtId="0" fontId="6" fillId="0" borderId="1" xfId="0" applyFont="1" applyBorder="1" applyAlignment="1">
      <alignment horizontal="left" vertical="center" wrapText="1"/>
    </xf>
    <xf numFmtId="0" fontId="32" fillId="0" borderId="0" xfId="0" applyFont="1" applyAlignment="1">
      <alignment horizontal="left" vertical="top" wrapText="1"/>
    </xf>
    <xf numFmtId="0" fontId="6" fillId="0" borderId="27" xfId="0" applyFont="1" applyBorder="1" applyAlignment="1">
      <alignment horizontal="left" vertical="top" wrapText="1"/>
    </xf>
    <xf numFmtId="0" fontId="6" fillId="0" borderId="0" xfId="0" applyFont="1" applyAlignment="1">
      <alignment horizontal="left" vertical="top" wrapText="1"/>
    </xf>
    <xf numFmtId="0" fontId="32" fillId="29" borderId="1" xfId="0" applyFont="1" applyFill="1" applyBorder="1" applyAlignment="1">
      <alignment horizontal="center" vertical="center" wrapText="1"/>
    </xf>
    <xf numFmtId="0" fontId="1" fillId="4" borderId="1" xfId="0" applyFont="1" applyFill="1" applyBorder="1" applyAlignment="1">
      <alignment horizontal="center"/>
    </xf>
    <xf numFmtId="0" fontId="1" fillId="0" borderId="0" xfId="0" applyFont="1" applyAlignment="1">
      <alignment horizontal="left" vertical="top" wrapText="1"/>
    </xf>
    <xf numFmtId="0" fontId="20" fillId="0" borderId="1" xfId="0" applyFont="1" applyBorder="1" applyAlignment="1">
      <alignment horizontal="left" vertical="top" wrapText="1"/>
    </xf>
    <xf numFmtId="0" fontId="17" fillId="0" borderId="1" xfId="0" applyFont="1" applyBorder="1" applyAlignment="1">
      <alignment horizontal="center" vertical="top" wrapText="1"/>
    </xf>
    <xf numFmtId="0" fontId="17" fillId="0" borderId="12" xfId="0" applyFont="1" applyBorder="1" applyAlignment="1">
      <alignment horizontal="center" vertical="top" wrapText="1"/>
    </xf>
    <xf numFmtId="0" fontId="17" fillId="0" borderId="34" xfId="0" applyFont="1" applyBorder="1" applyAlignment="1">
      <alignment horizontal="center" vertical="top" wrapText="1"/>
    </xf>
    <xf numFmtId="0" fontId="17" fillId="0" borderId="48" xfId="0" applyFont="1" applyBorder="1" applyAlignment="1">
      <alignment horizontal="center" vertical="top" wrapText="1"/>
    </xf>
    <xf numFmtId="0" fontId="17" fillId="0" borderId="27" xfId="0" applyFont="1" applyBorder="1" applyAlignment="1">
      <alignment horizontal="center" vertical="top" wrapText="1"/>
    </xf>
    <xf numFmtId="0" fontId="17" fillId="0" borderId="0" xfId="0" applyFont="1" applyAlignment="1">
      <alignment horizontal="center" vertical="top" wrapText="1"/>
    </xf>
    <xf numFmtId="0" fontId="17" fillId="0" borderId="47" xfId="0" applyFont="1" applyBorder="1" applyAlignment="1">
      <alignment horizontal="center" vertical="top" wrapText="1"/>
    </xf>
    <xf numFmtId="0" fontId="17" fillId="0" borderId="30" xfId="0" applyFont="1" applyBorder="1" applyAlignment="1">
      <alignment horizontal="center" vertical="top" wrapText="1"/>
    </xf>
    <xf numFmtId="0" fontId="17" fillId="0" borderId="36" xfId="0" applyFont="1" applyBorder="1" applyAlignment="1">
      <alignment horizontal="center" vertical="top" wrapText="1"/>
    </xf>
    <xf numFmtId="0" fontId="17" fillId="0" borderId="49" xfId="0" applyFont="1" applyBorder="1" applyAlignment="1">
      <alignment horizontal="center" vertical="top" wrapText="1"/>
    </xf>
    <xf numFmtId="0" fontId="17" fillId="0" borderId="14" xfId="0" applyFont="1" applyBorder="1" applyAlignment="1">
      <alignment horizontal="center" vertical="top" wrapText="1"/>
    </xf>
    <xf numFmtId="0" fontId="17" fillId="0" borderId="26" xfId="0" applyFont="1" applyBorder="1" applyAlignment="1">
      <alignment horizontal="center" vertical="top" wrapText="1"/>
    </xf>
    <xf numFmtId="0" fontId="17" fillId="0" borderId="13" xfId="0" applyFont="1" applyBorder="1" applyAlignment="1">
      <alignment horizontal="center" vertical="top" wrapText="1"/>
    </xf>
    <xf numFmtId="1" fontId="25" fillId="0" borderId="14" xfId="0" applyNumberFormat="1" applyFont="1" applyBorder="1" applyAlignment="1">
      <alignment horizontal="center" vertical="center" shrinkToFit="1"/>
    </xf>
    <xf numFmtId="1" fontId="25" fillId="0" borderId="26" xfId="0" applyNumberFormat="1" applyFont="1" applyBorder="1" applyAlignment="1">
      <alignment horizontal="center" vertical="center" shrinkToFit="1"/>
    </xf>
    <xf numFmtId="1" fontId="25" fillId="0" borderId="13" xfId="0" applyNumberFormat="1" applyFont="1" applyBorder="1" applyAlignment="1">
      <alignment horizontal="center" vertical="center" shrinkToFit="1"/>
    </xf>
    <xf numFmtId="0" fontId="20" fillId="0" borderId="12" xfId="0" applyFont="1" applyBorder="1" applyAlignment="1">
      <alignment horizontal="left" vertical="center" wrapText="1"/>
    </xf>
    <xf numFmtId="0" fontId="20" fillId="0" borderId="48" xfId="0" applyFont="1" applyBorder="1" applyAlignment="1">
      <alignment horizontal="left" vertical="center" wrapText="1"/>
    </xf>
    <xf numFmtId="0" fontId="20" fillId="0" borderId="27" xfId="0" applyFont="1" applyBorder="1" applyAlignment="1">
      <alignment horizontal="left" vertical="center" wrapText="1"/>
    </xf>
    <xf numFmtId="0" fontId="20" fillId="0" borderId="47" xfId="0" applyFont="1" applyBorder="1" applyAlignment="1">
      <alignment horizontal="left" vertical="center" wrapText="1"/>
    </xf>
    <xf numFmtId="0" fontId="20" fillId="0" borderId="30" xfId="0" applyFont="1" applyBorder="1" applyAlignment="1">
      <alignment horizontal="left" vertical="center" wrapText="1"/>
    </xf>
    <xf numFmtId="0" fontId="20" fillId="0" borderId="49" xfId="0" applyFont="1" applyBorder="1" applyAlignment="1">
      <alignment horizontal="left" vertical="center" wrapText="1"/>
    </xf>
    <xf numFmtId="0" fontId="0" fillId="0" borderId="1" xfId="0" applyBorder="1" applyAlignment="1">
      <alignment horizontal="left" vertical="top" wrapText="1"/>
    </xf>
    <xf numFmtId="0" fontId="20" fillId="0" borderId="12" xfId="0" applyFont="1" applyBorder="1" applyAlignment="1">
      <alignment horizontal="left" vertical="top" wrapText="1"/>
    </xf>
    <xf numFmtId="0" fontId="20" fillId="0" borderId="48" xfId="0" applyFont="1" applyBorder="1" applyAlignment="1">
      <alignment horizontal="left" vertical="top" wrapText="1"/>
    </xf>
    <xf numFmtId="0" fontId="20" fillId="0" borderId="27" xfId="0" applyFont="1" applyBorder="1" applyAlignment="1">
      <alignment horizontal="left" vertical="top" wrapText="1"/>
    </xf>
    <xf numFmtId="0" fontId="20" fillId="0" borderId="47" xfId="0" applyFont="1" applyBorder="1" applyAlignment="1">
      <alignment horizontal="left" vertical="top" wrapText="1"/>
    </xf>
    <xf numFmtId="0" fontId="20" fillId="0" borderId="30" xfId="0" applyFont="1" applyBorder="1" applyAlignment="1">
      <alignment horizontal="left" vertical="top" wrapText="1"/>
    </xf>
    <xf numFmtId="0" fontId="20" fillId="0" borderId="49" xfId="0" applyFont="1" applyBorder="1" applyAlignment="1">
      <alignment horizontal="left" vertical="top" wrapText="1"/>
    </xf>
    <xf numFmtId="0" fontId="0" fillId="0" borderId="14" xfId="0" applyBorder="1" applyAlignment="1">
      <alignment horizontal="left" vertical="top" wrapText="1"/>
    </xf>
    <xf numFmtId="0" fontId="0" fillId="0" borderId="26" xfId="0" applyBorder="1" applyAlignment="1">
      <alignment horizontal="left" vertical="top" wrapText="1"/>
    </xf>
    <xf numFmtId="0" fontId="0" fillId="0" borderId="13" xfId="0" applyBorder="1" applyAlignment="1">
      <alignment horizontal="left" vertical="top" wrapText="1"/>
    </xf>
    <xf numFmtId="0" fontId="20" fillId="0" borderId="12" xfId="0" applyFont="1" applyBorder="1" applyAlignment="1">
      <alignment horizontal="center" vertical="center" wrapText="1"/>
    </xf>
    <xf numFmtId="0" fontId="20" fillId="0" borderId="48" xfId="0" applyFont="1" applyBorder="1" applyAlignment="1">
      <alignment horizontal="center" vertical="center" wrapText="1"/>
    </xf>
    <xf numFmtId="0" fontId="20" fillId="0" borderId="27" xfId="0" applyFont="1" applyBorder="1" applyAlignment="1">
      <alignment horizontal="center" vertical="center" wrapText="1"/>
    </xf>
    <xf numFmtId="0" fontId="20" fillId="0" borderId="47" xfId="0" applyFont="1" applyBorder="1" applyAlignment="1">
      <alignment horizontal="center" vertical="center" wrapText="1"/>
    </xf>
    <xf numFmtId="0" fontId="20" fillId="0" borderId="30" xfId="0" applyFont="1" applyBorder="1" applyAlignment="1">
      <alignment horizontal="center" vertical="center" wrapText="1"/>
    </xf>
    <xf numFmtId="0" fontId="20" fillId="0" borderId="49" xfId="0" applyFont="1" applyBorder="1" applyAlignment="1">
      <alignment horizontal="center" vertical="center" wrapText="1"/>
    </xf>
    <xf numFmtId="0" fontId="20" fillId="0" borderId="14" xfId="0" applyFont="1" applyBorder="1" applyAlignment="1">
      <alignment horizontal="left" vertical="center" wrapText="1"/>
    </xf>
    <xf numFmtId="0" fontId="20" fillId="0" borderId="26" xfId="0" applyFont="1" applyBorder="1" applyAlignment="1">
      <alignment horizontal="left" vertical="center" wrapText="1"/>
    </xf>
    <xf numFmtId="0" fontId="20" fillId="0" borderId="13" xfId="0" applyFont="1" applyBorder="1" applyAlignment="1">
      <alignment horizontal="left" vertical="center" wrapText="1"/>
    </xf>
    <xf numFmtId="0" fontId="0" fillId="0" borderId="14" xfId="0" applyBorder="1" applyAlignment="1">
      <alignment horizontal="left" vertical="center" wrapText="1"/>
    </xf>
    <xf numFmtId="0" fontId="0" fillId="0" borderId="26" xfId="0" applyBorder="1" applyAlignment="1">
      <alignment horizontal="left" vertical="center" wrapText="1"/>
    </xf>
    <xf numFmtId="0" fontId="0" fillId="0" borderId="13" xfId="0" applyBorder="1" applyAlignment="1">
      <alignment horizontal="left" vertical="center" wrapText="1"/>
    </xf>
    <xf numFmtId="0" fontId="14" fillId="0" borderId="1" xfId="0" applyFont="1" applyBorder="1" applyAlignment="1">
      <alignment horizontal="center" vertical="center" wrapText="1"/>
    </xf>
    <xf numFmtId="0" fontId="2" fillId="2" borderId="23" xfId="0" applyFont="1" applyFill="1" applyBorder="1" applyAlignment="1">
      <alignment horizontal="center" vertical="center" wrapText="1"/>
    </xf>
    <xf numFmtId="0" fontId="2" fillId="2" borderId="31"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13" fillId="8" borderId="44" xfId="0" applyFont="1" applyFill="1" applyBorder="1" applyAlignment="1">
      <alignment horizontal="center" vertical="center"/>
    </xf>
    <xf numFmtId="0" fontId="13" fillId="8" borderId="0" xfId="0" applyFont="1" applyFill="1" applyAlignment="1">
      <alignment horizontal="center" vertical="center"/>
    </xf>
    <xf numFmtId="0" fontId="13" fillId="8" borderId="36" xfId="0" applyFont="1" applyFill="1" applyBorder="1" applyAlignment="1">
      <alignment horizontal="center" vertical="center"/>
    </xf>
    <xf numFmtId="0" fontId="13" fillId="8" borderId="44" xfId="0" applyFont="1" applyFill="1" applyBorder="1" applyAlignment="1">
      <alignment horizontal="center" vertical="center" wrapText="1"/>
    </xf>
    <xf numFmtId="0" fontId="13" fillId="8" borderId="0" xfId="0" applyFont="1" applyFill="1" applyAlignment="1">
      <alignment horizontal="center" vertical="center" wrapText="1"/>
    </xf>
    <xf numFmtId="0" fontId="13" fillId="8" borderId="36" xfId="0" applyFont="1" applyFill="1" applyBorder="1" applyAlignment="1">
      <alignment horizontal="center" vertical="center" wrapText="1"/>
    </xf>
    <xf numFmtId="177" fontId="32" fillId="13" borderId="14" xfId="5" applyNumberFormat="1" applyFont="1" applyFill="1" applyBorder="1" applyAlignment="1">
      <alignment horizontal="center" vertical="center" wrapText="1"/>
    </xf>
    <xf numFmtId="177" fontId="32" fillId="13" borderId="13" xfId="5" applyNumberFormat="1" applyFont="1" applyFill="1" applyBorder="1" applyAlignment="1">
      <alignment horizontal="center" vertical="center" wrapText="1"/>
    </xf>
    <xf numFmtId="3" fontId="32" fillId="13" borderId="14" xfId="5" applyNumberFormat="1" applyFont="1" applyFill="1" applyBorder="1" applyAlignment="1">
      <alignment horizontal="center" vertical="center" wrapText="1"/>
    </xf>
    <xf numFmtId="3" fontId="32" fillId="13" borderId="13" xfId="5" applyNumberFormat="1" applyFont="1" applyFill="1" applyBorder="1" applyAlignment="1">
      <alignment horizontal="center" vertical="center" wrapText="1"/>
    </xf>
    <xf numFmtId="177" fontId="32" fillId="13" borderId="1" xfId="5" applyNumberFormat="1" applyFont="1" applyFill="1" applyBorder="1" applyAlignment="1">
      <alignment horizontal="center" vertical="center" wrapText="1"/>
    </xf>
    <xf numFmtId="3" fontId="2" fillId="13" borderId="2" xfId="0" applyNumberFormat="1" applyFont="1" applyFill="1" applyBorder="1" applyAlignment="1">
      <alignment horizontal="center" vertical="center"/>
    </xf>
    <xf numFmtId="3" fontId="2" fillId="13" borderId="11" xfId="0" applyNumberFormat="1" applyFont="1" applyFill="1" applyBorder="1" applyAlignment="1">
      <alignment horizontal="center" vertical="center"/>
    </xf>
    <xf numFmtId="168" fontId="32" fillId="13" borderId="14" xfId="5" applyNumberFormat="1" applyFont="1" applyFill="1" applyBorder="1" applyAlignment="1">
      <alignment horizontal="center" vertical="center" wrapText="1"/>
    </xf>
    <xf numFmtId="168" fontId="32" fillId="13" borderId="13" xfId="5" applyNumberFormat="1" applyFont="1" applyFill="1" applyBorder="1" applyAlignment="1">
      <alignment horizontal="center" vertical="center" wrapText="1"/>
    </xf>
    <xf numFmtId="175" fontId="39" fillId="10" borderId="1" xfId="0" applyNumberFormat="1" applyFont="1" applyFill="1" applyBorder="1" applyAlignment="1">
      <alignment horizontal="center"/>
    </xf>
    <xf numFmtId="0" fontId="32" fillId="13" borderId="50" xfId="0" applyFont="1" applyFill="1" applyBorder="1" applyAlignment="1">
      <alignment horizontal="center" vertical="center" wrapText="1"/>
    </xf>
    <xf numFmtId="0" fontId="32" fillId="13" borderId="51" xfId="0" applyFont="1" applyFill="1" applyBorder="1" applyAlignment="1">
      <alignment horizontal="center" vertical="center" wrapText="1"/>
    </xf>
    <xf numFmtId="0" fontId="32" fillId="13" borderId="52" xfId="0" applyFont="1" applyFill="1" applyBorder="1" applyAlignment="1">
      <alignment horizontal="center" vertical="center" wrapText="1"/>
    </xf>
    <xf numFmtId="0" fontId="32" fillId="13" borderId="14" xfId="0" applyFont="1" applyFill="1" applyBorder="1" applyAlignment="1">
      <alignment horizontal="center" vertical="center" wrapText="1"/>
    </xf>
    <xf numFmtId="0" fontId="32" fillId="13" borderId="13" xfId="0" applyFont="1" applyFill="1" applyBorder="1" applyAlignment="1">
      <alignment horizontal="center" vertical="center" wrapText="1"/>
    </xf>
    <xf numFmtId="0" fontId="32" fillId="13" borderId="47" xfId="0" applyFont="1" applyFill="1" applyBorder="1" applyAlignment="1">
      <alignment horizontal="center" vertical="center" wrapText="1"/>
    </xf>
    <xf numFmtId="0" fontId="32" fillId="13" borderId="30" xfId="0" applyFont="1" applyFill="1" applyBorder="1" applyAlignment="1">
      <alignment horizontal="center" vertical="center" wrapText="1"/>
    </xf>
    <xf numFmtId="0" fontId="32" fillId="13" borderId="49" xfId="0" applyFont="1" applyFill="1" applyBorder="1" applyAlignment="1">
      <alignment horizontal="center" vertical="center" wrapText="1"/>
    </xf>
    <xf numFmtId="0" fontId="32" fillId="13" borderId="12" xfId="0" applyFont="1" applyFill="1" applyBorder="1" applyAlignment="1">
      <alignment horizontal="center" vertical="center" wrapText="1"/>
    </xf>
    <xf numFmtId="0" fontId="32" fillId="13" borderId="48" xfId="0" applyFont="1" applyFill="1" applyBorder="1" applyAlignment="1">
      <alignment horizontal="center" vertical="center" wrapText="1"/>
    </xf>
    <xf numFmtId="170" fontId="32" fillId="13" borderId="27" xfId="5" applyNumberFormat="1" applyFont="1" applyFill="1" applyBorder="1" applyAlignment="1">
      <alignment horizontal="center" vertical="center" wrapText="1"/>
    </xf>
    <xf numFmtId="170" fontId="32" fillId="13" borderId="0" xfId="5" applyNumberFormat="1" applyFont="1" applyFill="1" applyAlignment="1">
      <alignment horizontal="center" vertical="center" wrapText="1"/>
    </xf>
    <xf numFmtId="168" fontId="32" fillId="13" borderId="1" xfId="5" applyNumberFormat="1" applyFont="1" applyFill="1" applyBorder="1" applyAlignment="1">
      <alignment horizontal="center" vertical="center" wrapText="1"/>
    </xf>
    <xf numFmtId="168" fontId="32" fillId="13" borderId="12" xfId="5" applyNumberFormat="1" applyFont="1" applyFill="1" applyBorder="1" applyAlignment="1">
      <alignment horizontal="center" vertical="center" wrapText="1"/>
    </xf>
    <xf numFmtId="168" fontId="32" fillId="13" borderId="27" xfId="5" applyNumberFormat="1" applyFont="1" applyFill="1" applyBorder="1" applyAlignment="1">
      <alignment horizontal="center" vertical="center" wrapText="1"/>
    </xf>
    <xf numFmtId="168" fontId="32" fillId="13" borderId="30" xfId="5" applyNumberFormat="1" applyFont="1" applyFill="1" applyBorder="1" applyAlignment="1">
      <alignment horizontal="center" vertical="center" wrapText="1"/>
    </xf>
    <xf numFmtId="168" fontId="32" fillId="13" borderId="26" xfId="5" applyNumberFormat="1" applyFont="1" applyFill="1" applyBorder="1" applyAlignment="1">
      <alignment horizontal="center" vertical="center" wrapText="1"/>
    </xf>
    <xf numFmtId="177" fontId="32" fillId="13" borderId="2" xfId="5" applyNumberFormat="1" applyFont="1" applyFill="1" applyBorder="1" applyAlignment="1">
      <alignment horizontal="center" vertical="center" wrapText="1"/>
    </xf>
    <xf numFmtId="177" fontId="32" fillId="13" borderId="11" xfId="5" applyNumberFormat="1" applyFont="1" applyFill="1" applyBorder="1" applyAlignment="1">
      <alignment horizontal="center" vertical="center" wrapText="1"/>
    </xf>
    <xf numFmtId="177" fontId="32" fillId="13" borderId="2" xfId="0" applyNumberFormat="1" applyFont="1" applyFill="1" applyBorder="1" applyAlignment="1">
      <alignment horizontal="center" vertical="top" wrapText="1"/>
    </xf>
    <xf numFmtId="177" fontId="32" fillId="13" borderId="11" xfId="0" applyNumberFormat="1" applyFont="1" applyFill="1" applyBorder="1" applyAlignment="1">
      <alignment horizontal="center" vertical="top" wrapText="1"/>
    </xf>
    <xf numFmtId="177" fontId="2" fillId="10" borderId="0" xfId="0" applyNumberFormat="1" applyFont="1" applyFill="1" applyAlignment="1">
      <alignment horizontal="center"/>
    </xf>
    <xf numFmtId="177" fontId="32" fillId="13" borderId="14" xfId="0" applyNumberFormat="1" applyFont="1" applyFill="1" applyBorder="1" applyAlignment="1">
      <alignment horizontal="center" vertical="center" wrapText="1"/>
    </xf>
    <xf numFmtId="177" fontId="32" fillId="13" borderId="26" xfId="0" applyNumberFormat="1" applyFont="1" applyFill="1" applyBorder="1" applyAlignment="1">
      <alignment horizontal="center" vertical="center" wrapText="1"/>
    </xf>
    <xf numFmtId="177" fontId="32" fillId="13" borderId="13" xfId="0" applyNumberFormat="1" applyFont="1" applyFill="1" applyBorder="1" applyAlignment="1">
      <alignment horizontal="center" vertical="center" wrapText="1"/>
    </xf>
    <xf numFmtId="0" fontId="32" fillId="13" borderId="1" xfId="0" applyFont="1" applyFill="1" applyBorder="1" applyAlignment="1">
      <alignment horizontal="center" vertical="center" wrapText="1"/>
    </xf>
    <xf numFmtId="3" fontId="32" fillId="13" borderId="26" xfId="5" applyNumberFormat="1" applyFont="1" applyFill="1" applyBorder="1" applyAlignment="1">
      <alignment horizontal="center" vertical="center" wrapText="1"/>
    </xf>
    <xf numFmtId="177" fontId="32" fillId="13" borderId="26" xfId="5" applyNumberFormat="1" applyFont="1" applyFill="1" applyBorder="1" applyAlignment="1">
      <alignment horizontal="center" vertical="center" wrapText="1"/>
    </xf>
    <xf numFmtId="0" fontId="32" fillId="13" borderId="2" xfId="0" applyFont="1" applyFill="1" applyBorder="1" applyAlignment="1">
      <alignment horizontal="center" vertical="top" wrapText="1"/>
    </xf>
    <xf numFmtId="0" fontId="32" fillId="13" borderId="11" xfId="0" applyFont="1" applyFill="1" applyBorder="1" applyAlignment="1">
      <alignment horizontal="center" vertical="top" wrapText="1"/>
    </xf>
    <xf numFmtId="0" fontId="51" fillId="0" borderId="0" xfId="0" applyFont="1" applyAlignment="1">
      <alignment horizontal="left" wrapText="1"/>
    </xf>
    <xf numFmtId="0" fontId="17" fillId="13" borderId="14" xfId="0" applyFont="1" applyFill="1" applyBorder="1" applyAlignment="1">
      <alignment horizontal="center" vertical="top" wrapText="1"/>
    </xf>
    <xf numFmtId="0" fontId="17" fillId="13" borderId="26" xfId="0" applyFont="1" applyFill="1" applyBorder="1" applyAlignment="1">
      <alignment horizontal="center" vertical="top" wrapText="1"/>
    </xf>
    <xf numFmtId="0" fontId="17" fillId="13" borderId="13" xfId="0" applyFont="1" applyFill="1" applyBorder="1" applyAlignment="1">
      <alignment horizontal="center" vertical="top" wrapText="1"/>
    </xf>
    <xf numFmtId="170" fontId="17" fillId="13" borderId="1" xfId="5" applyNumberFormat="1" applyFont="1" applyFill="1" applyBorder="1" applyAlignment="1">
      <alignment horizontal="center" vertical="center" wrapText="1"/>
    </xf>
    <xf numFmtId="0" fontId="17" fillId="13" borderId="1" xfId="0" applyFont="1" applyFill="1" applyBorder="1" applyAlignment="1">
      <alignment horizontal="center" vertical="center" wrapText="1"/>
    </xf>
    <xf numFmtId="168" fontId="17" fillId="13" borderId="1" xfId="5" applyNumberFormat="1" applyFont="1" applyFill="1" applyBorder="1" applyAlignment="1">
      <alignment horizontal="center" vertical="center" wrapText="1"/>
    </xf>
    <xf numFmtId="168" fontId="17" fillId="13" borderId="14" xfId="5" applyNumberFormat="1" applyFont="1" applyFill="1" applyBorder="1" applyAlignment="1">
      <alignment horizontal="center" vertical="center" wrapText="1"/>
    </xf>
    <xf numFmtId="168" fontId="17" fillId="13" borderId="26" xfId="5" applyNumberFormat="1" applyFont="1" applyFill="1" applyBorder="1" applyAlignment="1">
      <alignment horizontal="center" vertical="center" wrapText="1"/>
    </xf>
    <xf numFmtId="168" fontId="17" fillId="13" borderId="13" xfId="5" applyNumberFormat="1" applyFont="1" applyFill="1" applyBorder="1" applyAlignment="1">
      <alignment horizontal="center" vertical="center" wrapText="1"/>
    </xf>
    <xf numFmtId="177" fontId="17" fillId="13" borderId="14" xfId="5" applyNumberFormat="1" applyFont="1" applyFill="1" applyBorder="1" applyAlignment="1">
      <alignment horizontal="center" vertical="center" wrapText="1"/>
    </xf>
    <xf numFmtId="177" fontId="17" fillId="13" borderId="26" xfId="5" applyNumberFormat="1" applyFont="1" applyFill="1" applyBorder="1" applyAlignment="1">
      <alignment horizontal="center" vertical="center" wrapText="1"/>
    </xf>
    <xf numFmtId="177" fontId="17" fillId="13" borderId="13" xfId="5" applyNumberFormat="1" applyFont="1" applyFill="1" applyBorder="1" applyAlignment="1">
      <alignment horizontal="center" vertical="center" wrapText="1"/>
    </xf>
    <xf numFmtId="170" fontId="17" fillId="13" borderId="2" xfId="5" applyNumberFormat="1" applyFont="1" applyFill="1" applyBorder="1" applyAlignment="1">
      <alignment horizontal="center" vertical="center" wrapText="1"/>
    </xf>
    <xf numFmtId="170" fontId="17" fillId="13" borderId="11" xfId="5" applyNumberFormat="1" applyFont="1" applyFill="1" applyBorder="1" applyAlignment="1">
      <alignment horizontal="center" vertical="center" wrapText="1"/>
    </xf>
    <xf numFmtId="0" fontId="50" fillId="10" borderId="1" xfId="0" applyFont="1" applyFill="1" applyBorder="1" applyAlignment="1">
      <alignment horizontal="center"/>
    </xf>
    <xf numFmtId="168" fontId="17" fillId="13" borderId="14" xfId="5" applyNumberFormat="1" applyFont="1" applyFill="1" applyBorder="1" applyAlignment="1">
      <alignment vertical="center" wrapText="1"/>
    </xf>
    <xf numFmtId="168" fontId="17" fillId="13" borderId="26" xfId="5" applyNumberFormat="1" applyFont="1" applyFill="1" applyBorder="1" applyAlignment="1">
      <alignment vertical="center" wrapText="1"/>
    </xf>
    <xf numFmtId="168" fontId="17" fillId="13" borderId="13" xfId="5" applyNumberFormat="1" applyFont="1" applyFill="1" applyBorder="1" applyAlignment="1">
      <alignment vertical="center" wrapText="1"/>
    </xf>
    <xf numFmtId="0" fontId="17" fillId="13" borderId="14" xfId="0" applyFont="1" applyFill="1" applyBorder="1" applyAlignment="1">
      <alignment horizontal="center" vertical="center" wrapText="1"/>
    </xf>
    <xf numFmtId="0" fontId="17" fillId="13" borderId="26" xfId="0" applyFont="1" applyFill="1" applyBorder="1" applyAlignment="1">
      <alignment horizontal="center" vertical="center" wrapText="1"/>
    </xf>
    <xf numFmtId="0" fontId="17" fillId="13" borderId="13" xfId="0" applyFont="1" applyFill="1" applyBorder="1" applyAlignment="1">
      <alignment horizontal="center" vertical="center" wrapText="1"/>
    </xf>
    <xf numFmtId="168" fontId="17" fillId="13" borderId="14" xfId="5" applyNumberFormat="1" applyFont="1" applyFill="1" applyBorder="1" applyAlignment="1">
      <alignment horizontal="right" vertical="center" wrapText="1"/>
    </xf>
    <xf numFmtId="168" fontId="17" fillId="13" borderId="26" xfId="5" applyNumberFormat="1" applyFont="1" applyFill="1" applyBorder="1" applyAlignment="1">
      <alignment horizontal="right" vertical="center" wrapText="1"/>
    </xf>
    <xf numFmtId="168" fontId="17" fillId="13" borderId="13" xfId="5" applyNumberFormat="1" applyFont="1" applyFill="1" applyBorder="1" applyAlignment="1">
      <alignment horizontal="right" vertical="center" wrapText="1"/>
    </xf>
    <xf numFmtId="0" fontId="17" fillId="13" borderId="1" xfId="0" applyFont="1" applyFill="1" applyBorder="1" applyAlignment="1">
      <alignment horizontal="center" vertical="top" wrapText="1"/>
    </xf>
    <xf numFmtId="0" fontId="17" fillId="13" borderId="2" xfId="0" applyFont="1" applyFill="1" applyBorder="1" applyAlignment="1">
      <alignment horizontal="center" vertical="center" wrapText="1"/>
    </xf>
    <xf numFmtId="0" fontId="17" fillId="13" borderId="11" xfId="0" applyFont="1" applyFill="1" applyBorder="1" applyAlignment="1">
      <alignment horizontal="center" vertical="center" wrapText="1"/>
    </xf>
    <xf numFmtId="0" fontId="17" fillId="13" borderId="48" xfId="0" applyFont="1" applyFill="1" applyBorder="1" applyAlignment="1">
      <alignment horizontal="center" vertical="center" wrapText="1"/>
    </xf>
    <xf numFmtId="0" fontId="17" fillId="13" borderId="47" xfId="0" applyFont="1" applyFill="1" applyBorder="1" applyAlignment="1">
      <alignment horizontal="center" vertical="center" wrapText="1"/>
    </xf>
    <xf numFmtId="0" fontId="17" fillId="13" borderId="49" xfId="0" applyFont="1" applyFill="1" applyBorder="1" applyAlignment="1">
      <alignment horizontal="center" vertical="center" wrapText="1"/>
    </xf>
    <xf numFmtId="177" fontId="0" fillId="28" borderId="0" xfId="0" applyNumberFormat="1" applyFill="1" applyAlignment="1">
      <alignment horizontal="center"/>
    </xf>
    <xf numFmtId="177" fontId="17" fillId="13" borderId="1" xfId="5" applyNumberFormat="1" applyFont="1" applyFill="1" applyBorder="1" applyAlignment="1">
      <alignment horizontal="center" vertical="center" wrapText="1"/>
    </xf>
    <xf numFmtId="0" fontId="67" fillId="28" borderId="0" xfId="0" applyFont="1" applyFill="1" applyAlignment="1">
      <alignment horizontal="center"/>
    </xf>
    <xf numFmtId="0" fontId="32" fillId="13" borderId="2" xfId="0" applyFont="1" applyFill="1" applyBorder="1" applyAlignment="1">
      <alignment horizontal="center" vertical="center" wrapText="1"/>
    </xf>
    <xf numFmtId="0" fontId="32" fillId="13" borderId="11" xfId="0" applyFont="1" applyFill="1" applyBorder="1" applyAlignment="1">
      <alignment horizontal="center" vertical="center" wrapText="1"/>
    </xf>
    <xf numFmtId="0" fontId="4" fillId="10" borderId="1" xfId="0" applyFont="1" applyFill="1" applyBorder="1" applyAlignment="1">
      <alignment horizontal="center"/>
    </xf>
    <xf numFmtId="0" fontId="32" fillId="13" borderId="2" xfId="5" applyFont="1" applyFill="1" applyBorder="1" applyAlignment="1">
      <alignment horizontal="center" vertical="center" wrapText="1"/>
    </xf>
    <xf numFmtId="0" fontId="32" fillId="13" borderId="11" xfId="5" applyFont="1" applyFill="1" applyBorder="1" applyAlignment="1">
      <alignment horizontal="center" vertical="center" wrapText="1"/>
    </xf>
    <xf numFmtId="0" fontId="32" fillId="13" borderId="14" xfId="5" applyFont="1" applyFill="1" applyBorder="1" applyAlignment="1">
      <alignment horizontal="center" vertical="center" wrapText="1"/>
    </xf>
    <xf numFmtId="0" fontId="32" fillId="13" borderId="26" xfId="5" applyFont="1" applyFill="1" applyBorder="1" applyAlignment="1">
      <alignment horizontal="center" vertical="center" wrapText="1"/>
    </xf>
    <xf numFmtId="0" fontId="32" fillId="13" borderId="13" xfId="5" applyFont="1" applyFill="1" applyBorder="1" applyAlignment="1">
      <alignment horizontal="center" vertical="center" wrapText="1"/>
    </xf>
    <xf numFmtId="168" fontId="32" fillId="13" borderId="2" xfId="5" applyNumberFormat="1" applyFont="1" applyFill="1" applyBorder="1" applyAlignment="1">
      <alignment horizontal="center" vertical="center" wrapText="1"/>
    </xf>
    <xf numFmtId="168" fontId="32" fillId="13" borderId="11" xfId="5" applyNumberFormat="1" applyFont="1" applyFill="1" applyBorder="1" applyAlignment="1">
      <alignment horizontal="center" vertical="center" wrapText="1"/>
    </xf>
    <xf numFmtId="0" fontId="27" fillId="13" borderId="14" xfId="0" applyFont="1" applyFill="1" applyBorder="1" applyAlignment="1">
      <alignment horizontal="center" vertical="center" wrapText="1"/>
    </xf>
    <xf numFmtId="0" fontId="27" fillId="13" borderId="26" xfId="0" applyFont="1" applyFill="1" applyBorder="1" applyAlignment="1">
      <alignment horizontal="center" vertical="center" wrapText="1"/>
    </xf>
    <xf numFmtId="0" fontId="27" fillId="13" borderId="13" xfId="0" applyFont="1" applyFill="1" applyBorder="1" applyAlignment="1">
      <alignment horizontal="center" vertical="center" wrapText="1"/>
    </xf>
    <xf numFmtId="0" fontId="51" fillId="0" borderId="0" xfId="0" applyFont="1" applyAlignment="1">
      <alignment horizontal="left" vertical="top" wrapText="1"/>
    </xf>
    <xf numFmtId="170" fontId="32" fillId="13" borderId="14" xfId="5" applyNumberFormat="1" applyFont="1" applyFill="1" applyBorder="1" applyAlignment="1">
      <alignment horizontal="center" vertical="center" wrapText="1"/>
    </xf>
    <xf numFmtId="170" fontId="32" fillId="13" borderId="26" xfId="5" applyNumberFormat="1" applyFont="1" applyFill="1" applyBorder="1" applyAlignment="1">
      <alignment horizontal="center" vertical="center" wrapText="1"/>
    </xf>
    <xf numFmtId="170" fontId="32" fillId="13" borderId="13" xfId="5" applyNumberFormat="1" applyFont="1" applyFill="1" applyBorder="1" applyAlignment="1">
      <alignment horizontal="center" vertical="center" wrapText="1"/>
    </xf>
    <xf numFmtId="0" fontId="0" fillId="0" borderId="0" xfId="0" applyAlignment="1">
      <alignment horizontal="left" vertical="top" wrapText="1"/>
    </xf>
    <xf numFmtId="0" fontId="47" fillId="15" borderId="35" xfId="4" applyFont="1" applyFill="1" applyBorder="1" applyAlignment="1">
      <alignment horizontal="center" vertical="center"/>
    </xf>
    <xf numFmtId="0" fontId="47" fillId="15" borderId="61" xfId="4" applyFont="1" applyFill="1" applyBorder="1" applyAlignment="1">
      <alignment horizontal="center" vertical="center"/>
    </xf>
    <xf numFmtId="0" fontId="47" fillId="15" borderId="35" xfId="4" applyFont="1" applyFill="1" applyBorder="1" applyAlignment="1">
      <alignment horizontal="center" vertical="center" wrapText="1"/>
    </xf>
    <xf numFmtId="0" fontId="47" fillId="15" borderId="61" xfId="4" applyFont="1" applyFill="1" applyBorder="1" applyAlignment="1">
      <alignment horizontal="center" vertical="center" wrapText="1"/>
    </xf>
    <xf numFmtId="0" fontId="0" fillId="0" borderId="25" xfId="0" applyBorder="1" applyAlignment="1">
      <alignment horizontal="center"/>
    </xf>
    <xf numFmtId="0" fontId="20" fillId="0" borderId="37" xfId="0" applyFont="1" applyBorder="1" applyAlignment="1">
      <alignment horizontal="left" vertical="center" wrapText="1" indent="1"/>
    </xf>
    <xf numFmtId="0" fontId="20" fillId="0" borderId="46" xfId="0" applyFont="1" applyBorder="1" applyAlignment="1">
      <alignment horizontal="left" vertical="center" wrapText="1" indent="1"/>
    </xf>
    <xf numFmtId="0" fontId="20" fillId="0" borderId="40" xfId="0" applyFont="1" applyBorder="1" applyAlignment="1">
      <alignment horizontal="left" vertical="center" wrapText="1" indent="1"/>
    </xf>
    <xf numFmtId="0" fontId="1" fillId="4" borderId="2" xfId="0" applyFont="1" applyFill="1" applyBorder="1" applyAlignment="1">
      <alignment horizontal="center"/>
    </xf>
    <xf numFmtId="0" fontId="1" fillId="4" borderId="11" xfId="0" applyFont="1" applyFill="1" applyBorder="1" applyAlignment="1">
      <alignment horizontal="center"/>
    </xf>
    <xf numFmtId="0" fontId="47" fillId="15" borderId="2" xfId="4" applyFont="1" applyFill="1" applyBorder="1" applyAlignment="1">
      <alignment horizontal="center" vertical="center"/>
    </xf>
    <xf numFmtId="0" fontId="47" fillId="15" borderId="11" xfId="4" applyFont="1" applyFill="1" applyBorder="1" applyAlignment="1">
      <alignment horizontal="center" vertical="center"/>
    </xf>
    <xf numFmtId="0" fontId="47" fillId="15" borderId="2" xfId="4" applyFont="1" applyFill="1" applyBorder="1" applyAlignment="1">
      <alignment horizontal="center" vertical="center" wrapText="1"/>
    </xf>
    <xf numFmtId="0" fontId="47" fillId="15" borderId="11" xfId="4" applyFont="1" applyFill="1" applyBorder="1" applyAlignment="1">
      <alignment horizontal="center" vertical="center" wrapText="1"/>
    </xf>
    <xf numFmtId="0" fontId="6" fillId="0" borderId="0" xfId="0" applyFont="1" applyAlignment="1">
      <alignment horizontal="justify" vertical="top" wrapText="1"/>
    </xf>
    <xf numFmtId="0" fontId="0" fillId="0" borderId="1" xfId="0" applyBorder="1" applyAlignment="1">
      <alignment horizontal="center" wrapText="1"/>
    </xf>
    <xf numFmtId="0" fontId="22" fillId="0" borderId="1" xfId="0" applyFont="1" applyBorder="1" applyAlignment="1">
      <alignment horizontal="left" vertical="top" wrapText="1"/>
    </xf>
    <xf numFmtId="0" fontId="22" fillId="0" borderId="1" xfId="0" applyFont="1" applyBorder="1" applyAlignment="1">
      <alignment horizontal="left" vertical="center" wrapText="1"/>
    </xf>
    <xf numFmtId="0" fontId="22" fillId="0" borderId="1" xfId="0" applyFont="1" applyBorder="1" applyAlignment="1">
      <alignment vertical="center" wrapText="1"/>
    </xf>
    <xf numFmtId="0" fontId="0" fillId="0" borderId="1" xfId="0" applyBorder="1" applyAlignment="1">
      <alignment horizontal="left" vertical="center" wrapText="1"/>
    </xf>
    <xf numFmtId="0" fontId="21" fillId="9" borderId="14" xfId="0" applyFont="1" applyFill="1" applyBorder="1" applyAlignment="1">
      <alignment horizontal="center" vertical="top" wrapText="1"/>
    </xf>
    <xf numFmtId="0" fontId="21" fillId="9" borderId="26" xfId="0" applyFont="1" applyFill="1" applyBorder="1" applyAlignment="1">
      <alignment horizontal="center" vertical="top" wrapText="1"/>
    </xf>
    <xf numFmtId="0" fontId="21" fillId="9" borderId="13" xfId="0" applyFont="1" applyFill="1" applyBorder="1" applyAlignment="1">
      <alignment horizontal="center" vertical="top" wrapText="1"/>
    </xf>
  </cellXfs>
  <cellStyles count="326">
    <cellStyle name="Hipervínculo" xfId="316" builtinId="8" hidden="1"/>
    <cellStyle name="Hipervínculo" xfId="318" builtinId="8" hidden="1"/>
    <cellStyle name="Hipervínculo" xfId="322" builtinId="8" hidden="1"/>
    <cellStyle name="Hipervínculo" xfId="324" builtinId="8" hidden="1"/>
    <cellStyle name="Hipervínculo" xfId="320" builtinId="8" hidden="1"/>
    <cellStyle name="Hipervínculo" xfId="312" builtinId="8" hidden="1"/>
    <cellStyle name="Hipervínculo" xfId="314" builtinId="8" hidden="1"/>
    <cellStyle name="Hipervínculo" xfId="310" builtinId="8" hidden="1"/>
    <cellStyle name="Hipervínculo" xfId="308" builtinId="8" hidden="1"/>
    <cellStyle name="Hipervínculo visitado" xfId="321" builtinId="9" hidden="1"/>
    <cellStyle name="Hipervínculo visitado" xfId="323" builtinId="9" hidden="1"/>
    <cellStyle name="Hipervínculo visitado" xfId="325" builtinId="9" hidden="1"/>
    <cellStyle name="Hipervínculo visitado" xfId="319" builtinId="9" hidden="1"/>
    <cellStyle name="Hipervínculo visitado" xfId="313" builtinId="9" hidden="1"/>
    <cellStyle name="Hipervínculo visitado" xfId="315" builtinId="9" hidden="1"/>
    <cellStyle name="Hipervínculo visitado" xfId="317" builtinId="9" hidden="1"/>
    <cellStyle name="Hipervínculo visitado" xfId="311" builtinId="9" hidden="1"/>
    <cellStyle name="Hipervínculo visitado" xfId="309" builtinId="9" hidden="1"/>
    <cellStyle name="Millares" xfId="34" builtinId="3"/>
    <cellStyle name="Millares [0] 2" xfId="15" xr:uid="{00000000-0005-0000-0000-000013000000}"/>
    <cellStyle name="Millares [0] 2 2" xfId="41" xr:uid="{00000000-0005-0000-0000-000014000000}"/>
    <cellStyle name="Millares [0] 2 2 2" xfId="87" xr:uid="{00000000-0005-0000-0000-000015000000}"/>
    <cellStyle name="Millares [0] 2 2 3" xfId="246" xr:uid="{00000000-0005-0000-0000-000016000000}"/>
    <cellStyle name="Millares [0] 2 3" xfId="62" xr:uid="{00000000-0005-0000-0000-000017000000}"/>
    <cellStyle name="Millares [0] 2 4" xfId="228" xr:uid="{00000000-0005-0000-0000-000018000000}"/>
    <cellStyle name="Millares [0] 3" xfId="28" xr:uid="{00000000-0005-0000-0000-000019000000}"/>
    <cellStyle name="Millares [0] 3 2" xfId="49" xr:uid="{00000000-0005-0000-0000-00001A000000}"/>
    <cellStyle name="Millares [0] 3 3" xfId="71" xr:uid="{00000000-0005-0000-0000-00001B000000}"/>
    <cellStyle name="Millares [0] 3 4" xfId="237" xr:uid="{00000000-0005-0000-0000-00001C000000}"/>
    <cellStyle name="Millares 10" xfId="91" xr:uid="{00000000-0005-0000-0000-00001D000000}"/>
    <cellStyle name="Millares 10 2" xfId="247" xr:uid="{00000000-0005-0000-0000-00001E000000}"/>
    <cellStyle name="Millares 11" xfId="82" xr:uid="{00000000-0005-0000-0000-00001F000000}"/>
    <cellStyle name="Millares 11 2" xfId="244" xr:uid="{00000000-0005-0000-0000-000020000000}"/>
    <cellStyle name="Millares 12" xfId="92" xr:uid="{00000000-0005-0000-0000-000021000000}"/>
    <cellStyle name="Millares 12 2" xfId="248" xr:uid="{00000000-0005-0000-0000-000022000000}"/>
    <cellStyle name="Millares 13" xfId="94" xr:uid="{00000000-0005-0000-0000-000023000000}"/>
    <cellStyle name="Millares 13 2" xfId="249" xr:uid="{00000000-0005-0000-0000-000024000000}"/>
    <cellStyle name="Millares 14" xfId="96" xr:uid="{00000000-0005-0000-0000-000025000000}"/>
    <cellStyle name="Millares 14 2" xfId="250" xr:uid="{00000000-0005-0000-0000-000026000000}"/>
    <cellStyle name="Millares 15" xfId="98" xr:uid="{00000000-0005-0000-0000-000027000000}"/>
    <cellStyle name="Millares 15 2" xfId="251" xr:uid="{00000000-0005-0000-0000-000028000000}"/>
    <cellStyle name="Millares 16" xfId="100" xr:uid="{00000000-0005-0000-0000-000029000000}"/>
    <cellStyle name="Millares 16 2" xfId="252" xr:uid="{00000000-0005-0000-0000-00002A000000}"/>
    <cellStyle name="Millares 17" xfId="102" xr:uid="{00000000-0005-0000-0000-00002B000000}"/>
    <cellStyle name="Millares 17 2" xfId="253" xr:uid="{00000000-0005-0000-0000-00002C000000}"/>
    <cellStyle name="Millares 18" xfId="104" xr:uid="{00000000-0005-0000-0000-00002D000000}"/>
    <cellStyle name="Millares 18 2" xfId="254" xr:uid="{00000000-0005-0000-0000-00002E000000}"/>
    <cellStyle name="Millares 19" xfId="106" xr:uid="{00000000-0005-0000-0000-00002F000000}"/>
    <cellStyle name="Millares 19 2" xfId="255" xr:uid="{00000000-0005-0000-0000-000030000000}"/>
    <cellStyle name="Millares 2" xfId="11" xr:uid="{00000000-0005-0000-0000-000031000000}"/>
    <cellStyle name="Millares 2 2" xfId="39" xr:uid="{00000000-0005-0000-0000-000032000000}"/>
    <cellStyle name="Millares 2 3" xfId="60" xr:uid="{00000000-0005-0000-0000-000033000000}"/>
    <cellStyle name="Millares 2 4" xfId="226" xr:uid="{00000000-0005-0000-0000-000034000000}"/>
    <cellStyle name="Millares 20" xfId="108" xr:uid="{00000000-0005-0000-0000-000035000000}"/>
    <cellStyle name="Millares 20 2" xfId="256" xr:uid="{00000000-0005-0000-0000-000036000000}"/>
    <cellStyle name="Millares 21" xfId="110" xr:uid="{00000000-0005-0000-0000-000037000000}"/>
    <cellStyle name="Millares 21 2" xfId="257" xr:uid="{00000000-0005-0000-0000-000038000000}"/>
    <cellStyle name="Millares 22" xfId="112" xr:uid="{00000000-0005-0000-0000-000039000000}"/>
    <cellStyle name="Millares 22 2" xfId="258" xr:uid="{00000000-0005-0000-0000-00003A000000}"/>
    <cellStyle name="Millares 23" xfId="114" xr:uid="{00000000-0005-0000-0000-00003B000000}"/>
    <cellStyle name="Millares 23 2" xfId="259" xr:uid="{00000000-0005-0000-0000-00003C000000}"/>
    <cellStyle name="Millares 24" xfId="116" xr:uid="{00000000-0005-0000-0000-00003D000000}"/>
    <cellStyle name="Millares 24 2" xfId="260" xr:uid="{00000000-0005-0000-0000-00003E000000}"/>
    <cellStyle name="Millares 25" xfId="118" xr:uid="{00000000-0005-0000-0000-00003F000000}"/>
    <cellStyle name="Millares 25 2" xfId="261" xr:uid="{00000000-0005-0000-0000-000040000000}"/>
    <cellStyle name="Millares 26" xfId="120" xr:uid="{00000000-0005-0000-0000-000041000000}"/>
    <cellStyle name="Millares 26 2" xfId="262" xr:uid="{00000000-0005-0000-0000-000042000000}"/>
    <cellStyle name="Millares 27" xfId="122" xr:uid="{00000000-0005-0000-0000-000043000000}"/>
    <cellStyle name="Millares 27 2" xfId="263" xr:uid="{00000000-0005-0000-0000-000044000000}"/>
    <cellStyle name="Millares 28" xfId="124" xr:uid="{00000000-0005-0000-0000-000045000000}"/>
    <cellStyle name="Millares 28 2" xfId="264" xr:uid="{00000000-0005-0000-0000-000046000000}"/>
    <cellStyle name="Millares 29" xfId="126" xr:uid="{00000000-0005-0000-0000-000047000000}"/>
    <cellStyle name="Millares 29 2" xfId="265" xr:uid="{00000000-0005-0000-0000-000048000000}"/>
    <cellStyle name="Millares 3" xfId="13" xr:uid="{00000000-0005-0000-0000-000049000000}"/>
    <cellStyle name="Millares 3 2" xfId="40" xr:uid="{00000000-0005-0000-0000-00004A000000}"/>
    <cellStyle name="Millares 3 3" xfId="61" xr:uid="{00000000-0005-0000-0000-00004B000000}"/>
    <cellStyle name="Millares 3 4" xfId="227" xr:uid="{00000000-0005-0000-0000-00004C000000}"/>
    <cellStyle name="Millares 30" xfId="128" xr:uid="{00000000-0005-0000-0000-00004D000000}"/>
    <cellStyle name="Millares 30 2" xfId="267" xr:uid="{00000000-0005-0000-0000-00004E000000}"/>
    <cellStyle name="Millares 31" xfId="130" xr:uid="{00000000-0005-0000-0000-00004F000000}"/>
    <cellStyle name="Millares 31 2" xfId="268" xr:uid="{00000000-0005-0000-0000-000050000000}"/>
    <cellStyle name="Millares 32" xfId="132" xr:uid="{00000000-0005-0000-0000-000051000000}"/>
    <cellStyle name="Millares 32 2" xfId="269" xr:uid="{00000000-0005-0000-0000-000052000000}"/>
    <cellStyle name="Millares 33" xfId="134" xr:uid="{00000000-0005-0000-0000-000053000000}"/>
    <cellStyle name="Millares 33 2" xfId="270" xr:uid="{00000000-0005-0000-0000-000054000000}"/>
    <cellStyle name="Millares 34" xfId="136" xr:uid="{00000000-0005-0000-0000-000055000000}"/>
    <cellStyle name="Millares 34 2" xfId="271" xr:uid="{00000000-0005-0000-0000-000056000000}"/>
    <cellStyle name="Millares 35" xfId="138" xr:uid="{00000000-0005-0000-0000-000057000000}"/>
    <cellStyle name="Millares 35 2" xfId="272" xr:uid="{00000000-0005-0000-0000-000058000000}"/>
    <cellStyle name="Millares 36" xfId="140" xr:uid="{00000000-0005-0000-0000-000059000000}"/>
    <cellStyle name="Millares 36 2" xfId="273" xr:uid="{00000000-0005-0000-0000-00005A000000}"/>
    <cellStyle name="Millares 37" xfId="142" xr:uid="{00000000-0005-0000-0000-00005B000000}"/>
    <cellStyle name="Millares 37 2" xfId="274" xr:uid="{00000000-0005-0000-0000-00005C000000}"/>
    <cellStyle name="Millares 38" xfId="144" xr:uid="{00000000-0005-0000-0000-00005D000000}"/>
    <cellStyle name="Millares 38 2" xfId="275" xr:uid="{00000000-0005-0000-0000-00005E000000}"/>
    <cellStyle name="Millares 39" xfId="146" xr:uid="{00000000-0005-0000-0000-00005F000000}"/>
    <cellStyle name="Millares 39 2" xfId="276" xr:uid="{00000000-0005-0000-0000-000060000000}"/>
    <cellStyle name="Millares 4" xfId="16" xr:uid="{00000000-0005-0000-0000-000061000000}"/>
    <cellStyle name="Millares 4 2" xfId="42" xr:uid="{00000000-0005-0000-0000-000062000000}"/>
    <cellStyle name="Millares 4 3" xfId="63" xr:uid="{00000000-0005-0000-0000-000063000000}"/>
    <cellStyle name="Millares 4 4" xfId="229" xr:uid="{00000000-0005-0000-0000-000064000000}"/>
    <cellStyle name="Millares 40" xfId="148" xr:uid="{00000000-0005-0000-0000-000065000000}"/>
    <cellStyle name="Millares 40 2" xfId="277" xr:uid="{00000000-0005-0000-0000-000066000000}"/>
    <cellStyle name="Millares 41" xfId="150" xr:uid="{00000000-0005-0000-0000-000067000000}"/>
    <cellStyle name="Millares 41 2" xfId="278" xr:uid="{00000000-0005-0000-0000-000068000000}"/>
    <cellStyle name="Millares 42" xfId="152" xr:uid="{00000000-0005-0000-0000-000069000000}"/>
    <cellStyle name="Millares 42 2" xfId="279" xr:uid="{00000000-0005-0000-0000-00006A000000}"/>
    <cellStyle name="Millares 43" xfId="154" xr:uid="{00000000-0005-0000-0000-00006B000000}"/>
    <cellStyle name="Millares 43 2" xfId="280" xr:uid="{00000000-0005-0000-0000-00006C000000}"/>
    <cellStyle name="Millares 44" xfId="156" xr:uid="{00000000-0005-0000-0000-00006D000000}"/>
    <cellStyle name="Millares 44 2" xfId="281" xr:uid="{00000000-0005-0000-0000-00006E000000}"/>
    <cellStyle name="Millares 45" xfId="158" xr:uid="{00000000-0005-0000-0000-00006F000000}"/>
    <cellStyle name="Millares 45 2" xfId="282" xr:uid="{00000000-0005-0000-0000-000070000000}"/>
    <cellStyle name="Millares 46" xfId="160" xr:uid="{00000000-0005-0000-0000-000071000000}"/>
    <cellStyle name="Millares 46 2" xfId="283" xr:uid="{00000000-0005-0000-0000-000072000000}"/>
    <cellStyle name="Millares 47" xfId="162" xr:uid="{00000000-0005-0000-0000-000073000000}"/>
    <cellStyle name="Millares 47 2" xfId="284" xr:uid="{00000000-0005-0000-0000-000074000000}"/>
    <cellStyle name="Millares 48" xfId="164" xr:uid="{00000000-0005-0000-0000-000075000000}"/>
    <cellStyle name="Millares 48 2" xfId="285" xr:uid="{00000000-0005-0000-0000-000076000000}"/>
    <cellStyle name="Millares 49" xfId="166" xr:uid="{00000000-0005-0000-0000-000077000000}"/>
    <cellStyle name="Millares 49 2" xfId="286" xr:uid="{00000000-0005-0000-0000-000078000000}"/>
    <cellStyle name="Millares 5" xfId="17" xr:uid="{00000000-0005-0000-0000-000079000000}"/>
    <cellStyle name="Millares 5 2" xfId="43" xr:uid="{00000000-0005-0000-0000-00007A000000}"/>
    <cellStyle name="Millares 5 3" xfId="64" xr:uid="{00000000-0005-0000-0000-00007B000000}"/>
    <cellStyle name="Millares 5 4" xfId="230" xr:uid="{00000000-0005-0000-0000-00007C000000}"/>
    <cellStyle name="Millares 50" xfId="168" xr:uid="{00000000-0005-0000-0000-00007D000000}"/>
    <cellStyle name="Millares 50 2" xfId="287" xr:uid="{00000000-0005-0000-0000-00007E000000}"/>
    <cellStyle name="Millares 51" xfId="170" xr:uid="{00000000-0005-0000-0000-00007F000000}"/>
    <cellStyle name="Millares 51 2" xfId="288" xr:uid="{00000000-0005-0000-0000-000080000000}"/>
    <cellStyle name="Millares 52" xfId="172" xr:uid="{00000000-0005-0000-0000-000081000000}"/>
    <cellStyle name="Millares 52 2" xfId="289" xr:uid="{00000000-0005-0000-0000-000082000000}"/>
    <cellStyle name="Millares 53" xfId="174" xr:uid="{00000000-0005-0000-0000-000083000000}"/>
    <cellStyle name="Millares 53 2" xfId="290" xr:uid="{00000000-0005-0000-0000-000084000000}"/>
    <cellStyle name="Millares 54" xfId="176" xr:uid="{00000000-0005-0000-0000-000085000000}"/>
    <cellStyle name="Millares 54 2" xfId="291" xr:uid="{00000000-0005-0000-0000-000086000000}"/>
    <cellStyle name="Millares 55" xfId="178" xr:uid="{00000000-0005-0000-0000-000087000000}"/>
    <cellStyle name="Millares 55 2" xfId="292" xr:uid="{00000000-0005-0000-0000-000088000000}"/>
    <cellStyle name="Millares 56" xfId="180" xr:uid="{00000000-0005-0000-0000-000089000000}"/>
    <cellStyle name="Millares 56 2" xfId="293" xr:uid="{00000000-0005-0000-0000-00008A000000}"/>
    <cellStyle name="Millares 57" xfId="182" xr:uid="{00000000-0005-0000-0000-00008B000000}"/>
    <cellStyle name="Millares 57 2" xfId="294" xr:uid="{00000000-0005-0000-0000-00008C000000}"/>
    <cellStyle name="Millares 58" xfId="184" xr:uid="{00000000-0005-0000-0000-00008D000000}"/>
    <cellStyle name="Millares 58 2" xfId="295" xr:uid="{00000000-0005-0000-0000-00008E000000}"/>
    <cellStyle name="Millares 59" xfId="186" xr:uid="{00000000-0005-0000-0000-00008F000000}"/>
    <cellStyle name="Millares 59 2" xfId="296" xr:uid="{00000000-0005-0000-0000-000090000000}"/>
    <cellStyle name="Millares 6" xfId="26" xr:uid="{00000000-0005-0000-0000-000091000000}"/>
    <cellStyle name="Millares 6 2" xfId="48" xr:uid="{00000000-0005-0000-0000-000092000000}"/>
    <cellStyle name="Millares 6 3" xfId="70" xr:uid="{00000000-0005-0000-0000-000093000000}"/>
    <cellStyle name="Millares 6 4" xfId="236" xr:uid="{00000000-0005-0000-0000-000094000000}"/>
    <cellStyle name="Millares 60" xfId="188" xr:uid="{00000000-0005-0000-0000-000095000000}"/>
    <cellStyle name="Millares 60 2" xfId="297" xr:uid="{00000000-0005-0000-0000-000096000000}"/>
    <cellStyle name="Millares 61" xfId="190" xr:uid="{00000000-0005-0000-0000-000097000000}"/>
    <cellStyle name="Millares 61 2" xfId="298" xr:uid="{00000000-0005-0000-0000-000098000000}"/>
    <cellStyle name="Millares 62" xfId="192" xr:uid="{00000000-0005-0000-0000-000099000000}"/>
    <cellStyle name="Millares 62 2" xfId="299" xr:uid="{00000000-0005-0000-0000-00009A000000}"/>
    <cellStyle name="Millares 63" xfId="194" xr:uid="{00000000-0005-0000-0000-00009B000000}"/>
    <cellStyle name="Millares 63 2" xfId="300" xr:uid="{00000000-0005-0000-0000-00009C000000}"/>
    <cellStyle name="Millares 64" xfId="196" xr:uid="{00000000-0005-0000-0000-00009D000000}"/>
    <cellStyle name="Millares 64 2" xfId="301" xr:uid="{00000000-0005-0000-0000-00009E000000}"/>
    <cellStyle name="Millares 65" xfId="75" xr:uid="{00000000-0005-0000-0000-00009F000000}"/>
    <cellStyle name="Millares 66" xfId="197" xr:uid="{00000000-0005-0000-0000-0000A0000000}"/>
    <cellStyle name="Millares 67" xfId="206" xr:uid="{00000000-0005-0000-0000-0000A1000000}"/>
    <cellStyle name="Millares 68" xfId="203" xr:uid="{00000000-0005-0000-0000-0000A2000000}"/>
    <cellStyle name="Millares 69" xfId="199" xr:uid="{00000000-0005-0000-0000-0000A3000000}"/>
    <cellStyle name="Millares 7" xfId="31" xr:uid="{00000000-0005-0000-0000-0000A4000000}"/>
    <cellStyle name="Millares 7 2" xfId="51" xr:uid="{00000000-0005-0000-0000-0000A5000000}"/>
    <cellStyle name="Millares 7 3" xfId="73" xr:uid="{00000000-0005-0000-0000-0000A6000000}"/>
    <cellStyle name="Millares 7 4" xfId="239" xr:uid="{00000000-0005-0000-0000-0000A7000000}"/>
    <cellStyle name="Millares 70" xfId="213" xr:uid="{00000000-0005-0000-0000-0000A8000000}"/>
    <cellStyle name="Millares 71" xfId="208" xr:uid="{00000000-0005-0000-0000-0000A9000000}"/>
    <cellStyle name="Millares 72" xfId="217" xr:uid="{00000000-0005-0000-0000-0000AA000000}"/>
    <cellStyle name="Millares 73" xfId="220" xr:uid="{00000000-0005-0000-0000-0000AB000000}"/>
    <cellStyle name="Millares 74" xfId="219" xr:uid="{00000000-0005-0000-0000-0000AC000000}"/>
    <cellStyle name="Millares 75" xfId="204" xr:uid="{00000000-0005-0000-0000-0000AD000000}"/>
    <cellStyle name="Millares 76" xfId="214" xr:uid="{00000000-0005-0000-0000-0000AE000000}"/>
    <cellStyle name="Millares 77" xfId="211" xr:uid="{00000000-0005-0000-0000-0000AF000000}"/>
    <cellStyle name="Millares 78" xfId="216" xr:uid="{00000000-0005-0000-0000-0000B0000000}"/>
    <cellStyle name="Millares 79" xfId="241" xr:uid="{00000000-0005-0000-0000-0000B1000000}"/>
    <cellStyle name="Millares 8" xfId="53" xr:uid="{00000000-0005-0000-0000-0000B2000000}"/>
    <cellStyle name="Millares 8 2" xfId="78" xr:uid="{00000000-0005-0000-0000-0000B3000000}"/>
    <cellStyle name="Millares 8 3" xfId="242" xr:uid="{00000000-0005-0000-0000-0000B4000000}"/>
    <cellStyle name="Millares 80" xfId="235" xr:uid="{00000000-0005-0000-0000-0000B5000000}"/>
    <cellStyle name="Millares 81" xfId="302" xr:uid="{00000000-0005-0000-0000-0000B6000000}"/>
    <cellStyle name="Millares 82" xfId="304" xr:uid="{00000000-0005-0000-0000-0000B7000000}"/>
    <cellStyle name="Millares 83" xfId="266" xr:uid="{00000000-0005-0000-0000-0000B8000000}"/>
    <cellStyle name="Millares 9" xfId="80" xr:uid="{00000000-0005-0000-0000-0000B9000000}"/>
    <cellStyle name="Millares 9 2" xfId="243" xr:uid="{00000000-0005-0000-0000-0000BA000000}"/>
    <cellStyle name="Moneda" xfId="1" builtinId="4"/>
    <cellStyle name="Moneda [0] 2" xfId="27" xr:uid="{00000000-0005-0000-0000-0000BC000000}"/>
    <cellStyle name="Moneda 10" xfId="35" xr:uid="{00000000-0005-0000-0000-0000BD000000}"/>
    <cellStyle name="Moneda 10 2" xfId="79" xr:uid="{00000000-0005-0000-0000-0000BE000000}"/>
    <cellStyle name="Moneda 11" xfId="77" xr:uid="{00000000-0005-0000-0000-0000BF000000}"/>
    <cellStyle name="Moneda 12" xfId="90" xr:uid="{00000000-0005-0000-0000-0000C0000000}"/>
    <cellStyle name="Moneda 13" xfId="89" xr:uid="{00000000-0005-0000-0000-0000C1000000}"/>
    <cellStyle name="Moneda 14" xfId="88" xr:uid="{00000000-0005-0000-0000-0000C2000000}"/>
    <cellStyle name="Moneda 15" xfId="93" xr:uid="{00000000-0005-0000-0000-0000C3000000}"/>
    <cellStyle name="Moneda 16" xfId="95" xr:uid="{00000000-0005-0000-0000-0000C4000000}"/>
    <cellStyle name="Moneda 17" xfId="97" xr:uid="{00000000-0005-0000-0000-0000C5000000}"/>
    <cellStyle name="Moneda 18" xfId="99" xr:uid="{00000000-0005-0000-0000-0000C6000000}"/>
    <cellStyle name="Moneda 19" xfId="7" xr:uid="{00000000-0005-0000-0000-0000C7000000}"/>
    <cellStyle name="Moneda 2" xfId="8" xr:uid="{00000000-0005-0000-0000-0000C8000000}"/>
    <cellStyle name="Moneda 2 2" xfId="38" xr:uid="{00000000-0005-0000-0000-0000C9000000}"/>
    <cellStyle name="Moneda 2 2 2" xfId="86" xr:uid="{00000000-0005-0000-0000-0000CA000000}"/>
    <cellStyle name="Moneda 2 2 3" xfId="245" xr:uid="{00000000-0005-0000-0000-0000CB000000}"/>
    <cellStyle name="Moneda 2 3" xfId="59" xr:uid="{00000000-0005-0000-0000-0000CC000000}"/>
    <cellStyle name="Moneda 2 4" xfId="225" xr:uid="{00000000-0005-0000-0000-0000CD000000}"/>
    <cellStyle name="Moneda 20" xfId="101" xr:uid="{00000000-0005-0000-0000-0000CE000000}"/>
    <cellStyle name="Moneda 21" xfId="103" xr:uid="{00000000-0005-0000-0000-0000CF000000}"/>
    <cellStyle name="Moneda 22" xfId="105" xr:uid="{00000000-0005-0000-0000-0000D0000000}"/>
    <cellStyle name="Moneda 23" xfId="107" xr:uid="{00000000-0005-0000-0000-0000D1000000}"/>
    <cellStyle name="Moneda 24" xfId="109" xr:uid="{00000000-0005-0000-0000-0000D2000000}"/>
    <cellStyle name="Moneda 25" xfId="111" xr:uid="{00000000-0005-0000-0000-0000D3000000}"/>
    <cellStyle name="Moneda 26" xfId="113" xr:uid="{00000000-0005-0000-0000-0000D4000000}"/>
    <cellStyle name="Moneda 27" xfId="115" xr:uid="{00000000-0005-0000-0000-0000D5000000}"/>
    <cellStyle name="Moneda 28" xfId="117" xr:uid="{00000000-0005-0000-0000-0000D6000000}"/>
    <cellStyle name="Moneda 29" xfId="119" xr:uid="{00000000-0005-0000-0000-0000D7000000}"/>
    <cellStyle name="Moneda 3" xfId="18" xr:uid="{00000000-0005-0000-0000-0000D8000000}"/>
    <cellStyle name="Moneda 3 2" xfId="44" xr:uid="{00000000-0005-0000-0000-0000D9000000}"/>
    <cellStyle name="Moneda 3 3" xfId="65" xr:uid="{00000000-0005-0000-0000-0000DA000000}"/>
    <cellStyle name="Moneda 3 4" xfId="231" xr:uid="{00000000-0005-0000-0000-0000DB000000}"/>
    <cellStyle name="Moneda 30" xfId="121" xr:uid="{00000000-0005-0000-0000-0000DC000000}"/>
    <cellStyle name="Moneda 31" xfId="123" xr:uid="{00000000-0005-0000-0000-0000DD000000}"/>
    <cellStyle name="Moneda 32" xfId="125" xr:uid="{00000000-0005-0000-0000-0000DE000000}"/>
    <cellStyle name="Moneda 33" xfId="127" xr:uid="{00000000-0005-0000-0000-0000DF000000}"/>
    <cellStyle name="Moneda 34" xfId="129" xr:uid="{00000000-0005-0000-0000-0000E0000000}"/>
    <cellStyle name="Moneda 35" xfId="131" xr:uid="{00000000-0005-0000-0000-0000E1000000}"/>
    <cellStyle name="Moneda 36" xfId="133" xr:uid="{00000000-0005-0000-0000-0000E2000000}"/>
    <cellStyle name="Moneda 37" xfId="135" xr:uid="{00000000-0005-0000-0000-0000E3000000}"/>
    <cellStyle name="Moneda 38" xfId="137" xr:uid="{00000000-0005-0000-0000-0000E4000000}"/>
    <cellStyle name="Moneda 39" xfId="139" xr:uid="{00000000-0005-0000-0000-0000E5000000}"/>
    <cellStyle name="Moneda 4" xfId="23" xr:uid="{00000000-0005-0000-0000-0000E6000000}"/>
    <cellStyle name="Moneda 4 2" xfId="47" xr:uid="{00000000-0005-0000-0000-0000E7000000}"/>
    <cellStyle name="Moneda 4 3" xfId="68" xr:uid="{00000000-0005-0000-0000-0000E8000000}"/>
    <cellStyle name="Moneda 4 4" xfId="234" xr:uid="{00000000-0005-0000-0000-0000E9000000}"/>
    <cellStyle name="Moneda 40" xfId="141" xr:uid="{00000000-0005-0000-0000-0000EA000000}"/>
    <cellStyle name="Moneda 41" xfId="143" xr:uid="{00000000-0005-0000-0000-0000EB000000}"/>
    <cellStyle name="Moneda 42" xfId="145" xr:uid="{00000000-0005-0000-0000-0000EC000000}"/>
    <cellStyle name="Moneda 43" xfId="147" xr:uid="{00000000-0005-0000-0000-0000ED000000}"/>
    <cellStyle name="Moneda 44" xfId="149" xr:uid="{00000000-0005-0000-0000-0000EE000000}"/>
    <cellStyle name="Moneda 45" xfId="151" xr:uid="{00000000-0005-0000-0000-0000EF000000}"/>
    <cellStyle name="Moneda 46" xfId="153" xr:uid="{00000000-0005-0000-0000-0000F0000000}"/>
    <cellStyle name="Moneda 47" xfId="155" xr:uid="{00000000-0005-0000-0000-0000F1000000}"/>
    <cellStyle name="Moneda 48" xfId="157" xr:uid="{00000000-0005-0000-0000-0000F2000000}"/>
    <cellStyle name="Moneda 49" xfId="159" xr:uid="{00000000-0005-0000-0000-0000F3000000}"/>
    <cellStyle name="Moneda 5" xfId="19" xr:uid="{00000000-0005-0000-0000-0000F4000000}"/>
    <cellStyle name="Moneda 5 2" xfId="20" xr:uid="{00000000-0005-0000-0000-0000F5000000}"/>
    <cellStyle name="Moneda 5 2 2" xfId="46" xr:uid="{00000000-0005-0000-0000-0000F6000000}"/>
    <cellStyle name="Moneda 5 2 3" xfId="67" xr:uid="{00000000-0005-0000-0000-0000F7000000}"/>
    <cellStyle name="Moneda 5 2 4" xfId="233" xr:uid="{00000000-0005-0000-0000-0000F8000000}"/>
    <cellStyle name="Moneda 5 3" xfId="45" xr:uid="{00000000-0005-0000-0000-0000F9000000}"/>
    <cellStyle name="Moneda 5 4" xfId="66" xr:uid="{00000000-0005-0000-0000-0000FA000000}"/>
    <cellStyle name="Moneda 5 5" xfId="232" xr:uid="{00000000-0005-0000-0000-0000FB000000}"/>
    <cellStyle name="Moneda 50" xfId="161" xr:uid="{00000000-0005-0000-0000-0000FC000000}"/>
    <cellStyle name="Moneda 51" xfId="163" xr:uid="{00000000-0005-0000-0000-0000FD000000}"/>
    <cellStyle name="Moneda 52" xfId="165" xr:uid="{00000000-0005-0000-0000-0000FE000000}"/>
    <cellStyle name="Moneda 53" xfId="167" xr:uid="{00000000-0005-0000-0000-0000FF000000}"/>
    <cellStyle name="Moneda 54" xfId="169" xr:uid="{00000000-0005-0000-0000-000000010000}"/>
    <cellStyle name="Moneda 55" xfId="171" xr:uid="{00000000-0005-0000-0000-000001010000}"/>
    <cellStyle name="Moneda 56" xfId="173" xr:uid="{00000000-0005-0000-0000-000002010000}"/>
    <cellStyle name="Moneda 57" xfId="175" xr:uid="{00000000-0005-0000-0000-000003010000}"/>
    <cellStyle name="Moneda 58" xfId="177" xr:uid="{00000000-0005-0000-0000-000004010000}"/>
    <cellStyle name="Moneda 59" xfId="179" xr:uid="{00000000-0005-0000-0000-000005010000}"/>
    <cellStyle name="Moneda 6" xfId="3" xr:uid="{00000000-0005-0000-0000-000006010000}"/>
    <cellStyle name="Moneda 6 2" xfId="37" xr:uid="{00000000-0005-0000-0000-000007010000}"/>
    <cellStyle name="Moneda 6 3" xfId="57" xr:uid="{00000000-0005-0000-0000-000008010000}"/>
    <cellStyle name="Moneda 6 4" xfId="224" xr:uid="{00000000-0005-0000-0000-000009010000}"/>
    <cellStyle name="Moneda 60" xfId="181" xr:uid="{00000000-0005-0000-0000-00000A010000}"/>
    <cellStyle name="Moneda 61" xfId="183" xr:uid="{00000000-0005-0000-0000-00000B010000}"/>
    <cellStyle name="Moneda 62" xfId="185" xr:uid="{00000000-0005-0000-0000-00000C010000}"/>
    <cellStyle name="Moneda 63" xfId="187" xr:uid="{00000000-0005-0000-0000-00000D010000}"/>
    <cellStyle name="Moneda 64" xfId="189" xr:uid="{00000000-0005-0000-0000-00000E010000}"/>
    <cellStyle name="Moneda 65" xfId="191" xr:uid="{00000000-0005-0000-0000-00000F010000}"/>
    <cellStyle name="Moneda 66" xfId="193" xr:uid="{00000000-0005-0000-0000-000010010000}"/>
    <cellStyle name="Moneda 67" xfId="195" xr:uid="{00000000-0005-0000-0000-000011010000}"/>
    <cellStyle name="Moneda 68" xfId="55" xr:uid="{00000000-0005-0000-0000-000012010000}"/>
    <cellStyle name="Moneda 69" xfId="69" xr:uid="{00000000-0005-0000-0000-000013010000}"/>
    <cellStyle name="Moneda 7" xfId="2" xr:uid="{00000000-0005-0000-0000-000014010000}"/>
    <cellStyle name="Moneda 7 2" xfId="36" xr:uid="{00000000-0005-0000-0000-000015010000}"/>
    <cellStyle name="Moneda 7 3" xfId="56" xr:uid="{00000000-0005-0000-0000-000016010000}"/>
    <cellStyle name="Moneda 7 4" xfId="223" xr:uid="{00000000-0005-0000-0000-000017010000}"/>
    <cellStyle name="Moneda 70" xfId="58" xr:uid="{00000000-0005-0000-0000-000018010000}"/>
    <cellStyle name="Moneda 71" xfId="209" xr:uid="{00000000-0005-0000-0000-000019010000}"/>
    <cellStyle name="Moneda 72" xfId="201" xr:uid="{00000000-0005-0000-0000-00001A010000}"/>
    <cellStyle name="Moneda 73" xfId="205" xr:uid="{00000000-0005-0000-0000-00001B010000}"/>
    <cellStyle name="Moneda 74" xfId="215" xr:uid="{00000000-0005-0000-0000-00001C010000}"/>
    <cellStyle name="Moneda 75" xfId="212" xr:uid="{00000000-0005-0000-0000-00001D010000}"/>
    <cellStyle name="Moneda 76" xfId="200" xr:uid="{00000000-0005-0000-0000-00001E010000}"/>
    <cellStyle name="Moneda 77" xfId="221" xr:uid="{00000000-0005-0000-0000-00001F010000}"/>
    <cellStyle name="Moneda 78" xfId="210" xr:uid="{00000000-0005-0000-0000-000020010000}"/>
    <cellStyle name="Moneda 79" xfId="207" xr:uid="{00000000-0005-0000-0000-000021010000}"/>
    <cellStyle name="Moneda 8" xfId="30" xr:uid="{00000000-0005-0000-0000-000022010000}"/>
    <cellStyle name="Moneda 8 2" xfId="50" xr:uid="{00000000-0005-0000-0000-000023010000}"/>
    <cellStyle name="Moneda 8 3" xfId="72" xr:uid="{00000000-0005-0000-0000-000024010000}"/>
    <cellStyle name="Moneda 8 4" xfId="238" xr:uid="{00000000-0005-0000-0000-000025010000}"/>
    <cellStyle name="Moneda 80" xfId="202" xr:uid="{00000000-0005-0000-0000-000026010000}"/>
    <cellStyle name="Moneda 81" xfId="218" xr:uid="{00000000-0005-0000-0000-000027010000}"/>
    <cellStyle name="Moneda 82" xfId="222" xr:uid="{00000000-0005-0000-0000-000028010000}"/>
    <cellStyle name="Moneda 83" xfId="303" xr:uid="{00000000-0005-0000-0000-000029010000}"/>
    <cellStyle name="Moneda 84" xfId="305" xr:uid="{00000000-0005-0000-0000-00002A010000}"/>
    <cellStyle name="Moneda 85" xfId="306" xr:uid="{00000000-0005-0000-0000-00002B010000}"/>
    <cellStyle name="Moneda 86" xfId="307" xr:uid="{00000000-0005-0000-0000-00002C010000}"/>
    <cellStyle name="Moneda 9" xfId="33" xr:uid="{00000000-0005-0000-0000-00002D010000}"/>
    <cellStyle name="Moneda 9 2" xfId="52" xr:uid="{00000000-0005-0000-0000-00002E010000}"/>
    <cellStyle name="Moneda 9 3" xfId="74" xr:uid="{00000000-0005-0000-0000-00002F010000}"/>
    <cellStyle name="Moneda 9 4" xfId="240" xr:uid="{00000000-0005-0000-0000-000030010000}"/>
    <cellStyle name="Normal" xfId="0" builtinId="0"/>
    <cellStyle name="Normal 12" xfId="81" xr:uid="{00000000-0005-0000-0000-000032010000}"/>
    <cellStyle name="Normal 2" xfId="21" xr:uid="{00000000-0005-0000-0000-000033010000}"/>
    <cellStyle name="Normal 2 2" xfId="5" xr:uid="{00000000-0005-0000-0000-000034010000}"/>
    <cellStyle name="Normal 2 2 2" xfId="85" xr:uid="{00000000-0005-0000-0000-000035010000}"/>
    <cellStyle name="Normal 2_NAZARETH CONVENIO INTERADMINISTRATIVO" xfId="6" xr:uid="{00000000-0005-0000-0000-000036010000}"/>
    <cellStyle name="Normal 3" xfId="9" xr:uid="{00000000-0005-0000-0000-000037010000}"/>
    <cellStyle name="Normal 4" xfId="12" xr:uid="{00000000-0005-0000-0000-000038010000}"/>
    <cellStyle name="Normal 4 2" xfId="83" xr:uid="{00000000-0005-0000-0000-000039010000}"/>
    <cellStyle name="Normal 5" xfId="4" xr:uid="{00000000-0005-0000-0000-00003A010000}"/>
    <cellStyle name="Normal 6" xfId="22" xr:uid="{00000000-0005-0000-0000-00003B010000}"/>
    <cellStyle name="Normal 7" xfId="25" xr:uid="{00000000-0005-0000-0000-00003C010000}"/>
    <cellStyle name="Normal 8" xfId="32" xr:uid="{00000000-0005-0000-0000-00003D010000}"/>
    <cellStyle name="Normal 9" xfId="76" xr:uid="{00000000-0005-0000-0000-00003E010000}"/>
    <cellStyle name="Normal 9 2" xfId="198" xr:uid="{00000000-0005-0000-0000-00003F010000}"/>
    <cellStyle name="Porcentaje" xfId="54" builtinId="5"/>
    <cellStyle name="Porcentaje 2" xfId="14" xr:uid="{00000000-0005-0000-0000-000040010000}"/>
    <cellStyle name="Porcentaje 2 2" xfId="84" xr:uid="{00000000-0005-0000-0000-000041010000}"/>
    <cellStyle name="Porcentaje 3" xfId="10" xr:uid="{00000000-0005-0000-0000-000042010000}"/>
    <cellStyle name="Porcentaje 4" xfId="24" xr:uid="{00000000-0005-0000-0000-000043010000}"/>
    <cellStyle name="Porcentaje 5" xfId="29" xr:uid="{00000000-0005-0000-0000-000044010000}"/>
  </cellStyles>
  <dxfs count="3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auto="1"/>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ill>
        <patternFill>
          <bgColor rgb="FFFF0000"/>
        </patternFill>
      </fill>
    </dxf>
    <dxf>
      <fill>
        <patternFill>
          <bgColor rgb="FFFF0000"/>
        </patternFill>
      </fill>
    </dxf>
    <dxf>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ill>
        <patternFill>
          <bgColor rgb="FFFF0000"/>
        </patternFill>
      </fill>
    </dxf>
    <dxf>
      <font>
        <color auto="1"/>
      </font>
      <fill>
        <patternFill>
          <bgColor rgb="FFFF0000"/>
        </patternFill>
      </fill>
    </dxf>
    <dxf>
      <fill>
        <patternFill>
          <bgColor rgb="FFFF0000"/>
        </patternFill>
      </fill>
    </dxf>
    <dxf>
      <font>
        <color rgb="FF9C0006"/>
      </font>
      <fill>
        <patternFill>
          <bgColor rgb="FFFFC7CE"/>
        </patternFill>
      </fill>
    </dxf>
  </dxfs>
  <tableStyles count="0" defaultTableStyle="TableStyleMedium2" defaultPivotStyle="PivotStyleLight16"/>
  <colors>
    <mruColors>
      <color rgb="FFFF66FF"/>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1.xml"/><Relationship Id="rId36"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 Id="rId35" Type="http://schemas.openxmlformats.org/officeDocument/2006/relationships/customXml" Target="../customXml/item2.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409</xdr:row>
      <xdr:rowOff>0</xdr:rowOff>
    </xdr:from>
    <xdr:to>
      <xdr:col>1</xdr:col>
      <xdr:colOff>304800</xdr:colOff>
      <xdr:row>410</xdr:row>
      <xdr:rowOff>146957</xdr:rowOff>
    </xdr:to>
    <xdr:sp macro="" textlink="">
      <xdr:nvSpPr>
        <xdr:cNvPr id="2" name="AutoShape 3" descr="data:image/png;base64,iVBORw0KGgoAAAANSUhEUgAAAaEAAAAXCAYAAACiTPAeAAAAAXNSR0IArs4c6QAAE4ZJREFUeF7tnHlcjmn7xr8hkgxZZ4YxtncG8zKDsWVQqSgqFElIJa2klPY9afGUskuKNFOWCdm3alKyxWuJLGM0dmULKfX0+xRmSr2/HvO21/3X8/k813Pd53mcx3Me933d132IFRYWFvKJR+/uPUi/mSjCr/JIdpmBxTMzTgcPJzU2AX4YSKv/bMLK7jyjwsOx+7E5eUkCxpm/IO6cOzw/jMXYYN5Y+KB13RvLS/JYdo0hvIk5oQs/Y8s8Z1Ll5vD1jq3k/jVmHOGzb2CyJBfzEDVu2rhyaXIIUaY9aCpClN/2GiViPiJM1jikfiGQf4PgyUYcG7uO7Qt70+x9dsLMvZgphtPafSmTLi/BPFWB7VGa/Ok4HadCGxJ9B5Ng9+HzcLK2OTB+hRSu68dz2dqBcxM3EGncTSR+1i9AG7MpD4Gq70HZ7DHXxuuNPuu0/8BuQTrqO1dj/K+iDvmWiwFWrO/mRpBme/KP+6Oy6ivClkvgNvkS0+OcUGxROXUryvM/F8+Wmkys2kQosBdbLewQHLtHjlR35Iys8TT4N59BaREij/QtHlgsO8EDyX7o+nsxV3IPVlYRJN8rpPPgSbgs1+OLQ16lxlj8mMkvls4Exj2m5Q/T8F1tgIx0E5GQq3oCiBRG46DaiMB/ESF4Q9omDywDU3jUegD6/p6YDW9O4l/CU1KEZCDnGhFWbgTFZyL143R8V85hWBvR+FkbYWmMqXIRqI4elJf+K4vMQoh/IMH3eo6ssPyR4haZfRxHg1OohFsxUhJ4mYpA15ud9wvppGJDqMNw2lYSVWtAhCq3UFU1W3UQoKpib5y3EYFGBOo+Ag2lB1WqCCWf3F33K/8+A5lhatSnfOpNYRoTaUSggSDQUHpQUZ7H4g9XznKcdLu29YYeT588oz7lU28K05hIIwINBIGG0oOK85QurR1V/EyobjCoodwK141qVHOU+c+5ff0JEt170LllNZ+78XSNCLxHoKH0oEpdjqt4d1w2JzasZc8NIRLfq+Os3QcKMtgbGEVyphBoSmfZmRh9d4M1fttJedSCb9TmYK3Th/yTUfiuTuKe5L/RsZvLeOkLbPQ7zM0CCQZom6E1QBxh1jk2+kRw7K4EA2eZYTFOkvMbVrP26ANaDpqCraUc3ZqLxvGGQgDR0KihUS/S2R68hdiLWYgPmMYSe1k6V9LD0P+akfAJey31sUuQZFpgGM5yJbcAFfDn/nCiX8uyQKMXIlKpcsHLOYjZ0M18vTmcxQPFRZ5b+DKTTNrRSaokgG84sFAD/7ae7HcbVDP5iJxBwxtY9T2ogFuxoYQmPaFoO3STz4djqNOavR7hJGRJM8bcEiMZaYoY8+xgEF731PDR6/HXbtDKqkj1ipDwOXGBvqyPPc31AQ6cCZaDV0dYMHIVL9QnMkhajHaDR9PqZwv8X09hsewdVvtdR2HjfF7bOXNhzDzk7mxhs5g+O/3as9Uxkj3HbzHAL4ZAFUh2mY35f4ZhKX+f9eFiGLl3JszpKqMWyXB37XawCGPd9M7FoFZ0VD0BKoqggX8vfMwuc0Pc//gRc+MRSL2RYozmsKoXobyL+KhY8btRDOunSpUuQs45lmhH0HWZH7q9P2zMruY6/SMRymaniSYehZakrh1fIuBGEarm6n3S6aq+B71mr5kGPi8UmTq4DWLt+6PQZCvGx8ewQi4F89hBbNukQefCu4QbBlDg5IdBT1FecPmkNKleESqOreR7QnIUXN+E1tQ0tBN80WhT9PV5vMbZcMcshrWq57H9yZVMrck83niJiXtXMeuKJ6Ndm+F93AlFzuCm4MJz+18JVLrNcjVTTqiF8bPuTaxlBLwa2Y6UB+PYFa3BVaspuDezI0EwGlG2t1c9AT6tUA1tdMHNLWir7WPgpjDsfxSlYpWEUN4FfJQXkWEey+rJEqUmzT0bRfDvI7Cc+nWlXw2KHL3IIvSWcwIzbDNnEbt0FPm3LnBVrDeDuxftt/1wNIqQyLjXwMAq70EFt1ijYcJ5nW2sm9oayCct0BgXMTsilRLQts7DdacJfS+uYU5Eb1YGKNJOlCv4T8SqxkUo99hSFFxymOc7A/kf+tClZSbnDqSS138sQ8S2M1txC5+b/sTpNZmYp/ijfjkA5bkPMDnhh2aLEiI09hKuY225t2AnIerX8VCy4WKXz0hvacDxUCXSXGdidFeXxA0Tit9DquiocgJUFEAD//7lTgdGe7XEN9EZxQ/PZYSZJK8PY+e9bsh8L+RlBzmmdb/JL/G5fCF+jVufa6AgjOP4CynenDvNzVYjMLRU4l/iTzkTuZmtZ1/zudxUjNR704rXXN0VSURCFt0mGWI0uj0g5FHSRhYtjOSJjAl2iyfxdfouEnI6IX45g45KPbiTKoas7ghapvzCil8f0nNkX4QvpRmvM4DsPWXne3pmP9v++BqtKX15Hv8rccigK9/lXXWF5cRVkMHRTSd5JZ3Hmd/u0HXyZPqk7WL3zdaMmaePatc4zIZuQnKuPM0zsumrM5cZg1py68A2kiVkmTFKyG+bE8nr153LgZ6EZw/H2t4A2bwkjhWOYM7YrlDwkIQ1Yex59BWd7kRyoJtX8XLc26uHWB9+ggetv0fLVI1B0m/KwaiBE7Ma06/yHpSbhINsAK+M7Zmr0I/+XZqTFmCMS9P3IrQoF5eYWTxwtCV1aiAOw6rmYrCGRWgMmTu80Qu5wvMHd3nWfjyCqMUodiyS2wJurDFlSngXvF2a47P4BTZnvFG+vBJV3ZvMSRCg3Tr17zuhsak4jnHhmd0eVqlcw0fZkhPtWvFHezNS1sqTtkQX/fRpHAufRHsR1LzKCVCNZK57pyrgz5D5TIjuR/g+cwa9f/iSmyRA2eQig3T7kbFlH1nqAewccwgV09/oNEGLuQbqNN84C4tT36E/uTmH1l1g0OpoHAsDmeD6GJWpHUjZdAPZiHWY5m9kyuwU+umPokdvRYxUuhZz7s6+AMwc9pL9nSYLPfRpEzIDs0MdUDHQYWbPk5h5FOJ5UJH4iQ6kDp7KgIwYYjIVWS9ohe/cj+eDnENejPVqybKD2lydY0CSegShMzoUl+TVMZ8ycS3olYLtKGfODprBRLEjhMQ3QdZAAfEDP3N2yBISXZ5jNmgpF4drMrFpAlseK7N1xwxuWU3Br60HBx3z8ZDz4JXJfFr9EsTOnL7MtprPsKRF710bZMiJ80FpwVWGzelHRsQ+siYFsN9ejGUqDqT8MIVBd3Zz9EsrYvSuo18Go7rHproacVX3IGHmfuxm/8zF54/JeNqOSYFBzH+8lOmnlQlVSEY/qh+R3uDunIetXz+SQg6QXtgTVeOpjOgkQhMVEfgaFiG5v8IseByP/RRPMnTC3lmXvDyBk7ITFyavInJgDOPnZ7P4tDfKaStRnX0T3QQBMz4SIYfRrjy3j2WVynV8lBdyQlqS2x3NObFGniveuuhdncrR8Ml0EAG/qiaAiPVpoMMK+H2tKZNiBhIRa8z3xSJUwPUVRkxNVmLfFhVOmWuyorP3OxGyfoNjohvjJXM5ajMNt6Z2HHUXx1vBmae2W5l13gjrTG2W63fiqKszlzSjWPN1KOOts1kU64Zq8UXP+6PUcpxYsc3O4pwFxAXJ0TTOBwWHQtxDvmDV9LOoHlqOxklnZJd3ZLlbPs72ZecTPvwVfaU4ZLdN4IzOHgbtCEK/2ztblDNeumXiCtVMw360gGY+0bggQMFRDM84K1os0WHBM1NO++ZhNiSUziFbsBNfj6ren8xLckfSqbQIvXaORvu0ISaP55G4YiSn/nJtGEp6kDFaKaVx3K2egubs39GLX4b6RR8UbAtw9GmOTzk5NVBSVnva1daDCrI4aGuEze3JxKzoyS7HUOKz2jJmgTXyZ73Y1NsV/d8XY3NXFX3xGMJb27DLaUClbWSpNSIEOew2UUfQwZvDngO5H2bJ5DVtcd/nxrjLyxhrksXCU76oXl6Osv4djJKXMU2i5HLceZzkHHlsGcs69XQ8law5/3lrrksZkrxBiTT3mRjenslvG1UpevRU0VFtBKgokAb5vZDMyEXIr/6SVcdsGFW8CvCWs0t0MciYTfI6OU7aarGkpQsxRSLk3IQlRxczusU7EXIXt+eIa3N8lBzJsolGLUEHi8NNaNeqqPk3o79pEMFTc4g0XMjKbFVWbDRg2AcPknJEyKWJLYe9h1P4XoRcA1rjb3gXk1NLUU5ZioKnBP671blmXs58+ekEqjvwQH4IqYmdWbVdj2+K9zQUxapZNi7NmziMDkDcLwqXwkAUHMHzmCUSPrOYn2XMqSIRGhbFt9EhmDWLRGvyGSYe8qWzj2apO6H/LkJDysdx1AHG2wlxO+6E3LUQpmhfY1a8CTmLysmpQXKy+pOuzh70epcDI/3bseqoNTIfVt1e/Ia9YSpq4cY8s51G7JgoBJJ+KMQM5eB6FT7atvOPAao9IiR8SLiODjsGryTG5CVLJtpxXn010Qu/gdTVqM+8gtbhILSvLEXWOg+XE+4oNykhQgo38JtgwQXtSDbr3MB+lBcPf2hHavYk9keqc9VWE9tcKxKD5RDl1Y/qJMA/rl49/mFeSiDKeteYvn8lht2LxCOfi8sMmHVJg7hwJU5aaOAv7fnuTqgCEdI6ORf3Fo7EOvXh4ZnTPP5iOIO6NIOXlwiaZcMRmQBibfq+Q1MEEXJb2Z7luunMTBSgluKGrG8bgg5aMvxtOfORS5ztdFyTm/DZRA9+tf3u/RVkHsnOM8vG1SEF24pEaGgE3SPCsBTfxBSty0yPX4K0h6giNJQL/vrMTtMkLmwcpyw18GvjwS7FeNTMnrIo2RPFtBWozn3I/GQvJgrLy6keE68WpVZ9PUjIvY0WKG/vz5bd8+hffJEk5E6EPU4vjQk1+YL9plPZP24bARL+KGz7gT0bRLuYFwXOGhah8ly0Q5l51YFJwZI4bLdDQbopLd4msVippIv2OHZsm03v/BIipPK2jCPsOItORIXkNbpoi8KE2jamaDv0RGuO/Xshy22+Jzsti47Z29AWNMcpRJ6zC1xJHiUQQYR24PDMkQnb+7F2WW+2GwSBSzRL+vzJ5XxxbgVa4SduSZL/TyKLkOfOgWwbt47mLr6onHXF8vhQ1oepItW0nPkQkvnLYsa63mZKeCSuMh/eLhLycMuiMnH5/HS6YhEa7M9T00BsxUPQj/iK4KMW5LtqYf1oJpGL8/GeHkXXoC2oJxiUsxwnw5NttigESuISqsD5+U4k/iRgr/l9LD9yAI8WDCOnsLycahtZ6mc8VS1Cr88e4RD9GCZ1hVUWPpwZJWC34/tltryrLNfdQrdgD6Z0zCfJaRZrugciaClAM1WdIyLuMhalMjUrQuW5aM94y4qJlmz+o+Bd/E27oBsZikb60tIO2SPb0CS3pAhJUMYR1lSafYsaXbRFIUJtHPMiNQonp0jib76mzZj5/Oz7FdF6zmy++yV9pDPIkvERQYRiCBp1hWBTLzaefUknWUOCgzTpeTKQCaaxPO08BONlrswd+H7rsgh3Qp7x5rQIssIi/AFd+7bhVuZggl3Aw6Kc+YoW3uJ9UbQvwO2oA/Ild0g/P1cmrj4cr1iEhqzibh8p/kx7TX8LX9YbfcvbM5sws4zk9CMxOg+fiWD1dPIFs8oVIeHTFHxmexD14G8c97v148ZHDuCGeRtQLQ+j2kiWehhT1YpQAbei3DH2T+JOjiS95HVw957OwPdbh7OP+DDvt7GEegyh2ET7xDr0Fx/gPu1R8QzAVvYzkd63FKUsNSBCooRV82OqlgA1n19jBNWFwLtnWWb39Tm0UkGk1wOqK7LG89RuBBpKD6pUEdq1N6x2V/UTolOfoEd9yucTUm8cWpkIvL3JpvkCbk/ywXn8Z4hV5tyNc9VrBBpKDyrKc9v2qFK1/McGpt9827PekOJa+u/Up3zqTWHqWiIFb3j2NJfmbdsgWUNOP3UNssZ43yHQUHpQUZ69/9W7ckSoYgPTukOvhnIrXHcq0hhpIwINC4GG0oMqdTmuYhEqx0W7iFf5t9gp2MHdwbqYKEhw8mOnbeFTTn3kht32TBTLdv+BsGU/vFzVircUPvnIaVtJ6lJpV23lLiK/YNVQCFD1f2sh949sYvXRRxQ2k6B9j8Goaf1Er1aVfeZ/4IOWE4fVT2tpuzIClxE14oldCoSCjDhWRb1hnIUy31aNQ8r78+UWv4TrVGhDoq/M/1aIWobh/5ZM7fp11feg8nrmBda5NTQXbYRk7XZDzSMXi11LmfZFdhmn7ZwkARNNrpRwww7Fp9MeXNYeIelaH86fd4ecM7iNdyjhtD0L1y+jcbnwt6v2/L2+TPtSBLsEKHZ2rVhUaxdpa2c0+VxdPg/NaCk01L/izqHDXO45n23rVPmqUg1567oIveGk53zWdXVkvV73KjZIbRSh2vlfKR1VlfegMj1Tj3D5REwbmos2+TdZrWnGEdkgohZ++/eLfC4zsHhmxungUVwKmMuMZMUybthiSQLGmb8g7pw7+RdDmKJ19m+nbZdXjOiYykP1D67aAYj7bsdPSbRLzConQF34F1RKjO9EaNrRkWyNMaDHqSID2lvMPhzEnC6iXRCIFkYdF6Hci2xcnsGYRRPoVeXPjioSodIO3P/vP6bxTkg0ev6DUVXdg8r0TNcmmEzLYJ94zbto/x+CJqWf1nySxAAAAABJRU5ErkJggg==">
          <a:extLst>
            <a:ext uri="{FF2B5EF4-FFF2-40B4-BE49-F238E27FC236}">
              <a16:creationId xmlns:a16="http://schemas.microsoft.com/office/drawing/2014/main" id="{384AF621-AF11-4DF5-B853-8DD98E1774F5}"/>
            </a:ext>
          </a:extLst>
        </xdr:cNvPr>
        <xdr:cNvSpPr>
          <a:spLocks noChangeAspect="1" noChangeArrowheads="1"/>
        </xdr:cNvSpPr>
      </xdr:nvSpPr>
      <xdr:spPr bwMode="auto">
        <a:xfrm>
          <a:off x="2114550" y="200872725"/>
          <a:ext cx="304800" cy="337457"/>
        </a:xfrm>
        <a:prstGeom prst="rect">
          <a:avLst/>
        </a:prstGeom>
        <a:noFill/>
        <a:extLst>
          <a:ext uri="{909E8E84-426E-40dd-AFC4-6F175D3DCCD1}">
            <a14:hiddenFill xmlns="" xmlns:a14="http://schemas.microsoft.com/office/drawing/2010/main">
              <a:solidFill>
                <a:srgbClr val="FFFFFF"/>
              </a:solidFill>
            </a14:hiddenFill>
          </a:ext>
        </a:extLst>
      </xdr:spPr>
      <xdr:txBody>
        <a:bodyPr/>
        <a:lstStyle/>
        <a:p>
          <a:endParaRPr lang="es-CO"/>
        </a:p>
      </xdr:txBody>
    </xdr:sp>
    <xdr:clientData/>
  </xdr:twoCellAnchor>
  <xdr:oneCellAnchor>
    <xdr:from>
      <xdr:col>2</xdr:col>
      <xdr:colOff>0</xdr:colOff>
      <xdr:row>409</xdr:row>
      <xdr:rowOff>0</xdr:rowOff>
    </xdr:from>
    <xdr:ext cx="304800" cy="337457"/>
    <xdr:sp macro="" textlink="">
      <xdr:nvSpPr>
        <xdr:cNvPr id="3" name="AutoShape 3" descr="data:image/png;base64,iVBORw0KGgoAAAANSUhEUgAAAaEAAAAXCAYAAACiTPAeAAAAAXNSR0IArs4c6QAAE4ZJREFUeF7tnHlcjmn7xr8hkgxZZ4YxtncG8zKDsWVQqSgqFElIJa2klPY9afGUskuKNFOWCdm3alKyxWuJLGM0dmULKfX0+xRmSr2/HvO21/3X8/k813Pd53mcx3Me933d132IFRYWFvKJR+/uPUi/mSjCr/JIdpmBxTMzTgcPJzU2AX4YSKv/bMLK7jyjwsOx+7E5eUkCxpm/IO6cOzw/jMXYYN5Y+KB13RvLS/JYdo0hvIk5oQs/Y8s8Z1Ll5vD1jq3k/jVmHOGzb2CyJBfzEDVu2rhyaXIIUaY9aCpClN/2GiViPiJM1jikfiGQf4PgyUYcG7uO7Qt70+x9dsLMvZgphtPafSmTLi/BPFWB7VGa/Ok4HadCGxJ9B5Ng9+HzcLK2OTB+hRSu68dz2dqBcxM3EGncTSR+1i9AG7MpD4Gq70HZ7DHXxuuNPuu0/8BuQTrqO1dj/K+iDvmWiwFWrO/mRpBme/KP+6Oy6ivClkvgNvkS0+OcUGxROXUryvM/F8+Wmkys2kQosBdbLewQHLtHjlR35Iys8TT4N59BaREij/QtHlgsO8EDyX7o+nsxV3IPVlYRJN8rpPPgSbgs1+OLQ16lxlj8mMkvls4Exj2m5Q/T8F1tgIx0E5GQq3oCiBRG46DaiMB/ESF4Q9omDywDU3jUegD6/p6YDW9O4l/CU1KEZCDnGhFWbgTFZyL143R8V85hWBvR+FkbYWmMqXIRqI4elJf+K4vMQoh/IMH3eo6ssPyR4haZfRxHg1OohFsxUhJ4mYpA15ud9wvppGJDqMNw2lYSVWtAhCq3UFU1W3UQoKpib5y3EYFGBOo+Ag2lB1WqCCWf3F33K/8+A5lhatSnfOpNYRoTaUSggSDQUHpQUZ7H4g9XznKcdLu29YYeT588oz7lU28K05hIIwINBIGG0oOK85QurR1V/EyobjCoodwK141qVHOU+c+5ff0JEt170LllNZ+78XSNCLxHoKH0oEpdjqt4d1w2JzasZc8NIRLfq+Os3QcKMtgbGEVyphBoSmfZmRh9d4M1fttJedSCb9TmYK3Th/yTUfiuTuKe5L/RsZvLeOkLbPQ7zM0CCQZom6E1QBxh1jk2+kRw7K4EA2eZYTFOkvMbVrP26ANaDpqCraUc3ZqLxvGGQgDR0KihUS/S2R68hdiLWYgPmMYSe1k6V9LD0P+akfAJey31sUuQZFpgGM5yJbcAFfDn/nCiX8uyQKMXIlKpcsHLOYjZ0M18vTmcxQPFRZ5b+DKTTNrRSaokgG84sFAD/7ae7HcbVDP5iJxBwxtY9T2ogFuxoYQmPaFoO3STz4djqNOavR7hJGRJM8bcEiMZaYoY8+xgEF731PDR6/HXbtDKqkj1ipDwOXGBvqyPPc31AQ6cCZaDV0dYMHIVL9QnMkhajHaDR9PqZwv8X09hsewdVvtdR2HjfF7bOXNhzDzk7mxhs5g+O/3as9Uxkj3HbzHAL4ZAFUh2mY35f4ZhKX+f9eFiGLl3JszpKqMWyXB37XawCGPd9M7FoFZ0VD0BKoqggX8vfMwuc0Pc//gRc+MRSL2RYozmsKoXobyL+KhY8btRDOunSpUuQs45lmhH0HWZH7q9P2zMruY6/SMRymaniSYehZakrh1fIuBGEarm6n3S6aq+B71mr5kGPi8UmTq4DWLt+6PQZCvGx8ewQi4F89hBbNukQefCu4QbBlDg5IdBT1FecPmkNKleESqOreR7QnIUXN+E1tQ0tBN80WhT9PV5vMbZcMcshrWq57H9yZVMrck83niJiXtXMeuKJ6Ndm+F93AlFzuCm4MJz+18JVLrNcjVTTqiF8bPuTaxlBLwa2Y6UB+PYFa3BVaspuDezI0EwGlG2t1c9AT6tUA1tdMHNLWir7WPgpjDsfxSlYpWEUN4FfJQXkWEey+rJEqUmzT0bRfDvI7Cc+nWlXw2KHL3IIvSWcwIzbDNnEbt0FPm3LnBVrDeDuxftt/1wNIqQyLjXwMAq70EFt1ijYcJ5nW2sm9oayCct0BgXMTsilRLQts7DdacJfS+uYU5Eb1YGKNJOlCv4T8SqxkUo99hSFFxymOc7A/kf+tClZSbnDqSS138sQ8S2M1txC5+b/sTpNZmYp/ijfjkA5bkPMDnhh2aLEiI09hKuY225t2AnIerX8VCy4WKXz0hvacDxUCXSXGdidFeXxA0Tit9DquiocgJUFEAD//7lTgdGe7XEN9EZxQ/PZYSZJK8PY+e9bsh8L+RlBzmmdb/JL/G5fCF+jVufa6AgjOP4CynenDvNzVYjMLRU4l/iTzkTuZmtZ1/zudxUjNR704rXXN0VSURCFt0mGWI0uj0g5FHSRhYtjOSJjAl2iyfxdfouEnI6IX45g45KPbiTKoas7ghapvzCil8f0nNkX4QvpRmvM4DsPWXne3pmP9v++BqtKX15Hv8rccigK9/lXXWF5cRVkMHRTSd5JZ3Hmd/u0HXyZPqk7WL3zdaMmaePatc4zIZuQnKuPM0zsumrM5cZg1py68A2kiVkmTFKyG+bE8nr153LgZ6EZw/H2t4A2bwkjhWOYM7YrlDwkIQ1Yex59BWd7kRyoJtX8XLc26uHWB9+ggetv0fLVI1B0m/KwaiBE7Ma06/yHpSbhINsAK+M7Zmr0I/+XZqTFmCMS9P3IrQoF5eYWTxwtCV1aiAOw6rmYrCGRWgMmTu80Qu5wvMHd3nWfjyCqMUodiyS2wJurDFlSngXvF2a47P4BTZnvFG+vBJV3ZvMSRCg3Tr17zuhsak4jnHhmd0eVqlcw0fZkhPtWvFHezNS1sqTtkQX/fRpHAufRHsR1LzKCVCNZK57pyrgz5D5TIjuR/g+cwa9f/iSmyRA2eQig3T7kbFlH1nqAewccwgV09/oNEGLuQbqNN84C4tT36E/uTmH1l1g0OpoHAsDmeD6GJWpHUjZdAPZiHWY5m9kyuwU+umPokdvRYxUuhZz7s6+AMwc9pL9nSYLPfRpEzIDs0MdUDHQYWbPk5h5FOJ5UJH4iQ6kDp7KgIwYYjIVWS9ohe/cj+eDnENejPVqybKD2lydY0CSegShMzoUl+TVMZ8ycS3olYLtKGfODprBRLEjhMQ3QdZAAfEDP3N2yBISXZ5jNmgpF4drMrFpAlseK7N1xwxuWU3Br60HBx3z8ZDz4JXJfFr9EsTOnL7MtprPsKRF710bZMiJ80FpwVWGzelHRsQ+siYFsN9ejGUqDqT8MIVBd3Zz9EsrYvSuo18Go7rHproacVX3IGHmfuxm/8zF54/JeNqOSYFBzH+8lOmnlQlVSEY/qh+R3uDunIetXz+SQg6QXtgTVeOpjOgkQhMVEfgaFiG5v8IseByP/RRPMnTC3lmXvDyBk7ITFyavInJgDOPnZ7P4tDfKaStRnX0T3QQBMz4SIYfRrjy3j2WVynV8lBdyQlqS2x3NObFGniveuuhdncrR8Ml0EAG/qiaAiPVpoMMK+H2tKZNiBhIRa8z3xSJUwPUVRkxNVmLfFhVOmWuyorP3OxGyfoNjohvjJXM5ajMNt6Z2HHUXx1vBmae2W5l13gjrTG2W63fiqKszlzSjWPN1KOOts1kU64Zq8UXP+6PUcpxYsc3O4pwFxAXJ0TTOBwWHQtxDvmDV9LOoHlqOxklnZJd3ZLlbPs72ZecTPvwVfaU4ZLdN4IzOHgbtCEK/2ztblDNeumXiCtVMw360gGY+0bggQMFRDM84K1os0WHBM1NO++ZhNiSUziFbsBNfj6ren8xLckfSqbQIvXaORvu0ISaP55G4YiSn/nJtGEp6kDFaKaVx3K2egubs39GLX4b6RR8UbAtw9GmOTzk5NVBSVnva1daDCrI4aGuEze3JxKzoyS7HUOKz2jJmgTXyZ73Y1NsV/d8XY3NXFX3xGMJb27DLaUClbWSpNSIEOew2UUfQwZvDngO5H2bJ5DVtcd/nxrjLyxhrksXCU76oXl6Osv4djJKXMU2i5HLceZzkHHlsGcs69XQ8law5/3lrrksZkrxBiTT3mRjenslvG1UpevRU0VFtBKgokAb5vZDMyEXIr/6SVcdsGFW8CvCWs0t0MciYTfI6OU7aarGkpQsxRSLk3IQlRxczusU7EXIXt+eIa3N8lBzJsolGLUEHi8NNaNeqqPk3o79pEMFTc4g0XMjKbFVWbDRg2AcPknJEyKWJLYe9h1P4XoRcA1rjb3gXk1NLUU5ZioKnBP671blmXs58+ekEqjvwQH4IqYmdWbVdj2+K9zQUxapZNi7NmziMDkDcLwqXwkAUHMHzmCUSPrOYn2XMqSIRGhbFt9EhmDWLRGvyGSYe8qWzj2apO6H/LkJDysdx1AHG2wlxO+6E3LUQpmhfY1a8CTmLysmpQXKy+pOuzh70epcDI/3bseqoNTIfVt1e/Ia9YSpq4cY8s51G7JgoBJJ+KMQM5eB6FT7atvOPAao9IiR8SLiODjsGryTG5CVLJtpxXn010Qu/gdTVqM+8gtbhILSvLEXWOg+XE+4oNykhQgo38JtgwQXtSDbr3MB+lBcPf2hHavYk9keqc9VWE9tcKxKD5RDl1Y/qJMA/rl49/mFeSiDKeteYvn8lht2LxCOfi8sMmHVJg7hwJU5aaOAv7fnuTqgCEdI6ORf3Fo7EOvXh4ZnTPP5iOIO6NIOXlwiaZcMRmQBibfq+Q1MEEXJb2Z7luunMTBSgluKGrG8bgg5aMvxtOfORS5ztdFyTm/DZRA9+tf3u/RVkHsnOM8vG1SEF24pEaGgE3SPCsBTfxBSty0yPX4K0h6giNJQL/vrMTtMkLmwcpyw18GvjwS7FeNTMnrIo2RPFtBWozn3I/GQvJgrLy6keE68WpVZ9PUjIvY0WKG/vz5bd8+hffJEk5E6EPU4vjQk1+YL9plPZP24bARL+KGz7gT0bRLuYFwXOGhah8ly0Q5l51YFJwZI4bLdDQbopLd4msVippIv2OHZsm03v/BIipPK2jCPsOItORIXkNbpoi8KE2jamaDv0RGuO/Xshy22+Jzsti47Z29AWNMcpRJ6zC1xJHiUQQYR24PDMkQnb+7F2WW+2GwSBSzRL+vzJ5XxxbgVa4SduSZL/TyKLkOfOgWwbt47mLr6onHXF8vhQ1oepItW0nPkQkvnLYsa63mZKeCSuMh/eLhLycMuiMnH5/HS6YhEa7M9T00BsxUPQj/iK4KMW5LtqYf1oJpGL8/GeHkXXoC2oJxiUsxwnw5NttigESuISqsD5+U4k/iRgr/l9LD9yAI8WDCOnsLycahtZ6mc8VS1Cr88e4RD9GCZ1hVUWPpwZJWC34/tltryrLNfdQrdgD6Z0zCfJaRZrugciaClAM1WdIyLuMhalMjUrQuW5aM94y4qJlmz+o+Bd/E27oBsZikb60tIO2SPb0CS3pAhJUMYR1lSafYsaXbRFIUJtHPMiNQonp0jib76mzZj5/Oz7FdF6zmy++yV9pDPIkvERQYRiCBp1hWBTLzaefUknWUOCgzTpeTKQCaaxPO08BONlrswd+H7rsgh3Qp7x5rQIssIi/AFd+7bhVuZggl3Aw6Kc+YoW3uJ9UbQvwO2oA/Ild0g/P1cmrj4cr1iEhqzibh8p/kx7TX8LX9YbfcvbM5sws4zk9CMxOg+fiWD1dPIFs8oVIeHTFHxmexD14G8c97v148ZHDuCGeRtQLQ+j2kiWehhT1YpQAbei3DH2T+JOjiS95HVw957OwPdbh7OP+DDvt7GEegyh2ET7xDr0Fx/gPu1R8QzAVvYzkd63FKUsNSBCooRV82OqlgA1n19jBNWFwLtnWWb39Tm0UkGk1wOqK7LG89RuBBpKD6pUEdq1N6x2V/UTolOfoEd9yucTUm8cWpkIvL3JpvkCbk/ywXn8Z4hV5tyNc9VrBBpKDyrKc9v2qFK1/McGpt9827PekOJa+u/Up3zqTWHqWiIFb3j2NJfmbdsgWUNOP3UNssZ43yHQUHpQUZ69/9W7ckSoYgPTukOvhnIrXHcq0hhpIwINC4GG0oMqdTmuYhEqx0W7iFf5t9gp2MHdwbqYKEhw8mOnbeFTTn3kht32TBTLdv+BsGU/vFzVircUPvnIaVtJ6lJpV23lLiK/YNVQCFD1f2sh949sYvXRRxQ2k6B9j8Goaf1Er1aVfeZ/4IOWE4fVT2tpuzIClxE14oldCoSCjDhWRb1hnIUy31aNQ8r78+UWv4TrVGhDoq/M/1aIWobh/5ZM7fp11feg8nrmBda5NTQXbYRk7XZDzSMXi11LmfZFdhmn7ZwkARNNrpRwww7Fp9MeXNYeIelaH86fd4ecM7iNdyjhtD0L1y+jcbnwt6v2/L2+TPtSBLsEKHZ2rVhUaxdpa2c0+VxdPg/NaCk01L/izqHDXO45n23rVPmqUg1567oIveGk53zWdXVkvV73KjZIbRSh2vlfKR1VlfegMj1Tj3D5REwbmos2+TdZrWnGEdkgohZ++/eLfC4zsHhmxungUVwKmMuMZMUybthiSQLGmb8g7pw7+RdDmKJ19m+nbZdXjOiYykP1D67aAYj7bsdPSbRLzConQF34F1RKjO9EaNrRkWyNMaDHqSID2lvMPhzEnC6iXRCIFkYdF6Hci2xcnsGYRRPoVeXPjioSodIO3P/vP6bxTkg0ev6DUVXdg8r0TNcmmEzLYJ94zbto/x+CJqWf1nySxAAAAABJRU5ErkJggg==">
          <a:extLst>
            <a:ext uri="{FF2B5EF4-FFF2-40B4-BE49-F238E27FC236}">
              <a16:creationId xmlns:a16="http://schemas.microsoft.com/office/drawing/2014/main" id="{FFFA5760-7A1C-4251-94CD-CB40BB56ADFD}"/>
            </a:ext>
          </a:extLst>
        </xdr:cNvPr>
        <xdr:cNvSpPr>
          <a:spLocks noChangeAspect="1" noChangeArrowheads="1"/>
        </xdr:cNvSpPr>
      </xdr:nvSpPr>
      <xdr:spPr bwMode="auto">
        <a:xfrm>
          <a:off x="5048250" y="200872725"/>
          <a:ext cx="304800" cy="337457"/>
        </a:xfrm>
        <a:prstGeom prst="rect">
          <a:avLst/>
        </a:prstGeom>
        <a:noFill/>
        <a:extLst>
          <a:ext uri="{909E8E84-426E-40dd-AFC4-6F175D3DCCD1}">
            <a14:hiddenFill xmlns="" xmlns:a14="http://schemas.microsoft.com/office/drawing/2010/main">
              <a:solidFill>
                <a:srgbClr val="FFFFFF"/>
              </a:solidFill>
            </a14:hiddenFill>
          </a:ext>
        </a:extLst>
      </xdr:spPr>
      <xdr:txBody>
        <a:bodyPr/>
        <a:lstStyle/>
        <a:p>
          <a:endParaRPr lang="es-CO"/>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304800</xdr:colOff>
      <xdr:row>1</xdr:row>
      <xdr:rowOff>175532</xdr:rowOff>
    </xdr:to>
    <xdr:sp macro="" textlink="">
      <xdr:nvSpPr>
        <xdr:cNvPr id="2" name="AutoShape 3" descr="data:image/png;base64,iVBORw0KGgoAAAANSUhEUgAAAaEAAAAXCAYAAACiTPAeAAAAAXNSR0IArs4c6QAAE4ZJREFUeF7tnHlcjmn7xr8hkgxZZ4YxtncG8zKDsWVQqSgqFElIJa2klPY9afGUskuKNFOWCdm3alKyxWuJLGM0dmULKfX0+xRmSr2/HvO21/3X8/k813Pd53mcx3Me933d132IFRYWFvKJR+/uPUi/mSjCr/JIdpmBxTMzTgcPJzU2AX4YSKv/bMLK7jyjwsOx+7E5eUkCxpm/IO6cOzw/jMXYYN5Y+KB13RvLS/JYdo0hvIk5oQs/Y8s8Z1Ll5vD1jq3k/jVmHOGzb2CyJBfzEDVu2rhyaXIIUaY9aCpClN/2GiViPiJM1jikfiGQf4PgyUYcG7uO7Qt70+x9dsLMvZgphtPafSmTLi/BPFWB7VGa/Ok4HadCGxJ9B5Ng9+HzcLK2OTB+hRSu68dz2dqBcxM3EGncTSR+1i9AG7MpD4Gq70HZ7DHXxuuNPuu0/8BuQTrqO1dj/K+iDvmWiwFWrO/mRpBme/KP+6Oy6ivClkvgNvkS0+OcUGxROXUryvM/F8+Wmkys2kQosBdbLewQHLtHjlR35Iys8TT4N59BaREij/QtHlgsO8EDyX7o+nsxV3IPVlYRJN8rpPPgSbgs1+OLQ16lxlj8mMkvls4Exj2m5Q/T8F1tgIx0E5GQq3oCiBRG46DaiMB/ESF4Q9omDywDU3jUegD6/p6YDW9O4l/CU1KEZCDnGhFWbgTFZyL143R8V85hWBvR+FkbYWmMqXIRqI4elJf+K4vMQoh/IMH3eo6ssPyR4haZfRxHg1OohFsxUhJ4mYpA15ud9wvppGJDqMNw2lYSVWtAhCq3UFU1W3UQoKpib5y3EYFGBOo+Ag2lB1WqCCWf3F33K/8+A5lhatSnfOpNYRoTaUSggSDQUHpQUZ7H4g9XznKcdLu29YYeT588oz7lU28K05hIIwINBIGG0oOK85QurR1V/EyobjCoodwK141qVHOU+c+5ff0JEt170LllNZ+78XSNCLxHoKH0oEpdjqt4d1w2JzasZc8NIRLfq+Os3QcKMtgbGEVyphBoSmfZmRh9d4M1fttJedSCb9TmYK3Th/yTUfiuTuKe5L/RsZvLeOkLbPQ7zM0CCQZom6E1QBxh1jk2+kRw7K4EA2eZYTFOkvMbVrP26ANaDpqCraUc3ZqLxvGGQgDR0KihUS/S2R68hdiLWYgPmMYSe1k6V9LD0P+akfAJey31sUuQZFpgGM5yJbcAFfDn/nCiX8uyQKMXIlKpcsHLOYjZ0M18vTmcxQPFRZ5b+DKTTNrRSaokgG84sFAD/7ae7HcbVDP5iJxBwxtY9T2ogFuxoYQmPaFoO3STz4djqNOavR7hJGRJM8bcEiMZaYoY8+xgEF731PDR6/HXbtDKqkj1ipDwOXGBvqyPPc31AQ6cCZaDV0dYMHIVL9QnMkhajHaDR9PqZwv8X09hsewdVvtdR2HjfF7bOXNhzDzk7mxhs5g+O/3as9Uxkj3HbzHAL4ZAFUh2mY35f4ZhKX+f9eFiGLl3JszpKqMWyXB37XawCGPd9M7FoFZ0VD0BKoqggX8vfMwuc0Pc//gRc+MRSL2RYozmsKoXobyL+KhY8btRDOunSpUuQs45lmhH0HWZH7q9P2zMruY6/SMRymaniSYehZakrh1fIuBGEarm6n3S6aq+B71mr5kGPi8UmTq4DWLt+6PQZCvGx8ewQi4F89hBbNukQefCu4QbBlDg5IdBT1FecPmkNKleESqOreR7QnIUXN+E1tQ0tBN80WhT9PV5vMbZcMcshrWq57H9yZVMrck83niJiXtXMeuKJ6Ndm+F93AlFzuCm4MJz+18JVLrNcjVTTqiF8bPuTaxlBLwa2Y6UB+PYFa3BVaspuDezI0EwGlG2t1c9AT6tUA1tdMHNLWir7WPgpjDsfxSlYpWEUN4FfJQXkWEey+rJEqUmzT0bRfDvI7Cc+nWlXw2KHL3IIvSWcwIzbDNnEbt0FPm3LnBVrDeDuxftt/1wNIqQyLjXwMAq70EFt1ijYcJ5nW2sm9oayCct0BgXMTsilRLQts7DdacJfS+uYU5Eb1YGKNJOlCv4T8SqxkUo99hSFFxymOc7A/kf+tClZSbnDqSS138sQ8S2M1txC5+b/sTpNZmYp/ijfjkA5bkPMDnhh2aLEiI09hKuY225t2AnIerX8VCy4WKXz0hvacDxUCXSXGdidFeXxA0Tit9DquiocgJUFEAD//7lTgdGe7XEN9EZxQ/PZYSZJK8PY+e9bsh8L+RlBzmmdb/JL/G5fCF+jVufa6AgjOP4CynenDvNzVYjMLRU4l/iTzkTuZmtZ1/zudxUjNR704rXXN0VSURCFt0mGWI0uj0g5FHSRhYtjOSJjAl2iyfxdfouEnI6IX45g45KPbiTKoas7ghapvzCil8f0nNkX4QvpRmvM4DsPWXne3pmP9v++BqtKX15Hv8rccigK9/lXXWF5cRVkMHRTSd5JZ3Hmd/u0HXyZPqk7WL3zdaMmaePatc4zIZuQnKuPM0zsumrM5cZg1py68A2kiVkmTFKyG+bE8nr153LgZ6EZw/H2t4A2bwkjhWOYM7YrlDwkIQ1Yex59BWd7kRyoJtX8XLc26uHWB9+ggetv0fLVI1B0m/KwaiBE7Ma06/yHpSbhINsAK+M7Zmr0I/+XZqTFmCMS9P3IrQoF5eYWTxwtCV1aiAOw6rmYrCGRWgMmTu80Qu5wvMHd3nWfjyCqMUodiyS2wJurDFlSngXvF2a47P4BTZnvFG+vBJV3ZvMSRCg3Tr17zuhsak4jnHhmd0eVqlcw0fZkhPtWvFHezNS1sqTtkQX/fRpHAufRHsR1LzKCVCNZK57pyrgz5D5TIjuR/g+cwa9f/iSmyRA2eQig3T7kbFlH1nqAewccwgV09/oNEGLuQbqNN84C4tT36E/uTmH1l1g0OpoHAsDmeD6GJWpHUjZdAPZiHWY5m9kyuwU+umPokdvRYxUuhZz7s6+AMwc9pL9nSYLPfRpEzIDs0MdUDHQYWbPk5h5FOJ5UJH4iQ6kDp7KgIwYYjIVWS9ohe/cj+eDnENejPVqybKD2lydY0CSegShMzoUl+TVMZ8ycS3olYLtKGfODprBRLEjhMQ3QdZAAfEDP3N2yBISXZ5jNmgpF4drMrFpAlseK7N1xwxuWU3Br60HBx3z8ZDz4JXJfFr9EsTOnL7MtprPsKRF710bZMiJ80FpwVWGzelHRsQ+siYFsN9ejGUqDqT8MIVBd3Zz9EsrYvSuo18Go7rHproacVX3IGHmfuxm/8zF54/JeNqOSYFBzH+8lOmnlQlVSEY/qh+R3uDunIetXz+SQg6QXtgTVeOpjOgkQhMVEfgaFiG5v8IseByP/RRPMnTC3lmXvDyBk7ITFyavInJgDOPnZ7P4tDfKaStRnX0T3QQBMz4SIYfRrjy3j2WVynV8lBdyQlqS2x3NObFGniveuuhdncrR8Ml0EAG/qiaAiPVpoMMK+H2tKZNiBhIRa8z3xSJUwPUVRkxNVmLfFhVOmWuyorP3OxGyfoNjohvjJXM5ajMNt6Z2HHUXx1vBmae2W5l13gjrTG2W63fiqKszlzSjWPN1KOOts1kU64Zq8UXP+6PUcpxYsc3O4pwFxAXJ0TTOBwWHQtxDvmDV9LOoHlqOxklnZJd3ZLlbPs72ZecTPvwVfaU4ZLdN4IzOHgbtCEK/2ztblDNeumXiCtVMw360gGY+0bggQMFRDM84K1os0WHBM1NO++ZhNiSUziFbsBNfj6ren8xLckfSqbQIvXaORvu0ISaP55G4YiSn/nJtGEp6kDFaKaVx3K2egubs39GLX4b6RR8UbAtw9GmOTzk5NVBSVnva1daDCrI4aGuEze3JxKzoyS7HUOKz2jJmgTXyZ73Y1NsV/d8XY3NXFX3xGMJb27DLaUClbWSpNSIEOew2UUfQwZvDngO5H2bJ5DVtcd/nxrjLyxhrksXCU76oXl6Osv4djJKXMU2i5HLceZzkHHlsGcs69XQ8law5/3lrrksZkrxBiTT3mRjenslvG1UpevRU0VFtBKgokAb5vZDMyEXIr/6SVcdsGFW8CvCWs0t0MciYTfI6OU7aarGkpQsxRSLk3IQlRxczusU7EXIXt+eIa3N8lBzJsolGLUEHi8NNaNeqqPk3o79pEMFTc4g0XMjKbFVWbDRg2AcPknJEyKWJLYe9h1P4XoRcA1rjb3gXk1NLUU5ZioKnBP671blmXs58+ekEqjvwQH4IqYmdWbVdj2+K9zQUxapZNi7NmziMDkDcLwqXwkAUHMHzmCUSPrOYn2XMqSIRGhbFt9EhmDWLRGvyGSYe8qWzj2apO6H/LkJDysdx1AHG2wlxO+6E3LUQpmhfY1a8CTmLysmpQXKy+pOuzh70epcDI/3bseqoNTIfVt1e/Ia9YSpq4cY8s51G7JgoBJJ+KMQM5eB6FT7atvOPAao9IiR8SLiODjsGryTG5CVLJtpxXn010Qu/gdTVqM+8gtbhILSvLEXWOg+XE+4oNykhQgo38JtgwQXtSDbr3MB+lBcPf2hHavYk9keqc9VWE9tcKxKD5RDl1Y/qJMA/rl49/mFeSiDKeteYvn8lht2LxCOfi8sMmHVJg7hwJU5aaOAv7fnuTqgCEdI6ORf3Fo7EOvXh4ZnTPP5iOIO6NIOXlwiaZcMRmQBibfq+Q1MEEXJb2Z7luunMTBSgluKGrG8bgg5aMvxtOfORS5ztdFyTm/DZRA9+tf3u/RVkHsnOM8vG1SEF24pEaGgE3SPCsBTfxBSty0yPX4K0h6giNJQL/vrMTtMkLmwcpyw18GvjwS7FeNTMnrIo2RPFtBWozn3I/GQvJgrLy6keE68WpVZ9PUjIvY0WKG/vz5bd8+hffJEk5E6EPU4vjQk1+YL9plPZP24bARL+KGz7gT0bRLuYFwXOGhah8ly0Q5l51YFJwZI4bLdDQbopLd4msVippIv2OHZsm03v/BIipPK2jCPsOItORIXkNbpoi8KE2jamaDv0RGuO/Xshy22+Jzsti47Z29AWNMcpRJ6zC1xJHiUQQYR24PDMkQnb+7F2WW+2GwSBSzRL+vzJ5XxxbgVa4SduSZL/TyKLkOfOgWwbt47mLr6onHXF8vhQ1oepItW0nPkQkvnLYsa63mZKeCSuMh/eLhLycMuiMnH5/HS6YhEa7M9T00BsxUPQj/iK4KMW5LtqYf1oJpGL8/GeHkXXoC2oJxiUsxwnw5NttigESuISqsD5+U4k/iRgr/l9LD9yAI8WDCOnsLycahtZ6mc8VS1Cr88e4RD9GCZ1hVUWPpwZJWC34/tltryrLNfdQrdgD6Z0zCfJaRZrugciaClAM1WdIyLuMhalMjUrQuW5aM94y4qJlmz+o+Bd/E27oBsZikb60tIO2SPb0CS3pAhJUMYR1lSafYsaXbRFIUJtHPMiNQonp0jib76mzZj5/Oz7FdF6zmy++yV9pDPIkvERQYRiCBp1hWBTLzaefUknWUOCgzTpeTKQCaaxPO08BONlrswd+H7rsgh3Qp7x5rQIssIi/AFd+7bhVuZggl3Aw6Kc+YoW3uJ9UbQvwO2oA/Ild0g/P1cmrj4cr1iEhqzibh8p/kx7TX8LX9YbfcvbM5sws4zk9CMxOg+fiWD1dPIFs8oVIeHTFHxmexD14G8c97v148ZHDuCGeRtQLQ+j2kiWehhT1YpQAbei3DH2T+JOjiS95HVw957OwPdbh7OP+DDvt7GEegyh2ET7xDr0Fx/gPu1R8QzAVvYzkd63FKUsNSBCooRV82OqlgA1n19jBNWFwLtnWWb39Tm0UkGk1wOqK7LG89RuBBpKD6pUEdq1N6x2V/UTolOfoEd9yucTUm8cWpkIvL3JpvkCbk/ywXn8Z4hV5tyNc9VrBBpKDyrKc9v2qFK1/McGpt9827PekOJa+u/Up3zqTWHqWiIFb3j2NJfmbdsgWUNOP3UNssZ43yHQUHpQUZ69/9W7ckSoYgPTukOvhnIrXHcq0hhpIwINC4GG0oMqdTmuYhEqx0W7iFf5t9gp2MHdwbqYKEhw8mOnbeFTTn3kht32TBTLdv+BsGU/vFzVircUPvnIaVtJ6lJpV23lLiK/YNVQCFD1f2sh949sYvXRRxQ2k6B9j8Goaf1Er1aVfeZ/4IOWE4fVT2tpuzIClxE14oldCoSCjDhWRb1hnIUy31aNQ8r78+UWv4TrVGhDoq/M/1aIWobh/5ZM7fp11feg8nrmBda5NTQXbYRk7XZDzSMXi11LmfZFdhmn7ZwkARNNrpRwww7Fp9MeXNYeIelaH86fd4ecM7iNdyjhtD0L1y+jcbnwt6v2/L2+TPtSBLsEKHZ2rVhUaxdpa2c0+VxdPg/NaCk01L/izqHDXO45n23rVPmqUg1567oIveGk53zWdXVkvV73KjZIbRSh2vlfKR1VlfegMj1Tj3D5REwbmos2+TdZrWnGEdkgohZ++/eLfC4zsHhmxungUVwKmMuMZMUybthiSQLGmb8g7pw7+RdDmKJ19m+nbZdXjOiYykP1D67aAYj7bsdPSbRLzConQF34F1RKjO9EaNrRkWyNMaDHqSID2lvMPhzEnC6iXRCIFkYdF6Hci2xcnsGYRRPoVeXPjioSodIO3P/vP6bxTkg0ev6DUVXdg8r0TNcmmEzLYJ94zbto/x+CJqWf1nySxAAAAABJRU5ErkJggg==">
          <a:extLst>
            <a:ext uri="{FF2B5EF4-FFF2-40B4-BE49-F238E27FC236}">
              <a16:creationId xmlns:a16="http://schemas.microsoft.com/office/drawing/2014/main" id="{AF6F546B-6C7B-4705-8A63-A562836B8D3D}"/>
            </a:ext>
          </a:extLst>
        </xdr:cNvPr>
        <xdr:cNvSpPr>
          <a:spLocks noChangeAspect="1" noChangeArrowheads="1"/>
        </xdr:cNvSpPr>
      </xdr:nvSpPr>
      <xdr:spPr bwMode="auto">
        <a:xfrm>
          <a:off x="0" y="0"/>
          <a:ext cx="304800" cy="337457"/>
        </a:xfrm>
        <a:prstGeom prst="rect">
          <a:avLst/>
        </a:prstGeom>
        <a:noFill/>
        <a:extLst>
          <a:ext uri="{909E8E84-426E-40dd-AFC4-6F175D3DCCD1}">
            <a14:hiddenFill xmlns="" xmlns:a14="http://schemas.microsoft.com/office/drawing/2010/main">
              <a:solidFill>
                <a:srgbClr val="FFFFFF"/>
              </a:solidFill>
            </a14:hiddenFill>
          </a:ext>
        </a:extLst>
      </xdr:spPr>
      <xdr:txBody>
        <a:bodyPr/>
        <a:lstStyle/>
        <a:p>
          <a:endParaRPr lang="es-CO"/>
        </a:p>
      </xdr:txBody>
    </xdr:sp>
    <xdr:clientData/>
  </xdr:twoCellAnchor>
  <xdr:twoCellAnchor editAs="oneCell">
    <xdr:from>
      <xdr:col>0</xdr:col>
      <xdr:colOff>0</xdr:colOff>
      <xdr:row>0</xdr:row>
      <xdr:rowOff>0</xdr:rowOff>
    </xdr:from>
    <xdr:to>
      <xdr:col>0</xdr:col>
      <xdr:colOff>304800</xdr:colOff>
      <xdr:row>1</xdr:row>
      <xdr:rowOff>175532</xdr:rowOff>
    </xdr:to>
    <xdr:sp macro="" textlink="">
      <xdr:nvSpPr>
        <xdr:cNvPr id="3" name="AutoShape 3" descr="data:image/png;base64,iVBORw0KGgoAAAANSUhEUgAAAaEAAAAXCAYAAACiTPAeAAAAAXNSR0IArs4c6QAAE4ZJREFUeF7tnHlcjmn7xr8hkgxZZ4YxtncG8zKDsWVQqSgqFElIJa2klPY9afGUskuKNFOWCdm3alKyxWuJLGM0dmULKfX0+xRmSr2/HvO21/3X8/k813Pd53mcx3Me933d132IFRYWFvKJR+/uPUi/mSjCr/JIdpmBxTMzTgcPJzU2AX4YSKv/bMLK7jyjwsOx+7E5eUkCxpm/IO6cOzw/jMXYYN5Y+KB13RvLS/JYdo0hvIk5oQs/Y8s8Z1Ll5vD1jq3k/jVmHOGzb2CyJBfzEDVu2rhyaXIIUaY9aCpClN/2GiViPiJM1jikfiGQf4PgyUYcG7uO7Qt70+x9dsLMvZgphtPafSmTLi/BPFWB7VGa/Ok4HadCGxJ9B5Ng9+HzcLK2OTB+hRSu68dz2dqBcxM3EGncTSR+1i9AG7MpD4Gq70HZ7DHXxuuNPuu0/8BuQTrqO1dj/K+iDvmWiwFWrO/mRpBme/KP+6Oy6ivClkvgNvkS0+OcUGxROXUryvM/F8+Wmkys2kQosBdbLewQHLtHjlR35Iys8TT4N59BaREij/QtHlgsO8EDyX7o+nsxV3IPVlYRJN8rpPPgSbgs1+OLQ16lxlj8mMkvls4Exj2m5Q/T8F1tgIx0E5GQq3oCiBRG46DaiMB/ESF4Q9omDywDU3jUegD6/p6YDW9O4l/CU1KEZCDnGhFWbgTFZyL143R8V85hWBvR+FkbYWmMqXIRqI4elJf+K4vMQoh/IMH3eo6ssPyR4haZfRxHg1OohFsxUhJ4mYpA15ud9wvppGJDqMNw2lYSVWtAhCq3UFU1W3UQoKpib5y3EYFGBOo+Ag2lB1WqCCWf3F33K/8+A5lhatSnfOpNYRoTaUSggSDQUHpQUZ7H4g9XznKcdLu29YYeT588oz7lU28K05hIIwINBIGG0oOK85QurR1V/EyobjCoodwK141qVHOU+c+5ff0JEt170LllNZ+78XSNCLxHoKH0oEpdjqt4d1w2JzasZc8NIRLfq+Os3QcKMtgbGEVyphBoSmfZmRh9d4M1fttJedSCb9TmYK3Th/yTUfiuTuKe5L/RsZvLeOkLbPQ7zM0CCQZom6E1QBxh1jk2+kRw7K4EA2eZYTFOkvMbVrP26ANaDpqCraUc3ZqLxvGGQgDR0KihUS/S2R68hdiLWYgPmMYSe1k6V9LD0P+akfAJey31sUuQZFpgGM5yJbcAFfDn/nCiX8uyQKMXIlKpcsHLOYjZ0M18vTmcxQPFRZ5b+DKTTNrRSaokgG84sFAD/7ae7HcbVDP5iJxBwxtY9T2ogFuxoYQmPaFoO3STz4djqNOavR7hJGRJM8bcEiMZaYoY8+xgEF731PDR6/HXbtDKqkj1ipDwOXGBvqyPPc31AQ6cCZaDV0dYMHIVL9QnMkhajHaDR9PqZwv8X09hsewdVvtdR2HjfF7bOXNhzDzk7mxhs5g+O/3as9Uxkj3HbzHAL4ZAFUh2mY35f4ZhKX+f9eFiGLl3JszpKqMWyXB37XawCGPd9M7FoFZ0VD0BKoqggX8vfMwuc0Pc//gRc+MRSL2RYozmsKoXobyL+KhY8btRDOunSpUuQs45lmhH0HWZH7q9P2zMruY6/SMRymaniSYehZakrh1fIuBGEarm6n3S6aq+B71mr5kGPi8UmTq4DWLt+6PQZCvGx8ewQi4F89hBbNukQefCu4QbBlDg5IdBT1FecPmkNKleESqOreR7QnIUXN+E1tQ0tBN80WhT9PV5vMbZcMcshrWq57H9yZVMrck83niJiXtXMeuKJ6Ndm+F93AlFzuCm4MJz+18JVLrNcjVTTqiF8bPuTaxlBLwa2Y6UB+PYFa3BVaspuDezI0EwGlG2t1c9AT6tUA1tdMHNLWir7WPgpjDsfxSlYpWEUN4FfJQXkWEey+rJEqUmzT0bRfDvI7Cc+nWlXw2KHL3IIvSWcwIzbDNnEbt0FPm3LnBVrDeDuxftt/1wNIqQyLjXwMAq70EFt1ijYcJ5nW2sm9oayCct0BgXMTsilRLQts7DdacJfS+uYU5Eb1YGKNJOlCv4T8SqxkUo99hSFFxymOc7A/kf+tClZSbnDqSS138sQ8S2M1txC5+b/sTpNZmYp/ijfjkA5bkPMDnhh2aLEiI09hKuY225t2AnIerX8VCy4WKXz0hvacDxUCXSXGdidFeXxA0Tit9DquiocgJUFEAD//7lTgdGe7XEN9EZxQ/PZYSZJK8PY+e9bsh8L+RlBzmmdb/JL/G5fCF+jVufa6AgjOP4CynenDvNzVYjMLRU4l/iTzkTuZmtZ1/zudxUjNR704rXXN0VSURCFt0mGWI0uj0g5FHSRhYtjOSJjAl2iyfxdfouEnI6IX45g45KPbiTKoas7ghapvzCil8f0nNkX4QvpRmvM4DsPWXne3pmP9v++BqtKX15Hv8rccigK9/lXXWF5cRVkMHRTSd5JZ3Hmd/u0HXyZPqk7WL3zdaMmaePatc4zIZuQnKuPM0zsumrM5cZg1py68A2kiVkmTFKyG+bE8nr153LgZ6EZw/H2t4A2bwkjhWOYM7YrlDwkIQ1Yex59BWd7kRyoJtX8XLc26uHWB9+ggetv0fLVI1B0m/KwaiBE7Ma06/yHpSbhINsAK+M7Zmr0I/+XZqTFmCMS9P3IrQoF5eYWTxwtCV1aiAOw6rmYrCGRWgMmTu80Qu5wvMHd3nWfjyCqMUodiyS2wJurDFlSngXvF2a47P4BTZnvFG+vBJV3ZvMSRCg3Tr17zuhsak4jnHhmd0eVqlcw0fZkhPtWvFHezNS1sqTtkQX/fRpHAufRHsR1LzKCVCNZK57pyrgz5D5TIjuR/g+cwa9f/iSmyRA2eQig3T7kbFlH1nqAewccwgV09/oNEGLuQbqNN84C4tT36E/uTmH1l1g0OpoHAsDmeD6GJWpHUjZdAPZiHWY5m9kyuwU+umPokdvRYxUuhZz7s6+AMwc9pL9nSYLPfRpEzIDs0MdUDHQYWbPk5h5FOJ5UJH4iQ6kDp7KgIwYYjIVWS9ohe/cj+eDnENejPVqybKD2lydY0CSegShMzoUl+TVMZ8ycS3olYLtKGfODprBRLEjhMQ3QdZAAfEDP3N2yBISXZ5jNmgpF4drMrFpAlseK7N1xwxuWU3Br60HBx3z8ZDz4JXJfFr9EsTOnL7MtprPsKRF710bZMiJ80FpwVWGzelHRsQ+siYFsN9ejGUqDqT8MIVBd3Zz9EsrYvSuo18Go7rHproacVX3IGHmfuxm/8zF54/JeNqOSYFBzH+8lOmnlQlVSEY/qh+R3uDunIetXz+SQg6QXtgTVeOpjOgkQhMVEfgaFiG5v8IseByP/RRPMnTC3lmXvDyBk7ITFyavInJgDOPnZ7P4tDfKaStRnX0T3QQBMz4SIYfRrjy3j2WVynV8lBdyQlqS2x3NObFGniveuuhdncrR8Ml0EAG/qiaAiPVpoMMK+H2tKZNiBhIRa8z3xSJUwPUVRkxNVmLfFhVOmWuyorP3OxGyfoNjohvjJXM5ajMNt6Z2HHUXx1vBmae2W5l13gjrTG2W63fiqKszlzSjWPN1KOOts1kU64Zq8UXP+6PUcpxYsc3O4pwFxAXJ0TTOBwWHQtxDvmDV9LOoHlqOxklnZJd3ZLlbPs72ZecTPvwVfaU4ZLdN4IzOHgbtCEK/2ztblDNeumXiCtVMw360gGY+0bggQMFRDM84K1os0WHBM1NO++ZhNiSUziFbsBNfj6ren8xLckfSqbQIvXaORvu0ISaP55G4YiSn/nJtGEp6kDFaKaVx3K2egubs39GLX4b6RR8UbAtw9GmOTzk5NVBSVnva1daDCrI4aGuEze3JxKzoyS7HUOKz2jJmgTXyZ73Y1NsV/d8XY3NXFX3xGMJb27DLaUClbWSpNSIEOew2UUfQwZvDngO5H2bJ5DVtcd/nxrjLyxhrksXCU76oXl6Osv4djJKXMU2i5HLceZzkHHlsGcs69XQ8law5/3lrrksZkrxBiTT3mRjenslvG1UpevRU0VFtBKgokAb5vZDMyEXIr/6SVcdsGFW8CvCWs0t0MciYTfI6OU7aarGkpQsxRSLk3IQlRxczusU7EXIXt+eIa3N8lBzJsolGLUEHi8NNaNeqqPk3o79pEMFTc4g0XMjKbFVWbDRg2AcPknJEyKWJLYe9h1P4XoRcA1rjb3gXk1NLUU5ZioKnBP671blmXs58+ekEqjvwQH4IqYmdWbVdj2+K9zQUxapZNi7NmziMDkDcLwqXwkAUHMHzmCUSPrOYn2XMqSIRGhbFt9EhmDWLRGvyGSYe8qWzj2apO6H/LkJDysdx1AHG2wlxO+6E3LUQpmhfY1a8CTmLysmpQXKy+pOuzh70epcDI/3bseqoNTIfVt1e/Ia9YSpq4cY8s51G7JgoBJJ+KMQM5eB6FT7atvOPAao9IiR8SLiODjsGryTG5CVLJtpxXn010Qu/gdTVqM+8gtbhILSvLEXWOg+XE+4oNykhQgo38JtgwQXtSDbr3MB+lBcPf2hHavYk9keqc9VWE9tcKxKD5RDl1Y/qJMA/rl49/mFeSiDKeteYvn8lht2LxCOfi8sMmHVJg7hwJU5aaOAv7fnuTqgCEdI6ORf3Fo7EOvXh4ZnTPP5iOIO6NIOXlwiaZcMRmQBibfq+Q1MEEXJb2Z7luunMTBSgluKGrG8bgg5aMvxtOfORS5ztdFyTm/DZRA9+tf3u/RVkHsnOM8vG1SEF24pEaGgE3SPCsBTfxBSty0yPX4K0h6giNJQL/vrMTtMkLmwcpyw18GvjwS7FeNTMnrIo2RPFtBWozn3I/GQvJgrLy6keE68WpVZ9PUjIvY0WKG/vz5bd8+hffJEk5E6EPU4vjQk1+YL9plPZP24bARL+KGz7gT0bRLuYFwXOGhah8ly0Q5l51YFJwZI4bLdDQbopLd4msVippIv2OHZsm03v/BIipPK2jCPsOItORIXkNbpoi8KE2jamaDv0RGuO/Xshy22+Jzsti47Z29AWNMcpRJ6zC1xJHiUQQYR24PDMkQnb+7F2WW+2GwSBSzRL+vzJ5XxxbgVa4SduSZL/TyKLkOfOgWwbt47mLr6onHXF8vhQ1oepItW0nPkQkvnLYsa63mZKeCSuMh/eLhLycMuiMnH5/HS6YhEa7M9T00BsxUPQj/iK4KMW5LtqYf1oJpGL8/GeHkXXoC2oJxiUsxwnw5NttigESuISqsD5+U4k/iRgr/l9LD9yAI8WDCOnsLycahtZ6mc8VS1Cr88e4RD9GCZ1hVUWPpwZJWC34/tltryrLNfdQrdgD6Z0zCfJaRZrugciaClAM1WdIyLuMhalMjUrQuW5aM94y4qJlmz+o+Bd/E27oBsZikb60tIO2SPb0CS3pAhJUMYR1lSafYsaXbRFIUJtHPMiNQonp0jib76mzZj5/Oz7FdF6zmy++yV9pDPIkvERQYRiCBp1hWBTLzaefUknWUOCgzTpeTKQCaaxPO08BONlrswd+H7rsgh3Qp7x5rQIssIi/AFd+7bhVuZggl3Aw6Kc+YoW3uJ9UbQvwO2oA/Ild0g/P1cmrj4cr1iEhqzibh8p/kx7TX8LX9YbfcvbM5sws4zk9CMxOg+fiWD1dPIFs8oVIeHTFHxmexD14G8c97v148ZHDuCGeRtQLQ+j2kiWehhT1YpQAbei3DH2T+JOjiS95HVw957OwPdbh7OP+DDvt7GEegyh2ET7xDr0Fx/gPu1R8QzAVvYzkd63FKUsNSBCooRV82OqlgA1n19jBNWFwLtnWWb39Tm0UkGk1wOqK7LG89RuBBpKD6pUEdq1N6x2V/UTolOfoEd9yucTUm8cWpkIvL3JpvkCbk/ywXn8Z4hV5tyNc9VrBBpKDyrKc9v2qFK1/McGpt9827PekOJa+u/Up3zqTWHqWiIFb3j2NJfmbdsgWUNOP3UNssZ43yHQUHpQUZ69/9W7ckSoYgPTukOvhnIrXHcq0hhpIwINC4GG0oMqdTmuYhEqx0W7iFf5t9gp2MHdwbqYKEhw8mOnbeFTTn3kht32TBTLdv+BsGU/vFzVircUPvnIaVtJ6lJpV23lLiK/YNVQCFD1f2sh949sYvXRRxQ2k6B9j8Goaf1Er1aVfeZ/4IOWE4fVT2tpuzIClxE14oldCoSCjDhWRb1hnIUy31aNQ8r78+UWv4TrVGhDoq/M/1aIWobh/5ZM7fp11feg8nrmBda5NTQXbYRk7XZDzSMXi11LmfZFdhmn7ZwkARNNrpRwww7Fp9MeXNYeIelaH86fd4ecM7iNdyjhtD0L1y+jcbnwt6v2/L2+TPtSBLsEKHZ2rVhUaxdpa2c0+VxdPg/NaCk01L/izqHDXO45n23rVPmqUg1567oIveGk53zWdXVkvV73KjZIbRSh2vlfKR1VlfegMj1Tj3D5REwbmos2+TdZrWnGEdkgohZ++/eLfC4zsHhmxungUVwKmMuMZMUybthiSQLGmb8g7pw7+RdDmKJ19m+nbZdXjOiYykP1D67aAYj7bsdPSbRLzConQF34F1RKjO9EaNrRkWyNMaDHqSID2lvMPhzEnC6iXRCIFkYdF6Hci2xcnsGYRRPoVeXPjioSodIO3P/vP6bxTkg0ev6DUVXdg8r0TNcmmEzLYJ94zbto/x+CJqWf1nySxAAAAABJRU5ErkJggg==">
          <a:extLst>
            <a:ext uri="{FF2B5EF4-FFF2-40B4-BE49-F238E27FC236}">
              <a16:creationId xmlns:a16="http://schemas.microsoft.com/office/drawing/2014/main" id="{53FB0BC9-1EFA-4CDA-A5CF-547B621B58A6}"/>
            </a:ext>
          </a:extLst>
        </xdr:cNvPr>
        <xdr:cNvSpPr>
          <a:spLocks noChangeAspect="1" noChangeArrowheads="1"/>
        </xdr:cNvSpPr>
      </xdr:nvSpPr>
      <xdr:spPr bwMode="auto">
        <a:xfrm>
          <a:off x="0" y="0"/>
          <a:ext cx="304800" cy="337457"/>
        </a:xfrm>
        <a:prstGeom prst="rect">
          <a:avLst/>
        </a:prstGeom>
        <a:noFill/>
        <a:extLst>
          <a:ext uri="{909E8E84-426E-40dd-AFC4-6F175D3DCCD1}">
            <a14:hiddenFill xmlns="" xmlns:a14="http://schemas.microsoft.com/office/drawing/2010/main">
              <a:solidFill>
                <a:srgbClr val="FFFFFF"/>
              </a:solidFill>
            </a14:hiddenFill>
          </a:ext>
        </a:extLst>
      </xdr:spPr>
      <xdr:txBody>
        <a:bodyPr/>
        <a:lstStyle/>
        <a:p>
          <a:endParaRPr lang="es-CO"/>
        </a:p>
      </xdr:txBody>
    </xdr:sp>
    <xdr:clientData/>
  </xdr:twoCellAnchor>
  <xdr:twoCellAnchor editAs="oneCell">
    <xdr:from>
      <xdr:col>0</xdr:col>
      <xdr:colOff>0</xdr:colOff>
      <xdr:row>83</xdr:row>
      <xdr:rowOff>0</xdr:rowOff>
    </xdr:from>
    <xdr:to>
      <xdr:col>0</xdr:col>
      <xdr:colOff>304800</xdr:colOff>
      <xdr:row>85</xdr:row>
      <xdr:rowOff>32657</xdr:rowOff>
    </xdr:to>
    <xdr:sp macro="" textlink="">
      <xdr:nvSpPr>
        <xdr:cNvPr id="4" name="AutoShape 3" descr="data:image/png;base64,iVBORw0KGgoAAAANSUhEUgAAAaEAAAAXCAYAAACiTPAeAAAAAXNSR0IArs4c6QAAE4ZJREFUeF7tnHlcjmn7xr8hkgxZZ4YxtncG8zKDsWVQqSgqFElIJa2klPY9afGUskuKNFOWCdm3alKyxWuJLGM0dmULKfX0+xRmSr2/HvO21/3X8/k813Pd53mcx3Me933d132IFRYWFvKJR+/uPUi/mSjCr/JIdpmBxTMzTgcPJzU2AX4YSKv/bMLK7jyjwsOx+7E5eUkCxpm/IO6cOzw/jMXYYN5Y+KB13RvLS/JYdo0hvIk5oQs/Y8s8Z1Ll5vD1jq3k/jVmHOGzb2CyJBfzEDVu2rhyaXIIUaY9aCpClN/2GiViPiJM1jikfiGQf4PgyUYcG7uO7Qt70+x9dsLMvZgphtPafSmTLi/BPFWB7VGa/Ok4HadCGxJ9B5Ng9+HzcLK2OTB+hRSu68dz2dqBcxM3EGncTSR+1i9AG7MpD4Gq70HZ7DHXxuuNPuu0/8BuQTrqO1dj/K+iDvmWiwFWrO/mRpBme/KP+6Oy6ivClkvgNvkS0+OcUGxROXUryvM/F8+Wmkys2kQosBdbLewQHLtHjlR35Iys8TT4N59BaREij/QtHlgsO8EDyX7o+nsxV3IPVlYRJN8rpPPgSbgs1+OLQ16lxlj8mMkvls4Exj2m5Q/T8F1tgIx0E5GQq3oCiBRG46DaiMB/ESF4Q9omDywDU3jUegD6/p6YDW9O4l/CU1KEZCDnGhFWbgTFZyL143R8V85hWBvR+FkbYWmMqXIRqI4elJf+K4vMQoh/IMH3eo6ssPyR4haZfRxHg1OohFsxUhJ4mYpA15ud9wvppGJDqMNw2lYSVWtAhCq3UFU1W3UQoKpib5y3EYFGBOo+Ag2lB1WqCCWf3F33K/8+A5lhatSnfOpNYRoTaUSggSDQUHpQUZ7H4g9XznKcdLu29YYeT588oz7lU28K05hIIwINBIGG0oOK85QurR1V/EyobjCoodwK141qVHOU+c+5ff0JEt170LllNZ+78XSNCLxHoKH0oEpdjqt4d1w2JzasZc8NIRLfq+Os3QcKMtgbGEVyphBoSmfZmRh9d4M1fttJedSCb9TmYK3Th/yTUfiuTuKe5L/RsZvLeOkLbPQ7zM0CCQZom6E1QBxh1jk2+kRw7K4EA2eZYTFOkvMbVrP26ANaDpqCraUc3ZqLxvGGQgDR0KihUS/S2R68hdiLWYgPmMYSe1k6V9LD0P+akfAJey31sUuQZFpgGM5yJbcAFfDn/nCiX8uyQKMXIlKpcsHLOYjZ0M18vTmcxQPFRZ5b+DKTTNrRSaokgG84sFAD/7ae7HcbVDP5iJxBwxtY9T2ogFuxoYQmPaFoO3STz4djqNOavR7hJGRJM8bcEiMZaYoY8+xgEF731PDR6/HXbtDKqkj1ipDwOXGBvqyPPc31AQ6cCZaDV0dYMHIVL9QnMkhajHaDR9PqZwv8X09hsewdVvtdR2HjfF7bOXNhzDzk7mxhs5g+O/3as9Uxkj3HbzHAL4ZAFUh2mY35f4ZhKX+f9eFiGLl3JszpKqMWyXB37XawCGPd9M7FoFZ0VD0BKoqggX8vfMwuc0Pc//gRc+MRSL2RYozmsKoXobyL+KhY8btRDOunSpUuQs45lmhH0HWZH7q9P2zMruY6/SMRymaniSYehZakrh1fIuBGEarm6n3S6aq+B71mr5kGPi8UmTq4DWLt+6PQZCvGx8ewQi4F89hBbNukQefCu4QbBlDg5IdBT1FecPmkNKleESqOreR7QnIUXN+E1tQ0tBN80WhT9PV5vMbZcMcshrWq57H9yZVMrck83niJiXtXMeuKJ6Ndm+F93AlFzuCm4MJz+18JVLrNcjVTTqiF8bPuTaxlBLwa2Y6UB+PYFa3BVaspuDezI0EwGlG2t1c9AT6tUA1tdMHNLWir7WPgpjDsfxSlYpWEUN4FfJQXkWEey+rJEqUmzT0bRfDvI7Cc+nWlXw2KHL3IIvSWcwIzbDNnEbt0FPm3LnBVrDeDuxftt/1wNIqQyLjXwMAq70EFt1ijYcJ5nW2sm9oayCct0BgXMTsilRLQts7DdacJfS+uYU5Eb1YGKNJOlCv4T8SqxkUo99hSFFxymOc7A/kf+tClZSbnDqSS138sQ8S2M1txC5+b/sTpNZmYp/ijfjkA5bkPMDnhh2aLEiI09hKuY225t2AnIerX8VCy4WKXz0hvacDxUCXSXGdidFeXxA0Tit9DquiocgJUFEAD//7lTgdGe7XEN9EZxQ/PZYSZJK8PY+e9bsh8L+RlBzmmdb/JL/G5fCF+jVufa6AgjOP4CynenDvNzVYjMLRU4l/iTzkTuZmtZ1/zudxUjNR704rXXN0VSURCFt0mGWI0uj0g5FHSRhYtjOSJjAl2iyfxdfouEnI6IX45g45KPbiTKoas7ghapvzCil8f0nNkX4QvpRmvM4DsPWXne3pmP9v++BqtKX15Hv8rccigK9/lXXWF5cRVkMHRTSd5JZ3Hmd/u0HXyZPqk7WL3zdaMmaePatc4zIZuQnKuPM0zsumrM5cZg1py68A2kiVkmTFKyG+bE8nr153LgZ6EZw/H2t4A2bwkjhWOYM7YrlDwkIQ1Yex59BWd7kRyoJtX8XLc26uHWB9+ggetv0fLVI1B0m/KwaiBE7Ma06/yHpSbhINsAK+M7Zmr0I/+XZqTFmCMS9P3IrQoF5eYWTxwtCV1aiAOw6rmYrCGRWgMmTu80Qu5wvMHd3nWfjyCqMUodiyS2wJurDFlSngXvF2a47P4BTZnvFG+vBJV3ZvMSRCg3Tr17zuhsak4jnHhmd0eVqlcw0fZkhPtWvFHezNS1sqTtkQX/fRpHAufRHsR1LzKCVCNZK57pyrgz5D5TIjuR/g+cwa9f/iSmyRA2eQig3T7kbFlH1nqAewccwgV09/oNEGLuQbqNN84C4tT36E/uTmH1l1g0OpoHAsDmeD6GJWpHUjZdAPZiHWY5m9kyuwU+umPokdvRYxUuhZz7s6+AMwc9pL9nSYLPfRpEzIDs0MdUDHQYWbPk5h5FOJ5UJH4iQ6kDp7KgIwYYjIVWS9ohe/cj+eDnENejPVqybKD2lydY0CSegShMzoUl+TVMZ8ycS3olYLtKGfODprBRLEjhMQ3QdZAAfEDP3N2yBISXZ5jNmgpF4drMrFpAlseK7N1xwxuWU3Br60HBx3z8ZDz4JXJfFr9EsTOnL7MtprPsKRF710bZMiJ80FpwVWGzelHRsQ+siYFsN9ejGUqDqT8MIVBd3Zz9EsrYvSuo18Go7rHproacVX3IGHmfuxm/8zF54/JeNqOSYFBzH+8lOmnlQlVSEY/qh+R3uDunIetXz+SQg6QXtgTVeOpjOgkQhMVEfgaFiG5v8IseByP/RRPMnTC3lmXvDyBk7ITFyavInJgDOPnZ7P4tDfKaStRnX0T3QQBMz4SIYfRrjy3j2WVynV8lBdyQlqS2x3NObFGniveuuhdncrR8Ml0EAG/qiaAiPVpoMMK+H2tKZNiBhIRa8z3xSJUwPUVRkxNVmLfFhVOmWuyorP3OxGyfoNjohvjJXM5ajMNt6Z2HHUXx1vBmae2W5l13gjrTG2W63fiqKszlzSjWPN1KOOts1kU64Zq8UXP+6PUcpxYsc3O4pwFxAXJ0TTOBwWHQtxDvmDV9LOoHlqOxklnZJd3ZLlbPs72ZecTPvwVfaU4ZLdN4IzOHgbtCEK/2ztblDNeumXiCtVMw360gGY+0bggQMFRDM84K1os0WHBM1NO++ZhNiSUziFbsBNfj6ren8xLckfSqbQIvXaORvu0ISaP55G4YiSn/nJtGEp6kDFaKaVx3K2egubs39GLX4b6RR8UbAtw9GmOTzk5NVBSVnva1daDCrI4aGuEze3JxKzoyS7HUOKz2jJmgTXyZ73Y1NsV/d8XY3NXFX3xGMJb27DLaUClbWSpNSIEOew2UUfQwZvDngO5H2bJ5DVtcd/nxrjLyxhrksXCU76oXl6Osv4djJKXMU2i5HLceZzkHHlsGcs69XQ8law5/3lrrksZkrxBiTT3mRjenslvG1UpevRU0VFtBKgokAb5vZDMyEXIr/6SVcdsGFW8CvCWs0t0MciYTfI6OU7aarGkpQsxRSLk3IQlRxczusU7EXIXt+eIa3N8lBzJsolGLUEHi8NNaNeqqPk3o79pEMFTc4g0XMjKbFVWbDRg2AcPknJEyKWJLYe9h1P4XoRcA1rjb3gXk1NLUU5ZioKnBP671blmXs58+ekEqjvwQH4IqYmdWbVdj2+K9zQUxapZNi7NmziMDkDcLwqXwkAUHMHzmCUSPrOYn2XMqSIRGhbFt9EhmDWLRGvyGSYe8qWzj2apO6H/LkJDysdx1AHG2wlxO+6E3LUQpmhfY1a8CTmLysmpQXKy+pOuzh70epcDI/3bseqoNTIfVt1e/Ia9YSpq4cY8s51G7JgoBJJ+KMQM5eB6FT7atvOPAao9IiR8SLiODjsGryTG5CVLJtpxXn010Qu/gdTVqM+8gtbhILSvLEXWOg+XE+4oNykhQgo38JtgwQXtSDbr3MB+lBcPf2hHavYk9keqc9VWE9tcKxKD5RDl1Y/qJMA/rl49/mFeSiDKeteYvn8lht2LxCOfi8sMmHVJg7hwJU5aaOAv7fnuTqgCEdI6ORf3Fo7EOvXh4ZnTPP5iOIO6NIOXlwiaZcMRmQBibfq+Q1MEEXJb2Z7luunMTBSgluKGrG8bgg5aMvxtOfORS5ztdFyTm/DZRA9+tf3u/RVkHsnOM8vG1SEF24pEaGgE3SPCsBTfxBSty0yPX4K0h6giNJQL/vrMTtMkLmwcpyw18GvjwS7FeNTMnrIo2RPFtBWozn3I/GQvJgrLy6keE68WpVZ9PUjIvY0WKG/vz5bd8+hffJEk5E6EPU4vjQk1+YL9plPZP24bARL+KGz7gT0bRLuYFwXOGhah8ly0Q5l51YFJwZI4bLdDQbopLd4msVippIv2OHZsm03v/BIipPK2jCPsOItORIXkNbpoi8KE2jamaDv0RGuO/Xshy22+Jzsti47Z29AWNMcpRJ6zC1xJHiUQQYR24PDMkQnb+7F2WW+2GwSBSzRL+vzJ5XxxbgVa4SduSZL/TyKLkOfOgWwbt47mLr6onHXF8vhQ1oepItW0nPkQkvnLYsa63mZKeCSuMh/eLhLycMuiMnH5/HS6YhEa7M9T00BsxUPQj/iK4KMW5LtqYf1oJpGL8/GeHkXXoC2oJxiUsxwnw5NttigESuISqsD5+U4k/iRgr/l9LD9yAI8WDCOnsLycahtZ6mc8VS1Cr88e4RD9GCZ1hVUWPpwZJWC34/tltryrLNfdQrdgD6Z0zCfJaRZrugciaClAM1WdIyLuMhalMjUrQuW5aM94y4qJlmz+o+Bd/E27oBsZikb60tIO2SPb0CS3pAhJUMYR1lSafYsaXbRFIUJtHPMiNQonp0jib76mzZj5/Oz7FdF6zmy++yV9pDPIkvERQYRiCBp1hWBTLzaefUknWUOCgzTpeTKQCaaxPO08BONlrswd+H7rsgh3Qp7x5rQIssIi/AFd+7bhVuZggl3Aw6Kc+YoW3uJ9UbQvwO2oA/Ild0g/P1cmrj4cr1iEhqzibh8p/kx7TX8LX9YbfcvbM5sws4zk9CMxOg+fiWD1dPIFs8oVIeHTFHxmexD14G8c97v148ZHDuCGeRtQLQ+j2kiWehhT1YpQAbei3DH2T+JOjiS95HVw957OwPdbh7OP+DDvt7GEegyh2ET7xDr0Fx/gPu1R8QzAVvYzkd63FKUsNSBCooRV82OqlgA1n19jBNWFwLtnWWb39Tm0UkGk1wOqK7LG89RuBBpKD6pUEdq1N6x2V/UTolOfoEd9yucTUm8cWpkIvL3JpvkCbk/ywXn8Z4hV5tyNc9VrBBpKDyrKc9v2qFK1/McGpt9827PekOJa+u/Up3zqTWHqWiIFb3j2NJfmbdsgWUNOP3UNssZ43yHQUHpQUZ69/9W7ckSoYgPTukOvhnIrXHcq0hhpIwINC4GG0oMqdTmuYhEqx0W7iFf5t9gp2MHdwbqYKEhw8mOnbeFTTn3kht32TBTLdv+BsGU/vFzVircUPvnIaVtJ6lJpV23lLiK/YNVQCFD1f2sh949sYvXRRxQ2k6B9j8Goaf1Er1aVfeZ/4IOWE4fVT2tpuzIClxE14oldCoSCjDhWRb1hnIUy31aNQ8r78+UWv4TrVGhDoq/M/1aIWobh/5ZM7fp11feg8nrmBda5NTQXbYRk7XZDzSMXi11LmfZFdhmn7ZwkARNNrpRwww7Fp9MeXNYeIelaH86fd4ecM7iNdyjhtD0L1y+jcbnwt6v2/L2+TPtSBLsEKHZ2rVhUaxdpa2c0+VxdPg/NaCk01L/izqHDXO45n23rVPmqUg1567oIveGk53zWdXVkvV73KjZIbRSh2vlfKR1VlfegMj1Tj3D5REwbmos2+TdZrWnGEdkgohZ++/eLfC4zsHhmxungUVwKmMuMZMUybthiSQLGmb8g7pw7+RdDmKJ19m+nbZdXjOiYykP1D67aAYj7bsdPSbRLzConQF34F1RKjO9EaNrRkWyNMaDHqSID2lvMPhzEnC6iXRCIFkYdF6Hci2xcnsGYRRPoVeXPjioSodIO3P/vP6bxTkg0ev6DUVXdg8r0TNcmmEzLYJ94zbto/x+CJqWf1nySxAAAAABJRU5ErkJggg==">
          <a:extLst>
            <a:ext uri="{FF2B5EF4-FFF2-40B4-BE49-F238E27FC236}">
              <a16:creationId xmlns:a16="http://schemas.microsoft.com/office/drawing/2014/main" id="{758D3C67-B169-4268-B25A-17018E84F46B}"/>
            </a:ext>
          </a:extLst>
        </xdr:cNvPr>
        <xdr:cNvSpPr>
          <a:spLocks noChangeAspect="1" noChangeArrowheads="1"/>
        </xdr:cNvSpPr>
      </xdr:nvSpPr>
      <xdr:spPr bwMode="auto">
        <a:xfrm>
          <a:off x="0" y="19030950"/>
          <a:ext cx="304800" cy="337457"/>
        </a:xfrm>
        <a:prstGeom prst="rect">
          <a:avLst/>
        </a:prstGeom>
        <a:noFill/>
        <a:extLst>
          <a:ext uri="{909E8E84-426E-40dd-AFC4-6F175D3DCCD1}">
            <a14:hiddenFill xmlns="" xmlns:a14="http://schemas.microsoft.com/office/drawing/2010/main">
              <a:solidFill>
                <a:srgbClr val="FFFFFF"/>
              </a:solidFill>
            </a14:hiddenFill>
          </a:ext>
        </a:extLst>
      </xdr:spPr>
      <xdr:txBody>
        <a:bodyPr/>
        <a:lstStyle/>
        <a:p>
          <a:endParaRPr lang="es-CO"/>
        </a:p>
      </xdr:txBody>
    </xdr:sp>
    <xdr:clientData/>
  </xdr:twoCellAnchor>
  <xdr:twoCellAnchor editAs="oneCell">
    <xdr:from>
      <xdr:col>0</xdr:col>
      <xdr:colOff>0</xdr:colOff>
      <xdr:row>0</xdr:row>
      <xdr:rowOff>0</xdr:rowOff>
    </xdr:from>
    <xdr:to>
      <xdr:col>0</xdr:col>
      <xdr:colOff>304800</xdr:colOff>
      <xdr:row>1</xdr:row>
      <xdr:rowOff>171805</xdr:rowOff>
    </xdr:to>
    <xdr:sp macro="" textlink="">
      <xdr:nvSpPr>
        <xdr:cNvPr id="5" name="AutoShape 3" descr="data:image/png;base64,iVBORw0KGgoAAAANSUhEUgAAAaEAAAAXCAYAAACiTPAeAAAAAXNSR0IArs4c6QAAE4ZJREFUeF7tnHlcjmn7xr8hkgxZZ4YxtncG8zKDsWVQqSgqFElIJa2klPY9afGUskuKNFOWCdm3alKyxWuJLGM0dmULKfX0+xRmSr2/HvO21/3X8/k813Pd53mcx3Me933d132IFRYWFvKJR+/uPUi/mSjCr/JIdpmBxTMzTgcPJzU2AX4YSKv/bMLK7jyjwsOx+7E5eUkCxpm/IO6cOzw/jMXYYN5Y+KB13RvLS/JYdo0hvIk5oQs/Y8s8Z1Ll5vD1jq3k/jVmHOGzb2CyJBfzEDVu2rhyaXIIUaY9aCpClN/2GiViPiJM1jikfiGQf4PgyUYcG7uO7Qt70+x9dsLMvZgphtPafSmTLi/BPFWB7VGa/Ok4HadCGxJ9B5Ng9+HzcLK2OTB+hRSu68dz2dqBcxM3EGncTSR+1i9AG7MpD4Gq70HZ7DHXxuuNPuu0/8BuQTrqO1dj/K+iDvmWiwFWrO/mRpBme/KP+6Oy6ivClkvgNvkS0+OcUGxROXUryvM/F8+Wmkys2kQosBdbLewQHLtHjlR35Iys8TT4N59BaREij/QtHlgsO8EDyX7o+nsxV3IPVlYRJN8rpPPgSbgs1+OLQ16lxlj8mMkvls4Exj2m5Q/T8F1tgIx0E5GQq3oCiBRG46DaiMB/ESF4Q9omDywDU3jUegD6/p6YDW9O4l/CU1KEZCDnGhFWbgTFZyL143R8V85hWBvR+FkbYWmMqXIRqI4elJf+K4vMQoh/IMH3eo6ssPyR4haZfRxHg1OohFsxUhJ4mYpA15ud9wvppGJDqMNw2lYSVWtAhCq3UFU1W3UQoKpib5y3EYFGBOo+Ag2lB1WqCCWf3F33K/8+A5lhatSnfOpNYRoTaUSggSDQUHpQUZ7H4g9XznKcdLu29YYeT588oz7lU28K05hIIwINBIGG0oOK85QurR1V/EyobjCoodwK141qVHOU+c+5ff0JEt170LllNZ+78XSNCLxHoKH0oEpdjqt4d1w2JzasZc8NIRLfq+Os3QcKMtgbGEVyphBoSmfZmRh9d4M1fttJedSCb9TmYK3Th/yTUfiuTuKe5L/RsZvLeOkLbPQ7zM0CCQZom6E1QBxh1jk2+kRw7K4EA2eZYTFOkvMbVrP26ANaDpqCraUc3ZqLxvGGQgDR0KihUS/S2R68hdiLWYgPmMYSe1k6V9LD0P+akfAJey31sUuQZFpgGM5yJbcAFfDn/nCiX8uyQKMXIlKpcsHLOYjZ0M18vTmcxQPFRZ5b+DKTTNrRSaokgG84sFAD/7ae7HcbVDP5iJxBwxtY9T2ogFuxoYQmPaFoO3STz4djqNOavR7hJGRJM8bcEiMZaYoY8+xgEF731PDR6/HXbtDKqkj1ipDwOXGBvqyPPc31AQ6cCZaDV0dYMHIVL9QnMkhajHaDR9PqZwv8X09hsewdVvtdR2HjfF7bOXNhzDzk7mxhs5g+O/3as9Uxkj3HbzHAL4ZAFUh2mY35f4ZhKX+f9eFiGLl3JszpKqMWyXB37XawCGPd9M7FoFZ0VD0BKoqggX8vfMwuc0Pc//gRc+MRSL2RYozmsKoXobyL+KhY8btRDOunSpUuQs45lmhH0HWZH7q9P2zMruY6/SMRymaniSYehZakrh1fIuBGEarm6n3S6aq+B71mr5kGPi8UmTq4DWLt+6PQZCvGx8ewQi4F89hBbNukQefCu4QbBlDg5IdBT1FecPmkNKleESqOreR7QnIUXN+E1tQ0tBN80WhT9PV5vMbZcMcshrWq57H9yZVMrck83niJiXtXMeuKJ6Ndm+F93AlFzuCm4MJz+18JVLrNcjVTTqiF8bPuTaxlBLwa2Y6UB+PYFa3BVaspuDezI0EwGlG2t1c9AT6tUA1tdMHNLWir7WPgpjDsfxSlYpWEUN4FfJQXkWEey+rJEqUmzT0bRfDvI7Cc+nWlXw2KHL3IIvSWcwIzbDNnEbt0FPm3LnBVrDeDuxftt/1wNIqQyLjXwMAq70EFt1ijYcJ5nW2sm9oayCct0BgXMTsilRLQts7DdacJfS+uYU5Eb1YGKNJOlCv4T8SqxkUo99hSFFxymOc7A/kf+tClZSbnDqSS138sQ8S2M1txC5+b/sTpNZmYp/ijfjkA5bkPMDnhh2aLEiI09hKuY225t2AnIerX8VCy4WKXz0hvacDxUCXSXGdidFeXxA0Tit9DquiocgJUFEAD//7lTgdGe7XEN9EZxQ/PZYSZJK8PY+e9bsh8L+RlBzmmdb/JL/G5fCF+jVufa6AgjOP4CynenDvNzVYjMLRU4l/iTzkTuZmtZ1/zudxUjNR704rXXN0VSURCFt0mGWI0uj0g5FHSRhYtjOSJjAl2iyfxdfouEnI6IX45g45KPbiTKoas7ghapvzCil8f0nNkX4QvpRmvM4DsPWXne3pmP9v++BqtKX15Hv8rccigK9/lXXWF5cRVkMHRTSd5JZ3Hmd/u0HXyZPqk7WL3zdaMmaePatc4zIZuQnKuPM0zsumrM5cZg1py68A2kiVkmTFKyG+bE8nr153LgZ6EZw/H2t4A2bwkjhWOYM7YrlDwkIQ1Yex59BWd7kRyoJtX8XLc26uHWB9+ggetv0fLVI1B0m/KwaiBE7Ma06/yHpSbhINsAK+M7Zmr0I/+XZqTFmCMS9P3IrQoF5eYWTxwtCV1aiAOw6rmYrCGRWgMmTu80Qu5wvMHd3nWfjyCqMUodiyS2wJurDFlSngXvF2a47P4BTZnvFG+vBJV3ZvMSRCg3Tr17zuhsak4jnHhmd0eVqlcw0fZkhPtWvFHezNS1sqTtkQX/fRpHAufRHsR1LzKCVCNZK57pyrgz5D5TIjuR/g+cwa9f/iSmyRA2eQig3T7kbFlH1nqAewccwgV09/oNEGLuQbqNN84C4tT36E/uTmH1l1g0OpoHAsDmeD6GJWpHUjZdAPZiHWY5m9kyuwU+umPokdvRYxUuhZz7s6+AMwc9pL9nSYLPfRpEzIDs0MdUDHQYWbPk5h5FOJ5UJH4iQ6kDp7KgIwYYjIVWS9ohe/cj+eDnENejPVqybKD2lydY0CSegShMzoUl+TVMZ8ycS3olYLtKGfODprBRLEjhMQ3QdZAAfEDP3N2yBISXZ5jNmgpF4drMrFpAlseK7N1xwxuWU3Br60HBx3z8ZDz4JXJfFr9EsTOnL7MtprPsKRF710bZMiJ80FpwVWGzelHRsQ+siYFsN9ejGUqDqT8MIVBd3Zz9EsrYvSuo18Go7rHproacVX3IGHmfuxm/8zF54/JeNqOSYFBzH+8lOmnlQlVSEY/qh+R3uDunIetXz+SQg6QXtgTVeOpjOgkQhMVEfgaFiG5v8IseByP/RRPMnTC3lmXvDyBk7ITFyavInJgDOPnZ7P4tDfKaStRnX0T3QQBMz4SIYfRrjy3j2WVynV8lBdyQlqS2x3NObFGniveuuhdncrR8Ml0EAG/qiaAiPVpoMMK+H2tKZNiBhIRa8z3xSJUwPUVRkxNVmLfFhVOmWuyorP3OxGyfoNjohvjJXM5ajMNt6Z2HHUXx1vBmae2W5l13gjrTG2W63fiqKszlzSjWPN1KOOts1kU64Zq8UXP+6PUcpxYsc3O4pwFxAXJ0TTOBwWHQtxDvmDV9LOoHlqOxklnZJd3ZLlbPs72ZecTPvwVfaU4ZLdN4IzOHgbtCEK/2ztblDNeumXiCtVMw360gGY+0bggQMFRDM84K1os0WHBM1NO++ZhNiSUziFbsBNfj6ren8xLckfSqbQIvXaORvu0ISaP55G4YiSn/nJtGEp6kDFaKaVx3K2egubs39GLX4b6RR8UbAtw9GmOTzk5NVBSVnva1daDCrI4aGuEze3JxKzoyS7HUOKz2jJmgTXyZ73Y1NsV/d8XY3NXFX3xGMJb27DLaUClbWSpNSIEOew2UUfQwZvDngO5H2bJ5DVtcd/nxrjLyxhrksXCU76oXl6Osv4djJKXMU2i5HLceZzkHHlsGcs69XQ8law5/3lrrksZkrxBiTT3mRjenslvG1UpevRU0VFtBKgokAb5vZDMyEXIr/6SVcdsGFW8CvCWs0t0MciYTfI6OU7aarGkpQsxRSLk3IQlRxczusU7EXIXt+eIa3N8lBzJsolGLUEHi8NNaNeqqPk3o79pEMFTc4g0XMjKbFVWbDRg2AcPknJEyKWJLYe9h1P4XoRcA1rjb3gXk1NLUU5ZioKnBP671blmXs58+ekEqjvwQH4IqYmdWbVdj2+K9zQUxapZNi7NmziMDkDcLwqXwkAUHMHzmCUSPrOYn2XMqSIRGhbFt9EhmDWLRGvyGSYe8qWzj2apO6H/LkJDysdx1AHG2wlxO+6E3LUQpmhfY1a8CTmLysmpQXKy+pOuzh70epcDI/3bseqoNTIfVt1e/Ia9YSpq4cY8s51G7JgoBJJ+KMQM5eB6FT7atvOPAao9IiR8SLiODjsGryTG5CVLJtpxXn010Qu/gdTVqM+8gtbhILSvLEXWOg+XE+4oNykhQgo38JtgwQXtSDbr3MB+lBcPf2hHavYk9keqc9VWE9tcKxKD5RDl1Y/qJMA/rl49/mFeSiDKeteYvn8lht2LxCOfi8sMmHVJg7hwJU5aaOAv7fnuTqgCEdI6ORf3Fo7EOvXh4ZnTPP5iOIO6NIOXlwiaZcMRmQBibfq+Q1MEEXJb2Z7luunMTBSgluKGrG8bgg5aMvxtOfORS5ztdFyTm/DZRA9+tf3u/RVkHsnOM8vG1SEF24pEaGgE3SPCsBTfxBSty0yPX4K0h6giNJQL/vrMTtMkLmwcpyw18GvjwS7FeNTMnrIo2RPFtBWozn3I/GQvJgrLy6keE68WpVZ9PUjIvY0WKG/vz5bd8+hffJEk5E6EPU4vjQk1+YL9plPZP24bARL+KGz7gT0bRLuYFwXOGhah8ly0Q5l51YFJwZI4bLdDQbopLd4msVippIv2OHZsm03v/BIipPK2jCPsOItORIXkNbpoi8KE2jamaDv0RGuO/Xshy22+Jzsti47Z29AWNMcpRJ6zC1xJHiUQQYR24PDMkQnb+7F2WW+2GwSBSzRL+vzJ5XxxbgVa4SduSZL/TyKLkOfOgWwbt47mLr6onHXF8vhQ1oepItW0nPkQkvnLYsa63mZKeCSuMh/eLhLycMuiMnH5/HS6YhEa7M9T00BsxUPQj/iK4KMW5LtqYf1oJpGL8/GeHkXXoC2oJxiUsxwnw5NttigESuISqsD5+U4k/iRgr/l9LD9yAI8WDCOnsLycahtZ6mc8VS1Cr88e4RD9GCZ1hVUWPpwZJWC34/tltryrLNfdQrdgD6Z0zCfJaRZrugciaClAM1WdIyLuMhalMjUrQuW5aM94y4qJlmz+o+Bd/E27oBsZikb60tIO2SPb0CS3pAhJUMYR1lSafYsaXbRFIUJtHPMiNQonp0jib76mzZj5/Oz7FdF6zmy++yV9pDPIkvERQYRiCBp1hWBTLzaefUknWUOCgzTpeTKQCaaxPO08BONlrswd+H7rsgh3Qp7x5rQIssIi/AFd+7bhVuZggl3Aw6Kc+YoW3uJ9UbQvwO2oA/Ild0g/P1cmrj4cr1iEhqzibh8p/kx7TX8LX9YbfcvbM5sws4zk9CMxOg+fiWD1dPIFs8oVIeHTFHxmexD14G8c97v148ZHDuCGeRtQLQ+j2kiWehhT1YpQAbei3DH2T+JOjiS95HVw957OwPdbh7OP+DDvt7GEegyh2ET7xDr0Fx/gPu1R8QzAVvYzkd63FKUsNSBCooRV82OqlgA1n19jBNWFwLtnWWb39Tm0UkGk1wOqK7LG89RuBBpKD6pUEdq1N6x2V/UTolOfoEd9yucTUm8cWpkIvL3JpvkCbk/ywXn8Z4hV5tyNc9VrBBpKDyrKc9v2qFK1/McGpt9827PekOJa+u/Up3zqTWHqWiIFb3j2NJfmbdsgWUNOP3UNssZ43yHQUHpQUZ69/9W7ckSoYgPTukOvhnIrXHcq0hhpIwINC4GG0oMqdTmuYhEqx0W7iFf5t9gp2MHdwbqYKEhw8mOnbeFTTn3kht32TBTLdv+BsGU/vFzVircUPvnIaVtJ6lJpV23lLiK/YNVQCFD1f2sh949sYvXRRxQ2k6B9j8Goaf1Er1aVfeZ/4IOWE4fVT2tpuzIClxE14oldCoSCjDhWRb1hnIUy31aNQ8r78+UWv4TrVGhDoq/M/1aIWobh/5ZM7fp11feg8nrmBda5NTQXbYRk7XZDzSMXi11LmfZFdhmn7ZwkARNNrpRwww7Fp9MeXNYeIelaH86fd4ecM7iNdyjhtD0L1y+jcbnwt6v2/L2+TPtSBLsEKHZ2rVhUaxdpa2c0+VxdPg/NaCk01L/izqHDXO45n23rVPmqUg1567oIveGk53zWdXVkvV73KjZIbRSh2vlfKR1VlfegMj1Tj3D5REwbmos2+TdZrWnGEdkgohZ++/eLfC4zsHhmxungUVwKmMuMZMUybthiSQLGmb8g7pw7+RdDmKJ19m+nbZdXjOiYykP1D67aAYj7bsdPSbRLzConQF34F1RKjO9EaNrRkWyNMaDHqSID2lvMPhzEnC6iXRCIFkYdF6Hci2xcnsGYRRPoVeXPjioSodIO3P/vP6bxTkg0ev6DUVXdg8r0TNcmmEzLYJ94zbto/x+CJqWf1nySxAAAAABJRU5ErkJggg==">
          <a:extLst>
            <a:ext uri="{FF2B5EF4-FFF2-40B4-BE49-F238E27FC236}">
              <a16:creationId xmlns:a16="http://schemas.microsoft.com/office/drawing/2014/main" id="{82D81D33-F2F8-43B3-8D8A-416D6AD3C4D1}"/>
            </a:ext>
          </a:extLst>
        </xdr:cNvPr>
        <xdr:cNvSpPr>
          <a:spLocks noChangeAspect="1" noChangeArrowheads="1"/>
        </xdr:cNvSpPr>
      </xdr:nvSpPr>
      <xdr:spPr bwMode="auto">
        <a:xfrm>
          <a:off x="0" y="0"/>
          <a:ext cx="304800" cy="333730"/>
        </a:xfrm>
        <a:prstGeom prst="rect">
          <a:avLst/>
        </a:prstGeom>
        <a:noFill/>
        <a:extLst>
          <a:ext uri="{909E8E84-426E-40dd-AFC4-6F175D3DCCD1}">
            <a14:hiddenFill xmlns="" xmlns:a14="http://schemas.microsoft.com/office/drawing/2010/main">
              <a:solidFill>
                <a:srgbClr val="FFFFFF"/>
              </a:solidFill>
            </a14:hiddenFill>
          </a:ext>
        </a:extLst>
      </xdr:spPr>
      <xdr:txBody>
        <a:bodyPr/>
        <a:lstStyle/>
        <a:p>
          <a:endParaRPr lang="es-CO"/>
        </a:p>
      </xdr:txBody>
    </xdr:sp>
    <xdr:clientData/>
  </xdr:twoCellAnchor>
  <xdr:twoCellAnchor editAs="oneCell">
    <xdr:from>
      <xdr:col>0</xdr:col>
      <xdr:colOff>0</xdr:colOff>
      <xdr:row>0</xdr:row>
      <xdr:rowOff>0</xdr:rowOff>
    </xdr:from>
    <xdr:to>
      <xdr:col>0</xdr:col>
      <xdr:colOff>304800</xdr:colOff>
      <xdr:row>1</xdr:row>
      <xdr:rowOff>171805</xdr:rowOff>
    </xdr:to>
    <xdr:sp macro="" textlink="">
      <xdr:nvSpPr>
        <xdr:cNvPr id="6" name="AutoShape 3" descr="data:image/png;base64,iVBORw0KGgoAAAANSUhEUgAAAaEAAAAXCAYAAACiTPAeAAAAAXNSR0IArs4c6QAAE4ZJREFUeF7tnHlcjmn7xr8hkgxZZ4YxtncG8zKDsWVQqSgqFElIJa2klPY9afGUskuKNFOWCdm3alKyxWuJLGM0dmULKfX0+xRmSr2/HvO21/3X8/k813Pd53mcx3Me933d132IFRYWFvKJR+/uPUi/mSjCr/JIdpmBxTMzTgcPJzU2AX4YSKv/bMLK7jyjwsOx+7E5eUkCxpm/IO6cOzw/jMXYYN5Y+KB13RvLS/JYdo0hvIk5oQs/Y8s8Z1Ll5vD1jq3k/jVmHOGzb2CyJBfzEDVu2rhyaXIIUaY9aCpClN/2GiViPiJM1jikfiGQf4PgyUYcG7uO7Qt70+x9dsLMvZgphtPafSmTLi/BPFWB7VGa/Ok4HadCGxJ9B5Ng9+HzcLK2OTB+hRSu68dz2dqBcxM3EGncTSR+1i9AG7MpD4Gq70HZ7DHXxuuNPuu0/8BuQTrqO1dj/K+iDvmWiwFWrO/mRpBme/KP+6Oy6ivClkvgNvkS0+OcUGxROXUryvM/F8+Wmkys2kQosBdbLewQHLtHjlR35Iys8TT4N59BaREij/QtHlgsO8EDyX7o+nsxV3IPVlYRJN8rpPPgSbgs1+OLQ16lxlj8mMkvls4Exj2m5Q/T8F1tgIx0E5GQq3oCiBRG46DaiMB/ESF4Q9omDywDU3jUegD6/p6YDW9O4l/CU1KEZCDnGhFWbgTFZyL143R8V85hWBvR+FkbYWmMqXIRqI4elJf+K4vMQoh/IMH3eo6ssPyR4haZfRxHg1OohFsxUhJ4mYpA15ud9wvppGJDqMNw2lYSVWtAhCq3UFU1W3UQoKpib5y3EYFGBOo+Ag2lB1WqCCWf3F33K/8+A5lhatSnfOpNYRoTaUSggSDQUHpQUZ7H4g9XznKcdLu29YYeT588oz7lU28K05hIIwINBIGG0oOK85QurR1V/EyobjCoodwK141qVHOU+c+5ff0JEt170LllNZ+78XSNCLxHoKH0oEpdjqt4d1w2JzasZc8NIRLfq+Os3QcKMtgbGEVyphBoSmfZmRh9d4M1fttJedSCb9TmYK3Th/yTUfiuTuKe5L/RsZvLeOkLbPQ7zM0CCQZom6E1QBxh1jk2+kRw7K4EA2eZYTFOkvMbVrP26ANaDpqCraUc3ZqLxvGGQgDR0KihUS/S2R68hdiLWYgPmMYSe1k6V9LD0P+akfAJey31sUuQZFpgGM5yJbcAFfDn/nCiX8uyQKMXIlKpcsHLOYjZ0M18vTmcxQPFRZ5b+DKTTNrRSaokgG84sFAD/7ae7HcbVDP5iJxBwxtY9T2ogFuxoYQmPaFoO3STz4djqNOavR7hJGRJM8bcEiMZaYoY8+xgEF731PDR6/HXbtDKqkj1ipDwOXGBvqyPPc31AQ6cCZaDV0dYMHIVL9QnMkhajHaDR9PqZwv8X09hsewdVvtdR2HjfF7bOXNhzDzk7mxhs5g+O/3as9Uxkj3HbzHAL4ZAFUh2mY35f4ZhKX+f9eFiGLl3JszpKqMWyXB37XawCGPd9M7FoFZ0VD0BKoqggX8vfMwuc0Pc//gRc+MRSL2RYozmsKoXobyL+KhY8btRDOunSpUuQs45lmhH0HWZH7q9P2zMruY6/SMRymaniSYehZakrh1fIuBGEarm6n3S6aq+B71mr5kGPi8UmTq4DWLt+6PQZCvGx8ewQi4F89hBbNukQefCu4QbBlDg5IdBT1FecPmkNKleESqOreR7QnIUXN+E1tQ0tBN80WhT9PV5vMbZcMcshrWq57H9yZVMrck83niJiXtXMeuKJ6Ndm+F93AlFzuCm4MJz+18JVLrNcjVTTqiF8bPuTaxlBLwa2Y6UB+PYFa3BVaspuDezI0EwGlG2t1c9AT6tUA1tdMHNLWir7WPgpjDsfxSlYpWEUN4FfJQXkWEey+rJEqUmzT0bRfDvI7Cc+nWlXw2KHL3IIvSWcwIzbDNnEbt0FPm3LnBVrDeDuxftt/1wNIqQyLjXwMAq70EFt1ijYcJ5nW2sm9oayCct0BgXMTsilRLQts7DdacJfS+uYU5Eb1YGKNJOlCv4T8SqxkUo99hSFFxymOc7A/kf+tClZSbnDqSS138sQ8S2M1txC5+b/sTpNZmYp/ijfjkA5bkPMDnhh2aLEiI09hKuY225t2AnIerX8VCy4WKXz0hvacDxUCXSXGdidFeXxA0Tit9DquiocgJUFEAD//7lTgdGe7XEN9EZxQ/PZYSZJK8PY+e9bsh8L+RlBzmmdb/JL/G5fCF+jVufa6AgjOP4CynenDvNzVYjMLRU4l/iTzkTuZmtZ1/zudxUjNR704rXXN0VSURCFt0mGWI0uj0g5FHSRhYtjOSJjAl2iyfxdfouEnI6IX45g45KPbiTKoas7ghapvzCil8f0nNkX4QvpRmvM4DsPWXne3pmP9v++BqtKX15Hv8rccigK9/lXXWF5cRVkMHRTSd5JZ3Hmd/u0HXyZPqk7WL3zdaMmaePatc4zIZuQnKuPM0zsumrM5cZg1py68A2kiVkmTFKyG+bE8nr153LgZ6EZw/H2t4A2bwkjhWOYM7YrlDwkIQ1Yex59BWd7kRyoJtX8XLc26uHWB9+ggetv0fLVI1B0m/KwaiBE7Ma06/yHpSbhINsAK+M7Zmr0I/+XZqTFmCMS9P3IrQoF5eYWTxwtCV1aiAOw6rmYrCGRWgMmTu80Qu5wvMHd3nWfjyCqMUodiyS2wJurDFlSngXvF2a47P4BTZnvFG+vBJV3ZvMSRCg3Tr17zuhsak4jnHhmd0eVqlcw0fZkhPtWvFHezNS1sqTtkQX/fRpHAufRHsR1LzKCVCNZK57pyrgz5D5TIjuR/g+cwa9f/iSmyRA2eQig3T7kbFlH1nqAewccwgV09/oNEGLuQbqNN84C4tT36E/uTmH1l1g0OpoHAsDmeD6GJWpHUjZdAPZiHWY5m9kyuwU+umPokdvRYxUuhZz7s6+AMwc9pL9nSYLPfRpEzIDs0MdUDHQYWbPk5h5FOJ5UJH4iQ6kDp7KgIwYYjIVWS9ohe/cj+eDnENejPVqybKD2lydY0CSegShMzoUl+TVMZ8ycS3olYLtKGfODprBRLEjhMQ3QdZAAfEDP3N2yBISXZ5jNmgpF4drMrFpAlseK7N1xwxuWU3Br60HBx3z8ZDz4JXJfFr9EsTOnL7MtprPsKRF710bZMiJ80FpwVWGzelHRsQ+siYFsN9ejGUqDqT8MIVBd3Zz9EsrYvSuo18Go7rHproacVX3IGHmfuxm/8zF54/JeNqOSYFBzH+8lOmnlQlVSEY/qh+R3uDunIetXz+SQg6QXtgTVeOpjOgkQhMVEfgaFiG5v8IseByP/RRPMnTC3lmXvDyBk7ITFyavInJgDOPnZ7P4tDfKaStRnX0T3QQBMz4SIYfRrjy3j2WVynV8lBdyQlqS2x3NObFGniveuuhdncrR8Ml0EAG/qiaAiPVpoMMK+H2tKZNiBhIRa8z3xSJUwPUVRkxNVmLfFhVOmWuyorP3OxGyfoNjohvjJXM5ajMNt6Z2HHUXx1vBmae2W5l13gjrTG2W63fiqKszlzSjWPN1KOOts1kU64Zq8UXP+6PUcpxYsc3O4pwFxAXJ0TTOBwWHQtxDvmDV9LOoHlqOxklnZJd3ZLlbPs72ZecTPvwVfaU4ZLdN4IzOHgbtCEK/2ztblDNeumXiCtVMw360gGY+0bggQMFRDM84K1os0WHBM1NO++ZhNiSUziFbsBNfj6ren8xLckfSqbQIvXaORvu0ISaP55G4YiSn/nJtGEp6kDFaKaVx3K2egubs39GLX4b6RR8UbAtw9GmOTzk5NVBSVnva1daDCrI4aGuEze3JxKzoyS7HUOKz2jJmgTXyZ73Y1NsV/d8XY3NXFX3xGMJb27DLaUClbWSpNSIEOew2UUfQwZvDngO5H2bJ5DVtcd/nxrjLyxhrksXCU76oXl6Osv4djJKXMU2i5HLceZzkHHlsGcs69XQ8law5/3lrrksZkrxBiTT3mRjenslvG1UpevRU0VFtBKgokAb5vZDMyEXIr/6SVcdsGFW8CvCWs0t0MciYTfI6OU7aarGkpQsxRSLk3IQlRxczusU7EXIXt+eIa3N8lBzJsolGLUEHi8NNaNeqqPk3o79pEMFTc4g0XMjKbFVWbDRg2AcPknJEyKWJLYe9h1P4XoRcA1rjb3gXk1NLUU5ZioKnBP671blmXs58+ekEqjvwQH4IqYmdWbVdj2+K9zQUxapZNi7NmziMDkDcLwqXwkAUHMHzmCUSPrOYn2XMqSIRGhbFt9EhmDWLRGvyGSYe8qWzj2apO6H/LkJDysdx1AHG2wlxO+6E3LUQpmhfY1a8CTmLysmpQXKy+pOuzh70epcDI/3bseqoNTIfVt1e/Ia9YSpq4cY8s51G7JgoBJJ+KMQM5eB6FT7atvOPAao9IiR8SLiODjsGryTG5CVLJtpxXn010Qu/gdTVqM+8gtbhILSvLEXWOg+XE+4oNykhQgo38JtgwQXtSDbr3MB+lBcPf2hHavYk9keqc9VWE9tcKxKD5RDl1Y/qJMA/rl49/mFeSiDKeteYvn8lht2LxCOfi8sMmHVJg7hwJU5aaOAv7fnuTqgCEdI6ORf3Fo7EOvXh4ZnTPP5iOIO6NIOXlwiaZcMRmQBibfq+Q1MEEXJb2Z7luunMTBSgluKGrG8bgg5aMvxtOfORS5ztdFyTm/DZRA9+tf3u/RVkHsnOM8vG1SEF24pEaGgE3SPCsBTfxBSty0yPX4K0h6giNJQL/vrMTtMkLmwcpyw18GvjwS7FeNTMnrIo2RPFtBWozn3I/GQvJgrLy6keE68WpVZ9PUjIvY0WKG/vz5bd8+hffJEk5E6EPU4vjQk1+YL9plPZP24bARL+KGz7gT0bRLuYFwXOGhah8ly0Q5l51YFJwZI4bLdDQbopLd4msVippIv2OHZsm03v/BIipPK2jCPsOItORIXkNbpoi8KE2jamaDv0RGuO/Xshy22+Jzsti47Z29AWNMcpRJ6zC1xJHiUQQYR24PDMkQnb+7F2WW+2GwSBSzRL+vzJ5XxxbgVa4SduSZL/TyKLkOfOgWwbt47mLr6onHXF8vhQ1oepItW0nPkQkvnLYsa63mZKeCSuMh/eLhLycMuiMnH5/HS6YhEa7M9T00BsxUPQj/iK4KMW5LtqYf1oJpGL8/GeHkXXoC2oJxiUsxwnw5NttigESuISqsD5+U4k/iRgr/l9LD9yAI8WDCOnsLycahtZ6mc8VS1Cr88e4RD9GCZ1hVUWPpwZJWC34/tltryrLNfdQrdgD6Z0zCfJaRZrugciaClAM1WdIyLuMhalMjUrQuW5aM94y4qJlmz+o+Bd/E27oBsZikb60tIO2SPb0CS3pAhJUMYR1lSafYsaXbRFIUJtHPMiNQonp0jib76mzZj5/Oz7FdF6zmy++yV9pDPIkvERQYRiCBp1hWBTLzaefUknWUOCgzTpeTKQCaaxPO08BONlrswd+H7rsgh3Qp7x5rQIssIi/AFd+7bhVuZggl3Aw6Kc+YoW3uJ9UbQvwO2oA/Ild0g/P1cmrj4cr1iEhqzibh8p/kx7TX8LX9YbfcvbM5sws4zk9CMxOg+fiWD1dPIFs8oVIeHTFHxmexD14G8c97v148ZHDuCGeRtQLQ+j2kiWehhT1YpQAbei3DH2T+JOjiS95HVw957OwPdbh7OP+DDvt7GEegyh2ET7xDr0Fx/gPu1R8QzAVvYzkd63FKUsNSBCooRV82OqlgA1n19jBNWFwLtnWWb39Tm0UkGk1wOqK7LG89RuBBpKD6pUEdq1N6x2V/UTolOfoEd9yucTUm8cWpkIvL3JpvkCbk/ywXn8Z4hV5tyNc9VrBBpKDyrKc9v2qFK1/McGpt9827PekOJa+u/Up3zqTWHqWiIFb3j2NJfmbdsgWUNOP3UNssZ43yHQUHpQUZ69/9W7ckSoYgPTukOvhnIrXHcq0hhpIwINC4GG0oMqdTmuYhEqx0W7iFf5t9gp2MHdwbqYKEhw8mOnbeFTTn3kht32TBTLdv+BsGU/vFzVircUPvnIaVtJ6lJpV23lLiK/YNVQCFD1f2sh949sYvXRRxQ2k6B9j8Goaf1Er1aVfeZ/4IOWE4fVT2tpuzIClxE14oldCoSCjDhWRb1hnIUy31aNQ8r78+UWv4TrVGhDoq/M/1aIWobh/5ZM7fp11feg8nrmBda5NTQXbYRk7XZDzSMXi11LmfZFdhmn7ZwkARNNrpRwww7Fp9MeXNYeIelaH86fd4ecM7iNdyjhtD0L1y+jcbnwt6v2/L2+TPtSBLsEKHZ2rVhUaxdpa2c0+VxdPg/NaCk01L/izqHDXO45n23rVPmqUg1567oIveGk53zWdXVkvV73KjZIbRSh2vlfKR1VlfegMj1Tj3D5REwbmos2+TdZrWnGEdkgohZ++/eLfC4zsHhmxungUVwKmMuMZMUybthiSQLGmb8g7pw7+RdDmKJ19m+nbZdXjOiYykP1D67aAYj7bsdPSbRLzConQF34F1RKjO9EaNrRkWyNMaDHqSID2lvMPhzEnC6iXRCIFkYdF6Hci2xcnsGYRRPoVeXPjioSodIO3P/vP6bxTkg0ev6DUVXdg8r0TNcmmEzLYJ94zbto/x+CJqWf1nySxAAAAABJRU5ErkJggg==">
          <a:extLst>
            <a:ext uri="{FF2B5EF4-FFF2-40B4-BE49-F238E27FC236}">
              <a16:creationId xmlns:a16="http://schemas.microsoft.com/office/drawing/2014/main" id="{BA83310E-1475-451D-9A46-1FF60B82EBC2}"/>
            </a:ext>
          </a:extLst>
        </xdr:cNvPr>
        <xdr:cNvSpPr>
          <a:spLocks noChangeAspect="1" noChangeArrowheads="1"/>
        </xdr:cNvSpPr>
      </xdr:nvSpPr>
      <xdr:spPr bwMode="auto">
        <a:xfrm>
          <a:off x="0" y="0"/>
          <a:ext cx="304800" cy="333730"/>
        </a:xfrm>
        <a:prstGeom prst="rect">
          <a:avLst/>
        </a:prstGeom>
        <a:noFill/>
        <a:extLst>
          <a:ext uri="{909E8E84-426E-40dd-AFC4-6F175D3DCCD1}">
            <a14:hiddenFill xmlns="" xmlns:a14="http://schemas.microsoft.com/office/drawing/2010/main">
              <a:solidFill>
                <a:srgbClr val="FFFFFF"/>
              </a:solidFill>
            </a14:hiddenFill>
          </a:ext>
        </a:extLst>
      </xdr:spPr>
      <xdr:txBody>
        <a:bodyPr/>
        <a:lstStyle/>
        <a:p>
          <a:endParaRPr lang="es-CO"/>
        </a:p>
      </xdr:txBody>
    </xdr:sp>
    <xdr:clientData/>
  </xdr:twoCellAnchor>
  <xdr:twoCellAnchor editAs="oneCell">
    <xdr:from>
      <xdr:col>0</xdr:col>
      <xdr:colOff>0</xdr:colOff>
      <xdr:row>82</xdr:row>
      <xdr:rowOff>0</xdr:rowOff>
    </xdr:from>
    <xdr:to>
      <xdr:col>0</xdr:col>
      <xdr:colOff>304800</xdr:colOff>
      <xdr:row>84</xdr:row>
      <xdr:rowOff>3668</xdr:rowOff>
    </xdr:to>
    <xdr:sp macro="" textlink="">
      <xdr:nvSpPr>
        <xdr:cNvPr id="7" name="AutoShape 3" descr="data:image/png;base64,iVBORw0KGgoAAAANSUhEUgAAAaEAAAAXCAYAAACiTPAeAAAAAXNSR0IArs4c6QAAE4ZJREFUeF7tnHlcjmn7xr8hkgxZZ4YxtncG8zKDsWVQqSgqFElIJa2klPY9afGUskuKNFOWCdm3alKyxWuJLGM0dmULKfX0+xRmSr2/HvO21/3X8/k813Pd53mcx3Me933d132IFRYWFvKJR+/uPUi/mSjCr/JIdpmBxTMzTgcPJzU2AX4YSKv/bMLK7jyjwsOx+7E5eUkCxpm/IO6cOzw/jMXYYN5Y+KB13RvLS/JYdo0hvIk5oQs/Y8s8Z1Ll5vD1jq3k/jVmHOGzb2CyJBfzEDVu2rhyaXIIUaY9aCpClN/2GiViPiJM1jikfiGQf4PgyUYcG7uO7Qt70+x9dsLMvZgphtPafSmTLi/BPFWB7VGa/Ok4HadCGxJ9B5Ng9+HzcLK2OTB+hRSu68dz2dqBcxM3EGncTSR+1i9AG7MpD4Gq70HZ7DHXxuuNPuu0/8BuQTrqO1dj/K+iDvmWiwFWrO/mRpBme/KP+6Oy6ivClkvgNvkS0+OcUGxROXUryvM/F8+Wmkys2kQosBdbLewQHLtHjlR35Iys8TT4N59BaREij/QtHlgsO8EDyX7o+nsxV3IPVlYRJN8rpPPgSbgs1+OLQ16lxlj8mMkvls4Exj2m5Q/T8F1tgIx0E5GQq3oCiBRG46DaiMB/ESF4Q9omDywDU3jUegD6/p6YDW9O4l/CU1KEZCDnGhFWbgTFZyL143R8V85hWBvR+FkbYWmMqXIRqI4elJf+K4vMQoh/IMH3eo6ssPyR4haZfRxHg1OohFsxUhJ4mYpA15ud9wvppGJDqMNw2lYSVWtAhCq3UFU1W3UQoKpib5y3EYFGBOo+Ag2lB1WqCCWf3F33K/8+A5lhatSnfOpNYRoTaUSggSDQUHpQUZ7H4g9XznKcdLu29YYeT588oz7lU28K05hIIwINBIGG0oOK85QurR1V/EyobjCoodwK141qVHOU+c+5ff0JEt170LllNZ+78XSNCLxHoKH0oEpdjqt4d1w2JzasZc8NIRLfq+Os3QcKMtgbGEVyphBoSmfZmRh9d4M1fttJedSCb9TmYK3Th/yTUfiuTuKe5L/RsZvLeOkLbPQ7zM0CCQZom6E1QBxh1jk2+kRw7K4EA2eZYTFOkvMbVrP26ANaDpqCraUc3ZqLxvGGQgDR0KihUS/S2R68hdiLWYgPmMYSe1k6V9LD0P+akfAJey31sUuQZFpgGM5yJbcAFfDn/nCiX8uyQKMXIlKpcsHLOYjZ0M18vTmcxQPFRZ5b+DKTTNrRSaokgG84sFAD/7ae7HcbVDP5iJxBwxtY9T2ogFuxoYQmPaFoO3STz4djqNOavR7hJGRJM8bcEiMZaYoY8+xgEF731PDR6/HXbtDKqkj1ipDwOXGBvqyPPc31AQ6cCZaDV0dYMHIVL9QnMkhajHaDR9PqZwv8X09hsewdVvtdR2HjfF7bOXNhzDzk7mxhs5g+O/3as9Uxkj3HbzHAL4ZAFUh2mY35f4ZhKX+f9eFiGLl3JszpKqMWyXB37XawCGPd9M7FoFZ0VD0BKoqggX8vfMwuc0Pc//gRc+MRSL2RYozmsKoXobyL+KhY8btRDOunSpUuQs45lmhH0HWZH7q9P2zMruY6/SMRymaniSYehZakrh1fIuBGEarm6n3S6aq+B71mr5kGPi8UmTq4DWLt+6PQZCvGx8ewQi4F89hBbNukQefCu4QbBlDg5IdBT1FecPmkNKleESqOreR7QnIUXN+E1tQ0tBN80WhT9PV5vMbZcMcshrWq57H9yZVMrck83niJiXtXMeuKJ6Ndm+F93AlFzuCm4MJz+18JVLrNcjVTTqiF8bPuTaxlBLwa2Y6UB+PYFa3BVaspuDezI0EwGlG2t1c9AT6tUA1tdMHNLWir7WPgpjDsfxSlYpWEUN4FfJQXkWEey+rJEqUmzT0bRfDvI7Cc+nWlXw2KHL3IIvSWcwIzbDNnEbt0FPm3LnBVrDeDuxftt/1wNIqQyLjXwMAq70EFt1ijYcJ5nW2sm9oayCct0BgXMTsilRLQts7DdacJfS+uYU5Eb1YGKNJOlCv4T8SqxkUo99hSFFxymOc7A/kf+tClZSbnDqSS138sQ8S2M1txC5+b/sTpNZmYp/ijfjkA5bkPMDnhh2aLEiI09hKuY225t2AnIerX8VCy4WKXz0hvacDxUCXSXGdidFeXxA0Tit9DquiocgJUFEAD//7lTgdGe7XEN9EZxQ/PZYSZJK8PY+e9bsh8L+RlBzmmdb/JL/G5fCF+jVufa6AgjOP4CynenDvNzVYjMLRU4l/iTzkTuZmtZ1/zudxUjNR704rXXN0VSURCFt0mGWI0uj0g5FHSRhYtjOSJjAl2iyfxdfouEnI6IX45g45KPbiTKoas7ghapvzCil8f0nNkX4QvpRmvM4DsPWXne3pmP9v++BqtKX15Hv8rccigK9/lXXWF5cRVkMHRTSd5JZ3Hmd/u0HXyZPqk7WL3zdaMmaePatc4zIZuQnKuPM0zsumrM5cZg1py68A2kiVkmTFKyG+bE8nr153LgZ6EZw/H2t4A2bwkjhWOYM7YrlDwkIQ1Yex59BWd7kRyoJtX8XLc26uHWB9+ggetv0fLVI1B0m/KwaiBE7Ma06/yHpSbhINsAK+M7Zmr0I/+XZqTFmCMS9P3IrQoF5eYWTxwtCV1aiAOw6rmYrCGRWgMmTu80Qu5wvMHd3nWfjyCqMUodiyS2wJurDFlSngXvF2a47P4BTZnvFG+vBJV3ZvMSRCg3Tr17zuhsak4jnHhmd0eVqlcw0fZkhPtWvFHezNS1sqTtkQX/fRpHAufRHsR1LzKCVCNZK57pyrgz5D5TIjuR/g+cwa9f/iSmyRA2eQig3T7kbFlH1nqAewccwgV09/oNEGLuQbqNN84C4tT36E/uTmH1l1g0OpoHAsDmeD6GJWpHUjZdAPZiHWY5m9kyuwU+umPokdvRYxUuhZz7s6+AMwc9pL9nSYLPfRpEzIDs0MdUDHQYWbPk5h5FOJ5UJH4iQ6kDp7KgIwYYjIVWS9ohe/cj+eDnENejPVqybKD2lydY0CSegShMzoUl+TVMZ8ycS3olYLtKGfODprBRLEjhMQ3QdZAAfEDP3N2yBISXZ5jNmgpF4drMrFpAlseK7N1xwxuWU3Br60HBx3z8ZDz4JXJfFr9EsTOnL7MtprPsKRF710bZMiJ80FpwVWGzelHRsQ+siYFsN9ejGUqDqT8MIVBd3Zz9EsrYvSuo18Go7rHproacVX3IGHmfuxm/8zF54/JeNqOSYFBzH+8lOmnlQlVSEY/qh+R3uDunIetXz+SQg6QXtgTVeOpjOgkQhMVEfgaFiG5v8IseByP/RRPMnTC3lmXvDyBk7ITFyavInJgDOPnZ7P4tDfKaStRnX0T3QQBMz4SIYfRrjy3j2WVynV8lBdyQlqS2x3NObFGniveuuhdncrR8Ml0EAG/qiaAiPVpoMMK+H2tKZNiBhIRa8z3xSJUwPUVRkxNVmLfFhVOmWuyorP3OxGyfoNjohvjJXM5ajMNt6Z2HHUXx1vBmae2W5l13gjrTG2W63fiqKszlzSjWPN1KOOts1kU64Zq8UXP+6PUcpxYsc3O4pwFxAXJ0TTOBwWHQtxDvmDV9LOoHlqOxklnZJd3ZLlbPs72ZecTPvwVfaU4ZLdN4IzOHgbtCEK/2ztblDNeumXiCtVMw360gGY+0bggQMFRDM84K1os0WHBM1NO++ZhNiSUziFbsBNfj6ren8xLckfSqbQIvXaORvu0ISaP55G4YiSn/nJtGEp6kDFaKaVx3K2egubs39GLX4b6RR8UbAtw9GmOTzk5NVBSVnva1daDCrI4aGuEze3JxKzoyS7HUOKz2jJmgTXyZ73Y1NsV/d8XY3NXFX3xGMJb27DLaUClbWSpNSIEOew2UUfQwZvDngO5H2bJ5DVtcd/nxrjLyxhrksXCU76oXl6Osv4djJKXMU2i5HLceZzkHHlsGcs69XQ8law5/3lrrksZkrxBiTT3mRjenslvG1UpevRU0VFtBKgokAb5vZDMyEXIr/6SVcdsGFW8CvCWs0t0MciYTfI6OU7aarGkpQsxRSLk3IQlRxczusU7EXIXt+eIa3N8lBzJsolGLUEHi8NNaNeqqPk3o79pEMFTc4g0XMjKbFVWbDRg2AcPknJEyKWJLYe9h1P4XoRcA1rjb3gXk1NLUU5ZioKnBP671blmXs58+ekEqjvwQH4IqYmdWbVdj2+K9zQUxapZNi7NmziMDkDcLwqXwkAUHMHzmCUSPrOYn2XMqSIRGhbFt9EhmDWLRGvyGSYe8qWzj2apO6H/LkJDysdx1AHG2wlxO+6E3LUQpmhfY1a8CTmLysmpQXKy+pOuzh70epcDI/3bseqoNTIfVt1e/Ia9YSpq4cY8s51G7JgoBJJ+KMQM5eB6FT7atvOPAao9IiR8SLiODjsGryTG5CVLJtpxXn010Qu/gdTVqM+8gtbhILSvLEXWOg+XE+4oNykhQgo38JtgwQXtSDbr3MB+lBcPf2hHavYk9keqc9VWE9tcKxKD5RDl1Y/qJMA/rl49/mFeSiDKeteYvn8lht2LxCOfi8sMmHVJg7hwJU5aaOAv7fnuTqgCEdI6ORf3Fo7EOvXh4ZnTPP5iOIO6NIOXlwiaZcMRmQBibfq+Q1MEEXJb2Z7luunMTBSgluKGrG8bgg5aMvxtOfORS5ztdFyTm/DZRA9+tf3u/RVkHsnOM8vG1SEF24pEaGgE3SPCsBTfxBSty0yPX4K0h6giNJQL/vrMTtMkLmwcpyw18GvjwS7FeNTMnrIo2RPFtBWozn3I/GQvJgrLy6keE68WpVZ9PUjIvY0WKG/vz5bd8+hffJEk5E6EPU4vjQk1+YL9plPZP24bARL+KGz7gT0bRLuYFwXOGhah8ly0Q5l51YFJwZI4bLdDQbopLd4msVippIv2OHZsm03v/BIipPK2jCPsOItORIXkNbpoi8KE2jamaDv0RGuO/Xshy22+Jzsti47Z29AWNMcpRJ6zC1xJHiUQQYR24PDMkQnb+7F2WW+2GwSBSzRL+vzJ5XxxbgVa4SduSZL/TyKLkOfOgWwbt47mLr6onHXF8vhQ1oepItW0nPkQkvnLYsa63mZKeCSuMh/eLhLycMuiMnH5/HS6YhEa7M9T00BsxUPQj/iK4KMW5LtqYf1oJpGL8/GeHkXXoC2oJxiUsxwnw5NttigESuISqsD5+U4k/iRgr/l9LD9yAI8WDCOnsLycahtZ6mc8VS1Cr88e4RD9GCZ1hVUWPpwZJWC34/tltryrLNfdQrdgD6Z0zCfJaRZrugciaClAM1WdIyLuMhalMjUrQuW5aM94y4qJlmz+o+Bd/E27oBsZikb60tIO2SPb0CS3pAhJUMYR1lSafYsaXbRFIUJtHPMiNQonp0jib76mzZj5/Oz7FdF6zmy++yV9pDPIkvERQYRiCBp1hWBTLzaefUknWUOCgzTpeTKQCaaxPO08BONlrswd+H7rsgh3Qp7x5rQIssIi/AFd+7bhVuZggl3Aw6Kc+YoW3uJ9UbQvwO2oA/Ild0g/P1cmrj4cr1iEhqzibh8p/kx7TX8LX9YbfcvbM5sws4zk9CMxOg+fiWD1dPIFs8oVIeHTFHxmexD14G8c97v148ZHDuCGeRtQLQ+j2kiWehhT1YpQAbei3DH2T+JOjiS95HVw957OwPdbh7OP+DDvt7GEegyh2ET7xDr0Fx/gPu1R8QzAVvYzkd63FKUsNSBCooRV82OqlgA1n19jBNWFwLtnWWb39Tm0UkGk1wOqK7LG89RuBBpKD6pUEdq1N6x2V/UTolOfoEd9yucTUm8cWpkIvL3JpvkCbk/ywXn8Z4hV5tyNc9VrBBpKDyrKc9v2qFK1/McGpt9827PekOJa+u/Up3zqTWHqWiIFb3j2NJfmbdsgWUNOP3UNssZ43yHQUHpQUZ69/9W7ckSoYgPTukOvhnIrXHcq0hhpIwINC4GG0oMqdTmuYhEqx0W7iFf5t9gp2MHdwbqYKEhw8mOnbeFTTn3kht32TBTLdv+BsGU/vFzVircUPvnIaVtJ6lJpV23lLiK/YNVQCFD1f2sh949sYvXRRxQ2k6B9j8Goaf1Er1aVfeZ/4IOWE4fVT2tpuzIClxE14oldCoSCjDhWRb1hnIUy31aNQ8r78+UWv4TrVGhDoq/M/1aIWobh/5ZM7fp11feg8nrmBda5NTQXbYRk7XZDzSMXi11LmfZFdhmn7ZwkARNNrpRwww7Fp9MeXNYeIelaH86fd4ecM7iNdyjhtD0L1y+jcbnwt6v2/L2+TPtSBLsEKHZ2rVhUaxdpa2c0+VxdPg/NaCk01L/izqHDXO45n23rVPmqUg1567oIveGk53zWdXVkvV73KjZIbRSh2vlfKR1VlfegMj1Tj3D5REwbmos2+TdZrWnGEdkgohZ++/eLfC4zsHhmxungUVwKmMuMZMUybthiSQLGmb8g7pw7+RdDmKJ19m+nbZdXjOiYykP1D67aAYj7bsdPSbRLzConQF34F1RKjO9EaNrRkWyNMaDHqSID2lvMPhzEnC6iXRCIFkYdF6Hci2xcnsGYRRPoVeXPjioSodIO3P/vP6bxTkg0ev6DUVXdg8r0TNcmmEzLYJ94zbto/x+CJqWf1nySxAAAAABJRU5ErkJggg==">
          <a:extLst>
            <a:ext uri="{FF2B5EF4-FFF2-40B4-BE49-F238E27FC236}">
              <a16:creationId xmlns:a16="http://schemas.microsoft.com/office/drawing/2014/main" id="{D66EA36D-F3DE-4DB4-B4B0-9D38DBCAA51D}"/>
            </a:ext>
          </a:extLst>
        </xdr:cNvPr>
        <xdr:cNvSpPr>
          <a:spLocks noChangeAspect="1" noChangeArrowheads="1"/>
        </xdr:cNvSpPr>
      </xdr:nvSpPr>
      <xdr:spPr bwMode="auto">
        <a:xfrm>
          <a:off x="0" y="14468475"/>
          <a:ext cx="304800" cy="327518"/>
        </a:xfrm>
        <a:prstGeom prst="rect">
          <a:avLst/>
        </a:prstGeom>
        <a:noFill/>
        <a:extLst>
          <a:ext uri="{909E8E84-426E-40dd-AFC4-6F175D3DCCD1}">
            <a14:hiddenFill xmlns="" xmlns:a14="http://schemas.microsoft.com/office/drawing/2010/main">
              <a:solidFill>
                <a:srgbClr val="FFFFFF"/>
              </a:solidFill>
            </a14:hiddenFill>
          </a:ext>
        </a:extLst>
      </xdr:spPr>
      <xdr:txBody>
        <a:bodyPr/>
        <a:lstStyle/>
        <a:p>
          <a:endParaRPr lang="es-CO"/>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sdisgovco.sharepoint.com/Users/Familia/Downloads/ESTRUCTURA%20DE%20COSTOS%20ALTA%20DEPENDENCIA%20FISICA,%20FUNCIONAL%20O%20COGNITIV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ANDOS E IPC 2023 Y 2024"/>
      <sheetName val="INDEXACIÓN PRODUCTOS MES A MES"/>
      <sheetName val="Estructura de costos 150 CUPOS"/>
      <sheetName val="Estructura de costos 180 CUPOS"/>
      <sheetName val="REQUISTO MIN TH"/>
      <sheetName val="2 TABLA COSTOS REC HUMANO"/>
      <sheetName val="3. DOTACION TALENTO HUMANO"/>
      <sheetName val="4. VIGILANCIA"/>
      <sheetName val="5. TRANSPORTE"/>
      <sheetName val="ELEMENTOS ESPACIO FISICO FUNC."/>
      <sheetName val="TALLERES"/>
      <sheetName val="6. BIENES NO CONSUMIBLES"/>
      <sheetName val="7. LAVANDERIA"/>
      <sheetName val="8. ASEO INSTITUCIONAL"/>
      <sheetName val="9. TALLERES CV Y PAPELERIA"/>
      <sheetName val="10. RECREO DEPORTIVAS"/>
      <sheetName val="11. TALLER AGRICOLA"/>
      <sheetName val="12. ASEO PARTICIPANTES"/>
      <sheetName val="13. VESTUARIO PARTICIPANTES"/>
      <sheetName val="14. Comp. Gestion Documental"/>
      <sheetName val="15. Recon, manten y serv Pub."/>
      <sheetName val="16. Piezas comun y de difus"/>
      <sheetName val="17. ALIMENTACION PARTICIPANTES"/>
      <sheetName val="dotacion areas"/>
    </sheetNames>
    <sheetDataSet>
      <sheetData sheetId="0"/>
      <sheetData sheetId="1">
        <row r="5">
          <cell r="B5" t="str">
            <v>CHAQUETA INSTITUCIONAL</v>
          </cell>
          <cell r="C5" t="str">
            <v>Chaqueta con mangas removibles, material delgado, con los logos y del color establecido en el manual de imagen institucional de la Secretaría Distrital de Integración Social, tallas según se requieran</v>
          </cell>
          <cell r="D5" t="str">
            <v>UNIDAD</v>
          </cell>
          <cell r="E5" t="str">
            <v>I2024014734</v>
          </cell>
          <cell r="F5" t="str">
            <v>0</v>
          </cell>
          <cell r="G5">
            <v>218088</v>
          </cell>
          <cell r="H5">
            <v>218088</v>
          </cell>
          <cell r="I5">
            <v>218088</v>
          </cell>
          <cell r="J5">
            <v>218088</v>
          </cell>
          <cell r="K5">
            <v>218088</v>
          </cell>
          <cell r="L5">
            <v>218088</v>
          </cell>
          <cell r="M5">
            <v>218088</v>
          </cell>
          <cell r="N5">
            <v>218088</v>
          </cell>
          <cell r="O5">
            <v>218088</v>
          </cell>
          <cell r="P5">
            <v>218088</v>
          </cell>
          <cell r="Q5">
            <v>218088</v>
          </cell>
          <cell r="R5">
            <v>218088</v>
          </cell>
          <cell r="S5">
            <v>218088</v>
          </cell>
          <cell r="T5">
            <v>218088</v>
          </cell>
          <cell r="U5">
            <v>218088</v>
          </cell>
          <cell r="V5">
            <v>0</v>
          </cell>
          <cell r="W5">
            <v>0</v>
          </cell>
        </row>
        <row r="6">
          <cell r="B6" t="str">
            <v>TRAJE ANTIFLUIDO AZUL</v>
          </cell>
          <cell r="C6" t="str">
            <v>Traje anti fluido de dos (2) piezas, azul con los logos dispuestos como lo establece el manual de imagen institucional de la Secretaría Distrital de Integración Social . Tres (3) trajes para cada rol.</v>
          </cell>
          <cell r="D6" t="str">
            <v>UNIDAD</v>
          </cell>
          <cell r="E6" t="str">
            <v>I2024014734</v>
          </cell>
          <cell r="F6" t="str">
            <v>0</v>
          </cell>
          <cell r="G6">
            <v>83785</v>
          </cell>
          <cell r="H6">
            <v>83785</v>
          </cell>
          <cell r="I6">
            <v>83785</v>
          </cell>
          <cell r="J6">
            <v>83785</v>
          </cell>
          <cell r="K6">
            <v>83785</v>
          </cell>
          <cell r="L6">
            <v>83785</v>
          </cell>
          <cell r="M6">
            <v>83785</v>
          </cell>
          <cell r="N6">
            <v>83785</v>
          </cell>
          <cell r="O6">
            <v>83785</v>
          </cell>
          <cell r="P6">
            <v>83785</v>
          </cell>
          <cell r="Q6">
            <v>83785</v>
          </cell>
          <cell r="R6">
            <v>83785</v>
          </cell>
          <cell r="S6">
            <v>83785</v>
          </cell>
          <cell r="T6">
            <v>83785</v>
          </cell>
          <cell r="U6">
            <v>83785</v>
          </cell>
          <cell r="V6">
            <v>0</v>
          </cell>
          <cell r="W6">
            <v>0</v>
          </cell>
        </row>
        <row r="7">
          <cell r="B7" t="str">
            <v>TRAJE ANTIFLUIDO BLANCO</v>
          </cell>
          <cell r="C7" t="str">
            <v>Traje anti fluido de dos (2) piezas, blanco con los logos dispuestos como lo establece el manual de imagen institucional de la Secretaría Distrital de Integración Social . Tres (3) trajes para cada rol.</v>
          </cell>
          <cell r="D7" t="str">
            <v>UNIDAD</v>
          </cell>
          <cell r="E7" t="str">
            <v>I2024014734</v>
          </cell>
          <cell r="F7" t="str">
            <v>0</v>
          </cell>
          <cell r="G7">
            <v>83785</v>
          </cell>
          <cell r="H7">
            <v>83785</v>
          </cell>
          <cell r="I7">
            <v>83785</v>
          </cell>
          <cell r="J7">
            <v>83785</v>
          </cell>
          <cell r="K7">
            <v>83785</v>
          </cell>
          <cell r="L7">
            <v>83785</v>
          </cell>
          <cell r="M7">
            <v>83785</v>
          </cell>
          <cell r="N7">
            <v>83785</v>
          </cell>
          <cell r="O7">
            <v>83785</v>
          </cell>
          <cell r="P7">
            <v>83785</v>
          </cell>
          <cell r="Q7">
            <v>83785</v>
          </cell>
          <cell r="R7">
            <v>83785</v>
          </cell>
          <cell r="S7">
            <v>83785</v>
          </cell>
          <cell r="T7">
            <v>83785</v>
          </cell>
          <cell r="U7">
            <v>83785</v>
          </cell>
          <cell r="V7">
            <v>0</v>
          </cell>
          <cell r="W7">
            <v>0</v>
          </cell>
        </row>
        <row r="8">
          <cell r="B8" t="str">
            <v>TRAJE ANTIFLUIDO VERDE</v>
          </cell>
          <cell r="C8" t="str">
            <v>Traje anti fluido de dos (2) piezas, verde con los logos dispuestos como lo establece el manual de imagen institucional de la Secretaría Distrital de Integración Social . Tres (3) trajes para cada rol.</v>
          </cell>
          <cell r="D8" t="str">
            <v>UNIDAD</v>
          </cell>
          <cell r="E8" t="str">
            <v>I2024014734</v>
          </cell>
          <cell r="F8" t="str">
            <v>0</v>
          </cell>
          <cell r="G8">
            <v>83785</v>
          </cell>
          <cell r="H8">
            <v>83785</v>
          </cell>
          <cell r="I8">
            <v>83785</v>
          </cell>
          <cell r="J8">
            <v>83785</v>
          </cell>
          <cell r="K8">
            <v>83785</v>
          </cell>
          <cell r="L8">
            <v>83785</v>
          </cell>
          <cell r="M8">
            <v>83785</v>
          </cell>
          <cell r="N8">
            <v>83785</v>
          </cell>
          <cell r="O8">
            <v>83785</v>
          </cell>
          <cell r="P8">
            <v>83785</v>
          </cell>
          <cell r="Q8">
            <v>83785</v>
          </cell>
          <cell r="R8">
            <v>83785</v>
          </cell>
          <cell r="S8">
            <v>83785</v>
          </cell>
          <cell r="T8">
            <v>83785</v>
          </cell>
          <cell r="U8">
            <v>83785</v>
          </cell>
          <cell r="V8">
            <v>0</v>
          </cell>
          <cell r="W8">
            <v>0</v>
          </cell>
        </row>
        <row r="9">
          <cell r="B9" t="str">
            <v>UNIFORME SERVICIOS GENERALES</v>
          </cell>
          <cell r="C9" t="str">
            <v>Uniforme: Camisa y pantalón
Material: Tela, de cualquier color</v>
          </cell>
          <cell r="D9" t="str">
            <v>Unidad</v>
          </cell>
          <cell r="E9" t="str">
            <v>I2024004856</v>
          </cell>
          <cell r="F9" t="str">
            <v>0</v>
          </cell>
          <cell r="G9">
            <v>73814</v>
          </cell>
          <cell r="H9">
            <v>73814</v>
          </cell>
          <cell r="I9">
            <v>73814</v>
          </cell>
          <cell r="J9">
            <v>73814</v>
          </cell>
          <cell r="K9">
            <v>73814</v>
          </cell>
          <cell r="L9">
            <v>73814</v>
          </cell>
          <cell r="M9">
            <v>73814</v>
          </cell>
          <cell r="N9">
            <v>73814</v>
          </cell>
          <cell r="O9">
            <v>73814</v>
          </cell>
          <cell r="P9">
            <v>73814</v>
          </cell>
          <cell r="Q9">
            <v>73814</v>
          </cell>
          <cell r="R9">
            <v>73814</v>
          </cell>
          <cell r="S9">
            <v>73814</v>
          </cell>
          <cell r="T9">
            <v>73814</v>
          </cell>
          <cell r="U9">
            <v>73814</v>
          </cell>
          <cell r="V9">
            <v>0</v>
          </cell>
          <cell r="W9">
            <v>0</v>
          </cell>
        </row>
        <row r="10">
          <cell r="B10" t="str">
            <v>OVEROL</v>
          </cell>
          <cell r="C10" t="str">
            <v>Overol. El material debe estar acorde con el clima en que se preste el servicio, tallas según se requieran.</v>
          </cell>
          <cell r="D10" t="str">
            <v>UNIDAD</v>
          </cell>
          <cell r="E10" t="str">
            <v>I2024014734</v>
          </cell>
          <cell r="F10" t="str">
            <v>0</v>
          </cell>
          <cell r="G10">
            <v>102814</v>
          </cell>
          <cell r="H10">
            <v>102814</v>
          </cell>
          <cell r="I10">
            <v>102814</v>
          </cell>
          <cell r="J10">
            <v>102814</v>
          </cell>
          <cell r="K10">
            <v>102814</v>
          </cell>
          <cell r="L10">
            <v>102814</v>
          </cell>
          <cell r="M10">
            <v>102814</v>
          </cell>
          <cell r="N10">
            <v>102814</v>
          </cell>
          <cell r="O10">
            <v>102814</v>
          </cell>
          <cell r="P10">
            <v>102814</v>
          </cell>
          <cell r="Q10">
            <v>102814</v>
          </cell>
          <cell r="R10">
            <v>102814</v>
          </cell>
          <cell r="S10">
            <v>102814</v>
          </cell>
          <cell r="T10">
            <v>102814</v>
          </cell>
          <cell r="U10">
            <v>102814</v>
          </cell>
          <cell r="V10">
            <v>0</v>
          </cell>
          <cell r="W10">
            <v>0</v>
          </cell>
        </row>
        <row r="11">
          <cell r="B11" t="str">
            <v>PETO PLASTICO</v>
          </cell>
          <cell r="C11" t="str">
            <v>Petos plásticos</v>
          </cell>
          <cell r="D11" t="str">
            <v>Unidad</v>
          </cell>
          <cell r="E11" t="str">
            <v>I2024004413</v>
          </cell>
          <cell r="F11" t="str">
            <v>0</v>
          </cell>
          <cell r="G11">
            <v>31104</v>
          </cell>
          <cell r="H11">
            <v>31104</v>
          </cell>
          <cell r="I11">
            <v>31104</v>
          </cell>
          <cell r="J11">
            <v>31104</v>
          </cell>
          <cell r="K11">
            <v>31104</v>
          </cell>
          <cell r="L11">
            <v>31104</v>
          </cell>
          <cell r="M11">
            <v>31104</v>
          </cell>
          <cell r="N11">
            <v>31104</v>
          </cell>
          <cell r="O11">
            <v>31104</v>
          </cell>
          <cell r="P11">
            <v>31104</v>
          </cell>
          <cell r="Q11">
            <v>31104</v>
          </cell>
          <cell r="R11">
            <v>31104</v>
          </cell>
          <cell r="S11">
            <v>31104</v>
          </cell>
          <cell r="T11">
            <v>31104</v>
          </cell>
          <cell r="U11">
            <v>31104</v>
          </cell>
          <cell r="V11">
            <v>0</v>
          </cell>
          <cell r="W11">
            <v>0</v>
          </cell>
        </row>
        <row r="12">
          <cell r="B12" t="str">
            <v>GORRO DE COCINA</v>
          </cell>
          <cell r="C12" t="str">
            <v>Gorro de cocina</v>
          </cell>
          <cell r="D12" t="str">
            <v>Paqute x 100</v>
          </cell>
          <cell r="E12" t="str">
            <v>I2024004856</v>
          </cell>
          <cell r="F12" t="str">
            <v>0</v>
          </cell>
          <cell r="G12">
            <v>27310</v>
          </cell>
          <cell r="H12">
            <v>27310</v>
          </cell>
          <cell r="I12">
            <v>27310</v>
          </cell>
          <cell r="J12">
            <v>27310</v>
          </cell>
          <cell r="K12">
            <v>27310</v>
          </cell>
          <cell r="L12">
            <v>27310</v>
          </cell>
          <cell r="M12">
            <v>27310</v>
          </cell>
          <cell r="N12">
            <v>27310</v>
          </cell>
          <cell r="O12">
            <v>27310</v>
          </cell>
          <cell r="P12">
            <v>27310</v>
          </cell>
          <cell r="Q12">
            <v>27310</v>
          </cell>
          <cell r="R12">
            <v>27310</v>
          </cell>
          <cell r="S12">
            <v>27310</v>
          </cell>
          <cell r="T12">
            <v>27310</v>
          </cell>
          <cell r="U12">
            <v>27310</v>
          </cell>
          <cell r="V12">
            <v>0</v>
          </cell>
          <cell r="W12">
            <v>0</v>
          </cell>
        </row>
        <row r="13">
          <cell r="B13" t="str">
            <v>GUANTES MANIPULACION DE ALIMENTOS</v>
          </cell>
          <cell r="C13" t="str">
            <v>guantes manipulación de alimentos</v>
          </cell>
          <cell r="D13" t="str">
            <v>Caja x 100 unidades</v>
          </cell>
          <cell r="E13" t="str">
            <v>I2023008278</v>
          </cell>
          <cell r="F13">
            <v>45002</v>
          </cell>
          <cell r="G13">
            <v>71607</v>
          </cell>
          <cell r="H13">
            <v>71607</v>
          </cell>
          <cell r="I13">
            <v>72165</v>
          </cell>
          <cell r="J13">
            <v>72475</v>
          </cell>
          <cell r="K13">
            <v>72692</v>
          </cell>
          <cell r="L13">
            <v>73055</v>
          </cell>
          <cell r="M13">
            <v>73566</v>
          </cell>
          <cell r="N13">
            <v>73963</v>
          </cell>
          <cell r="O13">
            <v>74147</v>
          </cell>
          <cell r="P13">
            <v>74495</v>
          </cell>
          <cell r="Q13">
            <v>74830</v>
          </cell>
          <cell r="R13">
            <v>75518</v>
          </cell>
          <cell r="S13">
            <v>76341</v>
          </cell>
          <cell r="T13">
            <v>76875</v>
          </cell>
          <cell r="U13">
            <v>77328</v>
          </cell>
          <cell r="V13">
            <v>5721</v>
          </cell>
          <cell r="W13">
            <v>7.9894423729523656E-2</v>
          </cell>
        </row>
        <row r="14">
          <cell r="B14" t="str">
            <v>COFIA Y / MALLA</v>
          </cell>
          <cell r="C14" t="str">
            <v>cofia y/o malla</v>
          </cell>
          <cell r="D14" t="str">
            <v>Caja x 100 unidades</v>
          </cell>
          <cell r="E14" t="str">
            <v>I2023004856</v>
          </cell>
          <cell r="F14">
            <v>44974</v>
          </cell>
          <cell r="G14">
            <v>14418</v>
          </cell>
          <cell r="H14">
            <v>14569</v>
          </cell>
          <cell r="I14">
            <v>14682</v>
          </cell>
          <cell r="J14">
            <v>14745</v>
          </cell>
          <cell r="K14">
            <v>14789</v>
          </cell>
          <cell r="L14">
            <v>14862</v>
          </cell>
          <cell r="M14">
            <v>14966</v>
          </cell>
          <cell r="N14">
            <v>15046</v>
          </cell>
          <cell r="O14">
            <v>15083</v>
          </cell>
          <cell r="P14">
            <v>15153</v>
          </cell>
          <cell r="Q14">
            <v>15221</v>
          </cell>
          <cell r="R14">
            <v>15361</v>
          </cell>
          <cell r="S14">
            <v>15528</v>
          </cell>
          <cell r="T14">
            <v>15636</v>
          </cell>
          <cell r="U14">
            <v>15728</v>
          </cell>
          <cell r="V14">
            <v>1310</v>
          </cell>
          <cell r="W14">
            <v>9.0858648911083362E-2</v>
          </cell>
        </row>
        <row r="15">
          <cell r="B15" t="str">
            <v>CALZADO TALENTO HUMANO</v>
          </cell>
          <cell r="C15" t="str">
            <v>Zapato cerrado, sin cordones, de material resistente, antideslizante, impermeable y de tacón bajo. No se permitirán zapatos tipo crocs que  presenten orificios.</v>
          </cell>
          <cell r="D15" t="str">
            <v>Par</v>
          </cell>
          <cell r="E15" t="str">
            <v>I2024004413</v>
          </cell>
          <cell r="F15" t="str">
            <v>0</v>
          </cell>
          <cell r="G15">
            <v>49216</v>
          </cell>
          <cell r="H15">
            <v>49216</v>
          </cell>
          <cell r="I15">
            <v>49216</v>
          </cell>
          <cell r="J15">
            <v>49216</v>
          </cell>
          <cell r="K15">
            <v>49216</v>
          </cell>
          <cell r="L15">
            <v>49216</v>
          </cell>
          <cell r="M15">
            <v>49216</v>
          </cell>
          <cell r="N15">
            <v>49216</v>
          </cell>
          <cell r="O15">
            <v>49216</v>
          </cell>
          <cell r="P15">
            <v>49216</v>
          </cell>
          <cell r="Q15">
            <v>49216</v>
          </cell>
          <cell r="R15">
            <v>49216</v>
          </cell>
          <cell r="S15">
            <v>49216</v>
          </cell>
          <cell r="T15">
            <v>49216</v>
          </cell>
          <cell r="U15">
            <v>49216</v>
          </cell>
          <cell r="V15">
            <v>0</v>
          </cell>
          <cell r="W15">
            <v>0</v>
          </cell>
        </row>
        <row r="16">
          <cell r="B16" t="str">
            <v>BOTAS DE CAUCHO</v>
          </cell>
          <cell r="C16" t="str">
            <v>Botas blancas de caucho</v>
          </cell>
          <cell r="D16" t="str">
            <v>Par</v>
          </cell>
          <cell r="E16" t="str">
            <v>I2023004856</v>
          </cell>
          <cell r="F16">
            <v>44974</v>
          </cell>
          <cell r="G16">
            <v>59564</v>
          </cell>
          <cell r="H16">
            <v>60189</v>
          </cell>
          <cell r="I16">
            <v>60658</v>
          </cell>
          <cell r="J16">
            <v>60918</v>
          </cell>
          <cell r="K16">
            <v>61100</v>
          </cell>
          <cell r="L16">
            <v>61405</v>
          </cell>
          <cell r="M16">
            <v>61834</v>
          </cell>
          <cell r="N16">
            <v>62167</v>
          </cell>
          <cell r="O16">
            <v>62322</v>
          </cell>
          <cell r="P16">
            <v>62614</v>
          </cell>
          <cell r="Q16">
            <v>62895</v>
          </cell>
          <cell r="R16">
            <v>63473</v>
          </cell>
          <cell r="S16">
            <v>64164</v>
          </cell>
          <cell r="T16">
            <v>64613</v>
          </cell>
          <cell r="U16">
            <v>64994</v>
          </cell>
          <cell r="V16">
            <v>5430</v>
          </cell>
          <cell r="W16">
            <v>9.1162447115707479E-2</v>
          </cell>
        </row>
        <row r="17">
          <cell r="B17" t="str">
            <v>GUANTES DE LATEX</v>
          </cell>
          <cell r="C17" t="str">
            <v>Guantes de látex de examen, cajas de</v>
          </cell>
          <cell r="D17" t="str">
            <v>Caja x 100 unidades</v>
          </cell>
          <cell r="E17" t="str">
            <v>I2023008278</v>
          </cell>
          <cell r="F17">
            <v>45002</v>
          </cell>
          <cell r="G17">
            <v>71607</v>
          </cell>
          <cell r="H17">
            <v>71607</v>
          </cell>
          <cell r="I17">
            <v>72165</v>
          </cell>
          <cell r="J17">
            <v>72475</v>
          </cell>
          <cell r="K17">
            <v>72692</v>
          </cell>
          <cell r="L17">
            <v>73055</v>
          </cell>
          <cell r="M17">
            <v>73566</v>
          </cell>
          <cell r="N17">
            <v>73963</v>
          </cell>
          <cell r="O17">
            <v>74147</v>
          </cell>
          <cell r="P17">
            <v>74495</v>
          </cell>
          <cell r="Q17">
            <v>74830</v>
          </cell>
          <cell r="R17">
            <v>75518</v>
          </cell>
          <cell r="S17">
            <v>76341</v>
          </cell>
          <cell r="T17">
            <v>76875</v>
          </cell>
          <cell r="U17">
            <v>77328</v>
          </cell>
          <cell r="V17">
            <v>5721</v>
          </cell>
          <cell r="W17">
            <v>7.9894423729523656E-2</v>
          </cell>
        </row>
        <row r="18">
          <cell r="B18" t="str">
            <v>TAPABOCAS</v>
          </cell>
          <cell r="C18" t="str">
            <v>Tapabocas elástico desechable con tiras elásticas (opcional N95), cajas de mínimo 100 unidades cada una</v>
          </cell>
          <cell r="D18" t="str">
            <v>Caja x 50 unidades</v>
          </cell>
          <cell r="E18" t="str">
            <v>I2023004856</v>
          </cell>
          <cell r="F18">
            <v>44974</v>
          </cell>
          <cell r="G18">
            <v>18247</v>
          </cell>
          <cell r="H18">
            <v>18438</v>
          </cell>
          <cell r="I18">
            <v>18581</v>
          </cell>
          <cell r="J18">
            <v>18660</v>
          </cell>
          <cell r="K18">
            <v>18715</v>
          </cell>
          <cell r="L18">
            <v>18808</v>
          </cell>
          <cell r="M18">
            <v>18939</v>
          </cell>
          <cell r="N18">
            <v>19041</v>
          </cell>
          <cell r="O18">
            <v>19088</v>
          </cell>
          <cell r="P18">
            <v>19177</v>
          </cell>
          <cell r="Q18">
            <v>19263</v>
          </cell>
          <cell r="R18">
            <v>19440</v>
          </cell>
          <cell r="S18">
            <v>19651</v>
          </cell>
          <cell r="T18">
            <v>19788</v>
          </cell>
          <cell r="U18">
            <v>19904</v>
          </cell>
          <cell r="V18">
            <v>1657</v>
          </cell>
          <cell r="W18">
            <v>9.0809448128459466E-2</v>
          </cell>
        </row>
        <row r="19">
          <cell r="B19" t="str">
            <v>ABRELATAS</v>
          </cell>
          <cell r="C19" t="str">
            <v xml:space="preserve">abrelatas en forma de tijera, sistema de dos discos pequeños, uno con borde en serrucho y otro con borde cortante. </v>
          </cell>
          <cell r="D19" t="str">
            <v>Unidad</v>
          </cell>
          <cell r="E19" t="str">
            <v>I2023018072</v>
          </cell>
          <cell r="F19">
            <v>45100</v>
          </cell>
          <cell r="G19">
            <v>14313</v>
          </cell>
          <cell r="H19">
            <v>14313</v>
          </cell>
          <cell r="I19">
            <v>14313</v>
          </cell>
          <cell r="J19">
            <v>14313</v>
          </cell>
          <cell r="K19">
            <v>14313</v>
          </cell>
          <cell r="L19">
            <v>14384</v>
          </cell>
          <cell r="M19">
            <v>14484</v>
          </cell>
          <cell r="N19">
            <v>14562</v>
          </cell>
          <cell r="O19">
            <v>14598</v>
          </cell>
          <cell r="P19">
            <v>14666</v>
          </cell>
          <cell r="Q19">
            <v>14731</v>
          </cell>
          <cell r="R19">
            <v>14866</v>
          </cell>
          <cell r="S19">
            <v>15028</v>
          </cell>
          <cell r="T19">
            <v>15133</v>
          </cell>
          <cell r="U19">
            <v>15222</v>
          </cell>
          <cell r="V19">
            <v>909</v>
          </cell>
          <cell r="W19">
            <v>6.3508698386082585E-2</v>
          </cell>
        </row>
        <row r="20">
          <cell r="B20" t="str">
            <v>ALMOHADA PARA ADULTO</v>
          </cell>
          <cell r="C20" t="str">
            <v>tamaño: 50cm x 75cm altura 8cm</v>
          </cell>
          <cell r="D20" t="str">
            <v>Desgaste y uso mensual por unidad</v>
          </cell>
          <cell r="E20" t="str">
            <v>I2023004856</v>
          </cell>
          <cell r="F20">
            <v>44974</v>
          </cell>
          <cell r="G20">
            <v>45654</v>
          </cell>
          <cell r="H20">
            <v>46133</v>
          </cell>
          <cell r="I20">
            <v>46492</v>
          </cell>
          <cell r="J20">
            <v>46691</v>
          </cell>
          <cell r="K20">
            <v>46831</v>
          </cell>
          <cell r="L20">
            <v>47065</v>
          </cell>
          <cell r="M20">
            <v>47394</v>
          </cell>
          <cell r="N20">
            <v>47649</v>
          </cell>
          <cell r="O20">
            <v>47768</v>
          </cell>
          <cell r="P20">
            <v>47992</v>
          </cell>
          <cell r="Q20">
            <v>48207</v>
          </cell>
          <cell r="R20">
            <v>48650</v>
          </cell>
          <cell r="S20">
            <v>49180</v>
          </cell>
          <cell r="T20">
            <v>49524</v>
          </cell>
          <cell r="U20">
            <v>49816</v>
          </cell>
          <cell r="V20">
            <v>4162</v>
          </cell>
          <cell r="W20">
            <v>9.1163972488719505E-2</v>
          </cell>
        </row>
        <row r="21">
          <cell r="B21" t="str">
            <v>ANAQUEL O ESTANTERÍAS</v>
          </cell>
          <cell r="C21" t="str">
            <v>Para ubicación de alimentos no perecederos (víveres y abarrotes), en material higiénico sanitario en acero inoxidable de 5 entrepaños para almacenamiento en seco,de 50 cm x 50 cm como minimo</v>
          </cell>
          <cell r="D21" t="str">
            <v>Desgaste y uso mensual por unidad</v>
          </cell>
          <cell r="E21" t="str">
            <v>I2023004856</v>
          </cell>
          <cell r="F21">
            <v>44974</v>
          </cell>
          <cell r="G21">
            <v>312375</v>
          </cell>
          <cell r="H21">
            <v>315654</v>
          </cell>
          <cell r="I21">
            <v>318116</v>
          </cell>
          <cell r="J21">
            <v>319483</v>
          </cell>
          <cell r="K21">
            <v>320441</v>
          </cell>
          <cell r="L21">
            <v>322043</v>
          </cell>
          <cell r="M21">
            <v>324297</v>
          </cell>
          <cell r="N21">
            <v>326048</v>
          </cell>
          <cell r="O21">
            <v>326863</v>
          </cell>
          <cell r="P21">
            <v>328399</v>
          </cell>
          <cell r="Q21">
            <v>329876</v>
          </cell>
          <cell r="R21">
            <v>332910</v>
          </cell>
          <cell r="S21">
            <v>336538</v>
          </cell>
          <cell r="T21">
            <v>338893</v>
          </cell>
          <cell r="U21">
            <v>340892</v>
          </cell>
          <cell r="V21">
            <v>28517</v>
          </cell>
          <cell r="W21">
            <v>9.1290916366546612E-2</v>
          </cell>
        </row>
        <row r="22">
          <cell r="B22" t="str">
            <v>ARCHIVADOR VERTICAL 4 GAVETAS METÁLICO</v>
          </cell>
          <cell r="C22" t="str">
            <v>Materiales: Lámina Cold Rolled calibre 20 en pintura electrostática color gris claro, correderas independientes Full Extension, cerradura en la parte superior. Gavetas extraíbles (4 unidades), con sistema anti-vuelco de seguridad, apertura de solo un cajón al tiempo. Medidas: 136 cm alto x 47 cm ancho, 60 cm fondo. Medidas gaveta: 29 cm alto x 44 cm ancho x 55 cm fondo. Apoyos con niveladores.</v>
          </cell>
          <cell r="D22" t="str">
            <v>Unidad</v>
          </cell>
          <cell r="E22" t="str">
            <v>I2023018072</v>
          </cell>
          <cell r="F22">
            <v>45100</v>
          </cell>
          <cell r="G22">
            <v>718794</v>
          </cell>
          <cell r="H22">
            <v>718794</v>
          </cell>
          <cell r="I22">
            <v>718794</v>
          </cell>
          <cell r="J22">
            <v>718794</v>
          </cell>
          <cell r="K22">
            <v>718794</v>
          </cell>
          <cell r="L22">
            <v>722387</v>
          </cell>
          <cell r="M22">
            <v>727443</v>
          </cell>
          <cell r="N22">
            <v>731371</v>
          </cell>
          <cell r="O22">
            <v>733199</v>
          </cell>
          <cell r="P22">
            <v>736645</v>
          </cell>
          <cell r="Q22">
            <v>739959</v>
          </cell>
          <cell r="R22">
            <v>746766</v>
          </cell>
          <cell r="S22">
            <v>754905</v>
          </cell>
          <cell r="T22">
            <v>760189</v>
          </cell>
          <cell r="U22">
            <v>764674</v>
          </cell>
          <cell r="V22">
            <v>45880</v>
          </cell>
          <cell r="W22">
            <v>6.3829136025064209E-2</v>
          </cell>
        </row>
        <row r="23">
          <cell r="B23" t="str">
            <v>BACINILLAS O PATOS</v>
          </cell>
          <cell r="C23" t="str">
            <v>personas entre 1.53 a 1.75 mts de estatura, muletas</v>
          </cell>
          <cell r="D23" t="str">
            <v>Desgaste y uso mensual por unidad</v>
          </cell>
          <cell r="E23" t="str">
            <v>I2023019873</v>
          </cell>
          <cell r="F23">
            <v>45117</v>
          </cell>
          <cell r="G23">
            <v>140987</v>
          </cell>
          <cell r="H23">
            <v>140987</v>
          </cell>
          <cell r="I23">
            <v>140987</v>
          </cell>
          <cell r="J23">
            <v>140987</v>
          </cell>
          <cell r="K23">
            <v>140987</v>
          </cell>
          <cell r="L23">
            <v>140987</v>
          </cell>
          <cell r="M23">
            <v>141973</v>
          </cell>
          <cell r="N23">
            <v>142739</v>
          </cell>
          <cell r="O23">
            <v>143095</v>
          </cell>
          <cell r="P23">
            <v>143767</v>
          </cell>
          <cell r="Q23">
            <v>144413</v>
          </cell>
          <cell r="R23">
            <v>145741</v>
          </cell>
          <cell r="S23">
            <v>147329</v>
          </cell>
          <cell r="T23">
            <v>148360</v>
          </cell>
          <cell r="U23">
            <v>149235</v>
          </cell>
          <cell r="V23">
            <v>8248</v>
          </cell>
          <cell r="W23">
            <v>5.8501847688084717E-2</v>
          </cell>
        </row>
        <row r="24">
          <cell r="B24" t="str">
            <v>BALANZA</v>
          </cell>
          <cell r="C24" t="str">
            <v>Balanza para pesaje de residuos ordinarios</v>
          </cell>
          <cell r="D24" t="str">
            <v>Unidad</v>
          </cell>
          <cell r="E24" t="str">
            <v>I2024014734</v>
          </cell>
          <cell r="F24" t="str">
            <v>0</v>
          </cell>
          <cell r="G24">
            <v>109564</v>
          </cell>
          <cell r="H24">
            <v>109564</v>
          </cell>
          <cell r="I24">
            <v>109564</v>
          </cell>
          <cell r="J24">
            <v>109564</v>
          </cell>
          <cell r="K24">
            <v>109564</v>
          </cell>
          <cell r="L24">
            <v>109564</v>
          </cell>
          <cell r="M24">
            <v>109564</v>
          </cell>
          <cell r="N24">
            <v>109564</v>
          </cell>
          <cell r="O24">
            <v>109564</v>
          </cell>
          <cell r="P24">
            <v>109564</v>
          </cell>
          <cell r="Q24">
            <v>109564</v>
          </cell>
          <cell r="R24">
            <v>109564</v>
          </cell>
          <cell r="S24">
            <v>109564</v>
          </cell>
          <cell r="T24">
            <v>109564</v>
          </cell>
          <cell r="U24">
            <v>109564</v>
          </cell>
          <cell r="V24">
            <v>0</v>
          </cell>
          <cell r="W24">
            <v>0</v>
          </cell>
        </row>
        <row r="25">
          <cell r="B25" t="str">
            <v>BALANZA</v>
          </cell>
          <cell r="C25" t="str">
            <v>Balanza para pesaje de residuos hospitalarios</v>
          </cell>
          <cell r="D25" t="str">
            <v>Unidad</v>
          </cell>
          <cell r="E25" t="str">
            <v>I2024014734</v>
          </cell>
          <cell r="F25" t="str">
            <v>0</v>
          </cell>
          <cell r="G25">
            <v>112447</v>
          </cell>
          <cell r="H25">
            <v>112447</v>
          </cell>
          <cell r="I25">
            <v>112447</v>
          </cell>
          <cell r="J25">
            <v>112447</v>
          </cell>
          <cell r="K25">
            <v>112447</v>
          </cell>
          <cell r="L25">
            <v>112447</v>
          </cell>
          <cell r="M25">
            <v>112447</v>
          </cell>
          <cell r="N25">
            <v>112447</v>
          </cell>
          <cell r="O25">
            <v>112447</v>
          </cell>
          <cell r="P25">
            <v>112447</v>
          </cell>
          <cell r="Q25">
            <v>112447</v>
          </cell>
          <cell r="R25">
            <v>112447</v>
          </cell>
          <cell r="S25">
            <v>112447</v>
          </cell>
          <cell r="T25">
            <v>112447</v>
          </cell>
          <cell r="U25">
            <v>112447</v>
          </cell>
          <cell r="V25">
            <v>0</v>
          </cell>
          <cell r="W25">
            <v>0</v>
          </cell>
        </row>
        <row r="26">
          <cell r="B26" t="str">
            <v>BALDE</v>
          </cell>
          <cell r="C26" t="str">
            <v>Balde con agarradera y tapa en material plastico con vertedero para controlar la salida del liquido. Capacidad de 13 Lts</v>
          </cell>
          <cell r="D26" t="str">
            <v>Unidad</v>
          </cell>
          <cell r="E26" t="str">
            <v>I2023018072</v>
          </cell>
          <cell r="F26">
            <v>45100</v>
          </cell>
          <cell r="G26">
            <v>23503</v>
          </cell>
          <cell r="H26">
            <v>23503</v>
          </cell>
          <cell r="I26">
            <v>23503</v>
          </cell>
          <cell r="J26">
            <v>23503</v>
          </cell>
          <cell r="K26">
            <v>23503</v>
          </cell>
          <cell r="L26">
            <v>23620</v>
          </cell>
          <cell r="M26">
            <v>23785</v>
          </cell>
          <cell r="N26">
            <v>23913</v>
          </cell>
          <cell r="O26">
            <v>23972</v>
          </cell>
          <cell r="P26">
            <v>24084</v>
          </cell>
          <cell r="Q26">
            <v>24192</v>
          </cell>
          <cell r="R26">
            <v>24414</v>
          </cell>
          <cell r="S26">
            <v>24680</v>
          </cell>
          <cell r="T26">
            <v>24852</v>
          </cell>
          <cell r="U26">
            <v>24998</v>
          </cell>
          <cell r="V26">
            <v>1495</v>
          </cell>
          <cell r="W26">
            <v>6.3608900991362807E-2</v>
          </cell>
        </row>
        <row r="27">
          <cell r="B27" t="str">
            <v>BANDEJA</v>
          </cell>
          <cell r="C27" t="str">
            <v>Bandejas plasticas para servir (en material higiénico sanitario) de mínimo 47 cm x 35,5  cm.</v>
          </cell>
          <cell r="D27" t="str">
            <v>Desgaste y uso mensual por unidad</v>
          </cell>
          <cell r="E27" t="str">
            <v>I2023004856</v>
          </cell>
          <cell r="F27">
            <v>44974</v>
          </cell>
          <cell r="G27">
            <v>11208</v>
          </cell>
          <cell r="H27">
            <v>11325</v>
          </cell>
          <cell r="I27">
            <v>11413</v>
          </cell>
          <cell r="J27">
            <v>11462</v>
          </cell>
          <cell r="K27">
            <v>11496</v>
          </cell>
          <cell r="L27">
            <v>11553</v>
          </cell>
          <cell r="M27">
            <v>11633</v>
          </cell>
          <cell r="N27">
            <v>11695</v>
          </cell>
          <cell r="O27">
            <v>11724</v>
          </cell>
          <cell r="P27">
            <v>11779</v>
          </cell>
          <cell r="Q27">
            <v>11832</v>
          </cell>
          <cell r="R27">
            <v>11940</v>
          </cell>
          <cell r="S27">
            <v>12070</v>
          </cell>
          <cell r="T27">
            <v>12154</v>
          </cell>
          <cell r="U27">
            <v>12225</v>
          </cell>
          <cell r="V27">
            <v>1017</v>
          </cell>
          <cell r="W27">
            <v>9.0738758029978592E-2</v>
          </cell>
        </row>
        <row r="28">
          <cell r="B28" t="str">
            <v>BÁSCULA ELECTRÓNICA</v>
          </cell>
          <cell r="C28" t="str">
            <v>Balanza - Báscula para alimentos, Capacidad hasta de 150 Kg. Sensibilidad mínima de 50 gramos. Dimensión plataforma: mínima de 30 cm x 40 cm Certificado de calibración por laboratorio acreditado por la ONAC, cada año, incluyendo pilas o cargador para su funcionamiento.</v>
          </cell>
          <cell r="D28" t="str">
            <v>Desgaste y uso mensual por unidad</v>
          </cell>
          <cell r="E28" t="str">
            <v>I2023004856</v>
          </cell>
          <cell r="F28">
            <v>44974</v>
          </cell>
          <cell r="G28">
            <v>359859</v>
          </cell>
          <cell r="H28">
            <v>363637</v>
          </cell>
          <cell r="I28">
            <v>366473</v>
          </cell>
          <cell r="J28">
            <v>368048</v>
          </cell>
          <cell r="K28">
            <v>369152</v>
          </cell>
          <cell r="L28">
            <v>370997</v>
          </cell>
          <cell r="M28">
            <v>373593</v>
          </cell>
          <cell r="N28">
            <v>375610</v>
          </cell>
          <cell r="O28">
            <v>376549</v>
          </cell>
          <cell r="P28">
            <v>378318</v>
          </cell>
          <cell r="Q28">
            <v>380020</v>
          </cell>
          <cell r="R28">
            <v>383516</v>
          </cell>
          <cell r="S28">
            <v>387696</v>
          </cell>
          <cell r="T28">
            <v>390409</v>
          </cell>
          <cell r="U28">
            <v>392712</v>
          </cell>
          <cell r="V28">
            <v>32853</v>
          </cell>
          <cell r="W28">
            <v>9.1294090185322585E-2</v>
          </cell>
        </row>
        <row r="29">
          <cell r="B29" t="str">
            <v>BÁSCULA ELECTRÓNICA INDUSTRIAL</v>
          </cell>
          <cell r="C29" t="str">
            <v>Bascula electrónica industrial diseñada para trabajo continuo, con plataforma robusta.
Plataforma en acero inoxidable, Indicador: electrónico con función de TARA/HOLD, Capacidad mínima: 150 kg
División/ precisión mínima: 50 g., Precisión máxima: 100g., Dimensión plataforma: (lxaxh) 70 cm x 70 cm.x15cm (+/- 30%), Peso de bascula: máximo de 40kg., Batería: recargable con autonomía mínima de 24 horas de uso
Accesorios: adaptador / cargador de batería.
La báscula debe ser entregada con certificado de aprobación de modelo acorde con OIML R 76-1 o la norma correspondiente según el país o región de origen, informe de verificación inicial acorde con OIML R 76-1 o la NTC 2031:2002. Debe tener identificación metrológica de origen (etiqueta o placa) con información relacionada con clase, capacidad máxima, capacidad mínima, escalón de verificación (e) y división de escala (d)). Cada equipo deberá tener un empaque que facilite su almacenamiento y transporte y que garanticen las condiciones necesarias para mantener la calibración. Los equipos antropométricos deben comprarse con certificado de calibración, acreditado ante la ONAC (Organismo Nacional de Acreditación de Colombia) en Masa. Garantía mínima de 3 años de conformidad con lo estipulado en el capítulo 1 del título 3 de la ley 1480 de 2011 (estatuto de protección al consumidor). Deberá ser entregado con los manuales de calibración y manejo del equipo</v>
          </cell>
          <cell r="D29" t="str">
            <v>Desgaste y uso mensual por unidad</v>
          </cell>
          <cell r="E29" t="str">
            <v>I2023031991</v>
          </cell>
          <cell r="F29">
            <v>45219</v>
          </cell>
          <cell r="G29">
            <v>1160000</v>
          </cell>
          <cell r="H29">
            <v>1160000</v>
          </cell>
          <cell r="I29">
            <v>1160000</v>
          </cell>
          <cell r="J29">
            <v>1160000</v>
          </cell>
          <cell r="K29">
            <v>1160000</v>
          </cell>
          <cell r="L29">
            <v>1160000</v>
          </cell>
          <cell r="M29">
            <v>1160000</v>
          </cell>
          <cell r="N29">
            <v>1160000</v>
          </cell>
          <cell r="O29">
            <v>1160000</v>
          </cell>
          <cell r="P29">
            <v>1165452</v>
          </cell>
          <cell r="Q29">
            <v>1170696</v>
          </cell>
          <cell r="R29">
            <v>1181466</v>
          </cell>
          <cell r="S29">
            <v>1194343</v>
          </cell>
          <cell r="T29">
            <v>1202703</v>
          </cell>
          <cell r="U29">
            <v>1209798</v>
          </cell>
          <cell r="V29">
            <v>49798</v>
          </cell>
          <cell r="W29">
            <v>4.2929310344827588E-2</v>
          </cell>
        </row>
        <row r="30">
          <cell r="B30" t="str">
            <v>BASCULA ELECTRÓNICA PESA PERSONAS</v>
          </cell>
          <cell r="C30" t="str">
            <v>Báscula grado médico para paciente adulto con certificado de conformidad expedido por el país de origen.Funcionamiento digital con pantalla de visualización LCD.Capacidad de carga ≥ 180KG. Con funciones: Desconexión automática, 2 en 1 o madre bebe, auto HOLD y conmutación de kgs/lbs. Plataforma antideslizante. Alimentación eléctrica suministrada por pilas y con opción de alimentación eléctrica por cargador a pared.Escala de división de 100 gr o menos.Soportes con sistema de nivelación de altura para garantizar una medición correcta. Con opción para ajuste del factor gravitacional del lugar de instalación.Material de fabricación: ABS grado médico.</v>
          </cell>
          <cell r="D30" t="str">
            <v>Unidad</v>
          </cell>
          <cell r="E30" t="str">
            <v>I2023031433</v>
          </cell>
          <cell r="F30">
            <v>45212</v>
          </cell>
          <cell r="G30">
            <v>279950</v>
          </cell>
          <cell r="H30">
            <v>279950</v>
          </cell>
          <cell r="I30">
            <v>279950</v>
          </cell>
          <cell r="J30">
            <v>279950</v>
          </cell>
          <cell r="K30">
            <v>279950</v>
          </cell>
          <cell r="L30">
            <v>279950</v>
          </cell>
          <cell r="M30">
            <v>279950</v>
          </cell>
          <cell r="N30">
            <v>279950</v>
          </cell>
          <cell r="O30">
            <v>279950</v>
          </cell>
          <cell r="P30">
            <v>281265</v>
          </cell>
          <cell r="Q30">
            <v>282530</v>
          </cell>
          <cell r="R30">
            <v>285129</v>
          </cell>
          <cell r="S30">
            <v>288236</v>
          </cell>
          <cell r="T30">
            <v>290253</v>
          </cell>
          <cell r="U30">
            <v>291965</v>
          </cell>
          <cell r="V30">
            <v>12015</v>
          </cell>
          <cell r="W30">
            <v>4.2918378281836041E-2</v>
          </cell>
        </row>
        <row r="31">
          <cell r="B31" t="str">
            <v>BATA BLANCA</v>
          </cell>
          <cell r="C31" t="str">
            <v>Bata blanca</v>
          </cell>
          <cell r="D31" t="str">
            <v>Desgaste y uso mensual por unidad</v>
          </cell>
          <cell r="E31" t="str">
            <v>I2023004856</v>
          </cell>
          <cell r="F31">
            <v>44974</v>
          </cell>
          <cell r="G31">
            <v>49609</v>
          </cell>
          <cell r="H31">
            <v>50129</v>
          </cell>
          <cell r="I31">
            <v>50520</v>
          </cell>
          <cell r="J31">
            <v>50737</v>
          </cell>
          <cell r="K31">
            <v>50889</v>
          </cell>
          <cell r="L31">
            <v>51143</v>
          </cell>
          <cell r="M31">
            <v>51501</v>
          </cell>
          <cell r="N31">
            <v>51779</v>
          </cell>
          <cell r="O31">
            <v>51908</v>
          </cell>
          <cell r="P31">
            <v>52151</v>
          </cell>
          <cell r="Q31">
            <v>52385</v>
          </cell>
          <cell r="R31">
            <v>52866</v>
          </cell>
          <cell r="S31">
            <v>53442</v>
          </cell>
          <cell r="T31">
            <v>53816</v>
          </cell>
          <cell r="U31">
            <v>54133</v>
          </cell>
          <cell r="V31">
            <v>4524</v>
          </cell>
          <cell r="W31">
            <v>9.1193130278780066E-2</v>
          </cell>
        </row>
        <row r="32">
          <cell r="B32" t="str">
            <v>BOTIQUIN TIPO A</v>
          </cell>
          <cell r="C32" t="str">
            <v>Botiquín tipo A - fijo botiquín de primeros auxilios fabricado en lámina. Fijo con dos entrepaños y cavidad para variedad de frascos. Puerta de vidrio enmarcada con cerradura. Terminado en pintura electrostática, el cual debe contener todos los elementos mencionados en la resolución 0705 DE 2007.</v>
          </cell>
          <cell r="D32" t="str">
            <v>Desgaste y uso mensual por unidad</v>
          </cell>
          <cell r="E32" t="str">
            <v>I2023008278</v>
          </cell>
          <cell r="F32">
            <v>45002</v>
          </cell>
          <cell r="G32">
            <v>159628</v>
          </cell>
          <cell r="H32">
            <v>159628</v>
          </cell>
          <cell r="I32">
            <v>160873</v>
          </cell>
          <cell r="J32">
            <v>161564</v>
          </cell>
          <cell r="K32">
            <v>162048</v>
          </cell>
          <cell r="L32">
            <v>162858</v>
          </cell>
          <cell r="M32">
            <v>163998</v>
          </cell>
          <cell r="N32">
            <v>164883</v>
          </cell>
          <cell r="O32">
            <v>165295</v>
          </cell>
          <cell r="P32">
            <v>166071</v>
          </cell>
          <cell r="Q32">
            <v>166818</v>
          </cell>
          <cell r="R32">
            <v>168352</v>
          </cell>
          <cell r="S32">
            <v>170187</v>
          </cell>
          <cell r="T32">
            <v>171378</v>
          </cell>
          <cell r="U32">
            <v>172389</v>
          </cell>
          <cell r="V32">
            <v>12761</v>
          </cell>
          <cell r="W32">
            <v>7.9942115418347656E-2</v>
          </cell>
        </row>
        <row r="33">
          <cell r="B33" t="str">
            <v>BOTIQUIN TIPO A - PORTATIL</v>
          </cell>
          <cell r="C33" t="str">
            <v>MALETÍN ELABORADO EN LONA COLOR ROJO, TOTALMENTE IMPERMEABLE ABULLONADO Y FORRADO CON EL LOGO DE CRUZ Y LEYENDA INFORMATIVA “BOTIQUIN PRIMEROS AUXILIOS”, MEDIDAS APROXIMADAS DEL MALETIN 40 X 30 X 15 CM, CORREA Y CREMALLERA .1 COMPARTIMIENTOS + 4 BOLSILLOS INTERNOS. ESTE BOTIQUÍN DEBE CONTENER CADA UNO DE LOS ELEMENTOS ESTABLECIDOS POR LA RESOLUCION 705 DE 2007 EXPEDIDO POR LA SECRETARÍA DISTRITAL DE SALUD: GASA ESTÉRIL:  *GASA DE 3" X 3" 10 SOBRES CON 2 UNIDADES CADA UNO.  *ESPARADRAPO DE TELA: 1 ROLLO DE 4" X 5 YD  *BAJA LENGUAS EN MADERA: 1 PAQUETE X 20 UNIDADES  *GUANTES E LÁTEX: 1 CAJA X 100 UNIDADES *VENDA ELÁSTICA: 1 UNIDAD DE 2" X 5 YD  *VENDA ELÁSTICA: 1 UNIDAD DE 3" X 5 YD  *VENDA ELÁSTICA: 1 UNIDAD DE 5" X 5 YD *VENDA DE ALGODÓN LAMINADO: 1 UNIDAD DE 3”  X 5 YD *VENDA DE ALGODÓN LAMINADO: 1 UNIDAD DE 5” X 5 YD  *YODOPOVIDONA (JABÓN QUIRÚRGICO): 1 FRASCO X 120 ML *SUERO FISIOLÓGICO: 5 BOLSAS X 100 ML O 2 BOLSAS X 250 ML  *TERMÓMETRO CLÍNICO DIGITAL (ORAL): 1 NIDAD   *ALCOHOL ANTISÉPTICO: 1 FRASCO X 350 ML NOTA: FECHAS DE VENCIMIENTO MÍNIMO 18 MESES</v>
          </cell>
          <cell r="D33" t="str">
            <v>Desgaste y uso mensual por unidad</v>
          </cell>
          <cell r="E33" t="str">
            <v>I2023024745</v>
          </cell>
          <cell r="F33">
            <v>45161</v>
          </cell>
          <cell r="G33">
            <v>111050</v>
          </cell>
          <cell r="H33">
            <v>111050</v>
          </cell>
          <cell r="I33">
            <v>111050</v>
          </cell>
          <cell r="J33">
            <v>111050</v>
          </cell>
          <cell r="K33">
            <v>111050</v>
          </cell>
          <cell r="L33">
            <v>111050</v>
          </cell>
          <cell r="M33">
            <v>111050</v>
          </cell>
          <cell r="N33">
            <v>111649</v>
          </cell>
          <cell r="O33">
            <v>111928</v>
          </cell>
          <cell r="P33">
            <v>112454</v>
          </cell>
          <cell r="Q33">
            <v>112960</v>
          </cell>
          <cell r="R33">
            <v>113999</v>
          </cell>
          <cell r="S33">
            <v>115241</v>
          </cell>
          <cell r="T33">
            <v>116047</v>
          </cell>
          <cell r="U33">
            <v>116731</v>
          </cell>
          <cell r="V33">
            <v>5681</v>
          </cell>
          <cell r="W33">
            <v>5.1157136425033771E-2</v>
          </cell>
        </row>
        <row r="34">
          <cell r="B34" t="str">
            <v>BOTIQUÍN TIPO B</v>
          </cell>
          <cell r="C34" t="str">
            <v>(1) Botiquín tipo B de fácil traslado, teniendo en cuenta lo establecido en la Resolución 705 de 2007 de la Secretaría Distrital de Salud (Anexo tecnico Componentes ambientes adecuados y seguros Tabla 15. Relación de elementos Botiquín tipo B)</v>
          </cell>
          <cell r="D34" t="str">
            <v>Desgaste y uso mensual por unidad</v>
          </cell>
          <cell r="E34" t="str">
            <v>I2023004856</v>
          </cell>
          <cell r="F34">
            <v>44974</v>
          </cell>
          <cell r="G34">
            <v>571791</v>
          </cell>
          <cell r="H34">
            <v>577794</v>
          </cell>
          <cell r="I34">
            <v>582300</v>
          </cell>
          <cell r="J34">
            <v>584803</v>
          </cell>
          <cell r="K34">
            <v>586557</v>
          </cell>
          <cell r="L34">
            <v>589489</v>
          </cell>
          <cell r="M34">
            <v>593615</v>
          </cell>
          <cell r="N34">
            <v>596820</v>
          </cell>
          <cell r="O34">
            <v>598312</v>
          </cell>
          <cell r="P34">
            <v>601124</v>
          </cell>
          <cell r="Q34">
            <v>603829</v>
          </cell>
          <cell r="R34">
            <v>609384</v>
          </cell>
          <cell r="S34">
            <v>616026</v>
          </cell>
          <cell r="T34">
            <v>620338</v>
          </cell>
          <cell r="U34">
            <v>623997</v>
          </cell>
          <cell r="V34">
            <v>52206</v>
          </cell>
          <cell r="W34">
            <v>9.1302591331448024E-2</v>
          </cell>
        </row>
        <row r="35">
          <cell r="B35" t="str">
            <v>CABINA DE SONIDO</v>
          </cell>
          <cell r="C35" t="str">
            <v>torre de sonido con entrada de audio analógico aux, lector usb – bluetooth – fm – sd, reproductor de música mp3 y mp4, control remoto, potencia de salida 200 w, energía 110v/60hz, 3 canales de potencia y altura aproximada de 56 cm. batería recargable y micrófono incluido.</v>
          </cell>
          <cell r="D35" t="str">
            <v>Desgaste y uso mensual por unidad</v>
          </cell>
          <cell r="E35" t="str">
            <v>I2024004413</v>
          </cell>
          <cell r="F35" t="str">
            <v>0</v>
          </cell>
          <cell r="G35">
            <v>943857</v>
          </cell>
          <cell r="H35">
            <v>943857</v>
          </cell>
          <cell r="I35">
            <v>943857</v>
          </cell>
          <cell r="J35">
            <v>943857</v>
          </cell>
          <cell r="K35">
            <v>943857</v>
          </cell>
          <cell r="L35">
            <v>943857</v>
          </cell>
          <cell r="M35">
            <v>943857</v>
          </cell>
          <cell r="N35">
            <v>943857</v>
          </cell>
          <cell r="O35">
            <v>943857</v>
          </cell>
          <cell r="P35">
            <v>943857</v>
          </cell>
          <cell r="Q35">
            <v>943857</v>
          </cell>
          <cell r="R35">
            <v>943857</v>
          </cell>
          <cell r="S35">
            <v>943857</v>
          </cell>
          <cell r="T35">
            <v>943857</v>
          </cell>
          <cell r="U35">
            <v>943857</v>
          </cell>
          <cell r="V35">
            <v>0</v>
          </cell>
          <cell r="W35">
            <v>0</v>
          </cell>
        </row>
        <row r="36">
          <cell r="B36" t="str">
            <v>CALDERO</v>
          </cell>
          <cell r="C36" t="str">
            <v>Caldero hondo de aluminio de alta pureza, fundido con capacidad de 75 litros extrafuerte con tapa.
Dimensiones: Alto 53,5 cm y diámetro 54 cm. Color: Gris</v>
          </cell>
          <cell r="D36" t="str">
            <v>Desgaste y uso mensual por unidad</v>
          </cell>
          <cell r="E36" t="str">
            <v>I2023031084</v>
          </cell>
          <cell r="F36">
            <v>45210</v>
          </cell>
          <cell r="G36">
            <v>168130</v>
          </cell>
          <cell r="H36">
            <v>168130</v>
          </cell>
          <cell r="I36">
            <v>168130</v>
          </cell>
          <cell r="J36">
            <v>168130</v>
          </cell>
          <cell r="K36">
            <v>168130</v>
          </cell>
          <cell r="L36">
            <v>168130</v>
          </cell>
          <cell r="M36">
            <v>168130</v>
          </cell>
          <cell r="N36">
            <v>168130</v>
          </cell>
          <cell r="O36">
            <v>168130</v>
          </cell>
          <cell r="P36">
            <v>168920</v>
          </cell>
          <cell r="Q36">
            <v>169680</v>
          </cell>
          <cell r="R36">
            <v>171241</v>
          </cell>
          <cell r="S36">
            <v>173107</v>
          </cell>
          <cell r="T36">
            <v>174318</v>
          </cell>
          <cell r="U36">
            <v>175346</v>
          </cell>
          <cell r="V36">
            <v>7216</v>
          </cell>
          <cell r="W36">
            <v>4.2919169690120738E-2</v>
          </cell>
        </row>
        <row r="37">
          <cell r="B37" t="str">
            <v>CAMAROTE</v>
          </cell>
          <cell r="C37" t="str">
            <v xml:space="preserve">Camarote sencillo en tubo metálico redondo de 2” calibre 18. Largueros en ángulo de hierro perfil en L de 1 ½” x 3/16”. Escalera fija en el piecero. Soldadura MIG. Tablado en madera cepillada firmemente unidos por listones de 3cm x 1cm x 190cm. Acabados en pintura electrostática. imensiones: alto 140cm x  ancho 100cm x largo 190 cm. </v>
          </cell>
          <cell r="D37" t="str">
            <v>Desgaste y uso mensual por unidad</v>
          </cell>
          <cell r="E37" t="str">
            <v>I2023031801</v>
          </cell>
          <cell r="F37">
            <v>45212</v>
          </cell>
          <cell r="G37">
            <v>1309250</v>
          </cell>
          <cell r="H37">
            <v>1309250</v>
          </cell>
          <cell r="I37">
            <v>1309250</v>
          </cell>
          <cell r="J37">
            <v>1309250</v>
          </cell>
          <cell r="K37">
            <v>1309250</v>
          </cell>
          <cell r="L37">
            <v>1309250</v>
          </cell>
          <cell r="M37">
            <v>1309250</v>
          </cell>
          <cell r="N37">
            <v>1309250</v>
          </cell>
          <cell r="O37">
            <v>1309250</v>
          </cell>
          <cell r="P37">
            <v>1315403</v>
          </cell>
          <cell r="Q37">
            <v>1321322</v>
          </cell>
          <cell r="R37">
            <v>1333478</v>
          </cell>
          <cell r="S37">
            <v>1348012</v>
          </cell>
          <cell r="T37">
            <v>1357448</v>
          </cell>
          <cell r="U37">
            <v>1365456</v>
          </cell>
          <cell r="V37">
            <v>56206</v>
          </cell>
          <cell r="W37">
            <v>4.2929921710903186E-2</v>
          </cell>
        </row>
        <row r="38">
          <cell r="B38" t="str">
            <v>CAMILLA FIJA ADULTO</v>
          </cell>
          <cell r="C38" t="str">
            <v xml:space="preserve">Camilla fija sencilla, Fabricado en tubo cuadrado de 1 1/4" Cold Rolled Cal. 18, Tapizado en cordobán lavable y espuma de 5cm color Negro, con refuerzo en tablex de alta resistencia, Refuerzo en tubo redondo de 7/8" cold rolled Cal 18, 4 tapones plásticos de 1 ¼ externos, Dimensiones: argo 1.80 m, Ancho 0.55 m, Altura 0.80 m, Capacidad de carga: 120kg - 150kg, Terminado en pintura electrostática color Blanco. </v>
          </cell>
          <cell r="D38" t="str">
            <v>Desgaste y uso mensual por unidad</v>
          </cell>
          <cell r="E38" t="str">
            <v>I2023031433</v>
          </cell>
          <cell r="F38">
            <v>45212</v>
          </cell>
          <cell r="G38">
            <v>378340</v>
          </cell>
          <cell r="H38">
            <v>378340</v>
          </cell>
          <cell r="I38">
            <v>378340</v>
          </cell>
          <cell r="J38">
            <v>378340</v>
          </cell>
          <cell r="K38">
            <v>378340</v>
          </cell>
          <cell r="L38">
            <v>378340</v>
          </cell>
          <cell r="M38">
            <v>378340</v>
          </cell>
          <cell r="N38">
            <v>378340</v>
          </cell>
          <cell r="O38">
            <v>378340</v>
          </cell>
          <cell r="P38">
            <v>380118</v>
          </cell>
          <cell r="Q38">
            <v>381828</v>
          </cell>
          <cell r="R38">
            <v>385340</v>
          </cell>
          <cell r="S38">
            <v>389540</v>
          </cell>
          <cell r="T38">
            <v>392266</v>
          </cell>
          <cell r="U38">
            <v>394580</v>
          </cell>
          <cell r="V38">
            <v>16240</v>
          </cell>
          <cell r="W38">
            <v>4.2924353755880953E-2</v>
          </cell>
        </row>
        <row r="39">
          <cell r="B39" t="str">
            <v>CAMINADOR ADULTO/A</v>
          </cell>
          <cell r="C39" t="str">
            <v>Caminador plegable: con función de paso a paso y fijo, estructura liviana en aluminio cromado, regatones de goma antideslizantes y manillares de espuma ergonómicos, ajustable y plegable para facilitar su almacenamiento, cuenta con sistema de activación reciproco mediante la presión de un pin y agarraderas de espuma, plegable con doble soporte frontal, en aluminio, plegable con un solo botón, con asas acolchadas y puntales de goma antideslizante,
estructura de 4 patas construido en aluminio anodizado, regulable en altura cada 2,5 cm desde los 82 a los 92 cm, peso máximo soportado 100 kg, color plateado.</v>
          </cell>
          <cell r="D39" t="str">
            <v>Desgaste y uso mensual por unidad</v>
          </cell>
          <cell r="E39" t="str">
            <v>I2023031433</v>
          </cell>
          <cell r="F39">
            <v>45212</v>
          </cell>
          <cell r="G39">
            <v>171325</v>
          </cell>
          <cell r="H39">
            <v>171325</v>
          </cell>
          <cell r="I39">
            <v>171325</v>
          </cell>
          <cell r="J39">
            <v>171325</v>
          </cell>
          <cell r="K39">
            <v>171325</v>
          </cell>
          <cell r="L39">
            <v>171325</v>
          </cell>
          <cell r="M39">
            <v>171325</v>
          </cell>
          <cell r="N39">
            <v>171325</v>
          </cell>
          <cell r="O39">
            <v>171325</v>
          </cell>
          <cell r="P39">
            <v>172130</v>
          </cell>
          <cell r="Q39">
            <v>172904</v>
          </cell>
          <cell r="R39">
            <v>174494</v>
          </cell>
          <cell r="S39">
            <v>176395</v>
          </cell>
          <cell r="T39">
            <v>177629</v>
          </cell>
          <cell r="U39">
            <v>178677</v>
          </cell>
          <cell r="V39">
            <v>7352</v>
          </cell>
          <cell r="W39">
            <v>4.2912593024952574E-2</v>
          </cell>
        </row>
        <row r="40">
          <cell r="B40" t="str">
            <v>CANASTILLAS</v>
          </cell>
          <cell r="C40" t="str">
            <v>Canastillas plásticas para frutas y verduras, de 50 / 55 cms de largo x 30 /38 cm de ancho.</v>
          </cell>
          <cell r="D40" t="str">
            <v>Desgaste y uso mensual por unidad</v>
          </cell>
          <cell r="E40" t="str">
            <v>I2023004856</v>
          </cell>
          <cell r="F40">
            <v>44974</v>
          </cell>
          <cell r="G40">
            <v>35207</v>
          </cell>
          <cell r="H40">
            <v>35576</v>
          </cell>
          <cell r="I40">
            <v>35853</v>
          </cell>
          <cell r="J40">
            <v>36007</v>
          </cell>
          <cell r="K40">
            <v>36115</v>
          </cell>
          <cell r="L40">
            <v>36295</v>
          </cell>
          <cell r="M40">
            <v>36549</v>
          </cell>
          <cell r="N40">
            <v>36746</v>
          </cell>
          <cell r="O40">
            <v>36837</v>
          </cell>
          <cell r="P40">
            <v>37010</v>
          </cell>
          <cell r="Q40">
            <v>37176</v>
          </cell>
          <cell r="R40">
            <v>37518</v>
          </cell>
          <cell r="S40">
            <v>37926</v>
          </cell>
          <cell r="T40">
            <v>38191</v>
          </cell>
          <cell r="U40">
            <v>38416</v>
          </cell>
          <cell r="V40">
            <v>3209</v>
          </cell>
          <cell r="W40">
            <v>9.1146646973613202E-2</v>
          </cell>
        </row>
        <row r="41">
          <cell r="B41" t="str">
            <v>CANECA PARA EL DESCOMIDE CON TAPA HERMÉTICA</v>
          </cell>
          <cell r="C41" t="str">
            <v>Una  (1) caneca con tapa hermética  - Color Negro - Capacidad 40 litros</v>
          </cell>
          <cell r="D41" t="str">
            <v>Desgaste y uso mensual por unidad</v>
          </cell>
          <cell r="E41" t="str">
            <v>I2023004856</v>
          </cell>
          <cell r="F41">
            <v>44974</v>
          </cell>
          <cell r="G41">
            <v>69372</v>
          </cell>
          <cell r="H41">
            <v>70100</v>
          </cell>
          <cell r="I41">
            <v>70646</v>
          </cell>
          <cell r="J41">
            <v>70949</v>
          </cell>
          <cell r="K41">
            <v>71161</v>
          </cell>
          <cell r="L41">
            <v>71516</v>
          </cell>
          <cell r="M41">
            <v>72016</v>
          </cell>
          <cell r="N41">
            <v>72404</v>
          </cell>
          <cell r="O41">
            <v>72585</v>
          </cell>
          <cell r="P41">
            <v>72926</v>
          </cell>
          <cell r="Q41">
            <v>73254</v>
          </cell>
          <cell r="R41">
            <v>73927</v>
          </cell>
          <cell r="S41">
            <v>74732</v>
          </cell>
          <cell r="T41">
            <v>75255</v>
          </cell>
          <cell r="U41">
            <v>75699</v>
          </cell>
          <cell r="V41">
            <v>6327</v>
          </cell>
          <cell r="W41">
            <v>9.1203943954333164E-2</v>
          </cell>
        </row>
        <row r="42">
          <cell r="B42" t="str">
            <v>CANECA PARA LA COCINA CON TAPA HERMÉTICA</v>
          </cell>
          <cell r="C42" t="str">
            <v>Una  (1) caneca con tapa hermética  - Color Verde o Negro - Capacidad 70 litros</v>
          </cell>
          <cell r="D42" t="str">
            <v>Desgaste y uso mensual por unidad</v>
          </cell>
          <cell r="E42" t="str">
            <v>I2023004856</v>
          </cell>
          <cell r="F42">
            <v>44974</v>
          </cell>
          <cell r="G42">
            <v>135420</v>
          </cell>
          <cell r="H42">
            <v>136841</v>
          </cell>
          <cell r="I42">
            <v>137908</v>
          </cell>
          <cell r="J42">
            <v>138501</v>
          </cell>
          <cell r="K42">
            <v>138916</v>
          </cell>
          <cell r="L42">
            <v>139610</v>
          </cell>
          <cell r="M42">
            <v>140587</v>
          </cell>
          <cell r="N42">
            <v>141346</v>
          </cell>
          <cell r="O42">
            <v>141699</v>
          </cell>
          <cell r="P42">
            <v>142364</v>
          </cell>
          <cell r="Q42">
            <v>143004</v>
          </cell>
          <cell r="R42">
            <v>144319</v>
          </cell>
          <cell r="S42">
            <v>145892</v>
          </cell>
          <cell r="T42">
            <v>146913</v>
          </cell>
          <cell r="U42">
            <v>147779</v>
          </cell>
          <cell r="V42">
            <v>12359</v>
          </cell>
          <cell r="W42">
            <v>9.1264215034706844E-2</v>
          </cell>
        </row>
        <row r="43">
          <cell r="B43" t="str">
            <v>CANECA PARA LOS PAÑALES CON TAPA HERMÉTICA</v>
          </cell>
          <cell r="C43" t="str">
            <v>Una  (1) caneca con tapa hermética  - Color Negro - Capacidad 40 litros</v>
          </cell>
          <cell r="D43" t="str">
            <v>Desgaste y uso mensual por unidad</v>
          </cell>
          <cell r="E43" t="str">
            <v>I2023004856</v>
          </cell>
          <cell r="F43">
            <v>44974</v>
          </cell>
          <cell r="G43">
            <v>69372</v>
          </cell>
          <cell r="H43">
            <v>70100</v>
          </cell>
          <cell r="I43">
            <v>70646</v>
          </cell>
          <cell r="J43">
            <v>70949</v>
          </cell>
          <cell r="K43">
            <v>71161</v>
          </cell>
          <cell r="L43">
            <v>71516</v>
          </cell>
          <cell r="M43">
            <v>72016</v>
          </cell>
          <cell r="N43">
            <v>72404</v>
          </cell>
          <cell r="O43">
            <v>72585</v>
          </cell>
          <cell r="P43">
            <v>72926</v>
          </cell>
          <cell r="Q43">
            <v>73254</v>
          </cell>
          <cell r="R43">
            <v>73927</v>
          </cell>
          <cell r="S43">
            <v>74732</v>
          </cell>
          <cell r="T43">
            <v>75255</v>
          </cell>
          <cell r="U43">
            <v>75699</v>
          </cell>
          <cell r="V43">
            <v>6327</v>
          </cell>
          <cell r="W43">
            <v>9.1203943954333164E-2</v>
          </cell>
        </row>
        <row r="44">
          <cell r="B44" t="str">
            <v>CANECA PARA PUNTO ECOLÓGICO BLANCA</v>
          </cell>
          <cell r="C44" t="str">
            <v>Una  (1) caneca tipo vaiven para punto ecológico - Blanco - Capacidad 40 litros</v>
          </cell>
          <cell r="D44" t="str">
            <v>Desgaste y uso mensual por unidad</v>
          </cell>
          <cell r="E44" t="str">
            <v>I2023004856</v>
          </cell>
          <cell r="F44">
            <v>44974</v>
          </cell>
          <cell r="G44">
            <v>73339</v>
          </cell>
          <cell r="H44">
            <v>74109</v>
          </cell>
          <cell r="I44">
            <v>74687</v>
          </cell>
          <cell r="J44">
            <v>75008</v>
          </cell>
          <cell r="K44">
            <v>75233</v>
          </cell>
          <cell r="L44">
            <v>75609</v>
          </cell>
          <cell r="M44">
            <v>76138</v>
          </cell>
          <cell r="N44">
            <v>76549</v>
          </cell>
          <cell r="O44">
            <v>76740</v>
          </cell>
          <cell r="P44">
            <v>77100</v>
          </cell>
          <cell r="Q44">
            <v>77446</v>
          </cell>
          <cell r="R44">
            <v>78158</v>
          </cell>
          <cell r="S44">
            <v>79009</v>
          </cell>
          <cell r="T44">
            <v>79562</v>
          </cell>
          <cell r="U44">
            <v>80031</v>
          </cell>
          <cell r="V44">
            <v>6692</v>
          </cell>
          <cell r="W44">
            <v>9.1247494511787722E-2</v>
          </cell>
        </row>
        <row r="45">
          <cell r="B45" t="str">
            <v>CANECA PARA PUNTO ECOLÓGICO NEGRA</v>
          </cell>
          <cell r="C45" t="str">
            <v>Una  (1) caneca tipo vaiven para punto ecológico - negro - Capacidad 40 litros</v>
          </cell>
          <cell r="D45" t="str">
            <v>Desgaste y uso mensual por unidad</v>
          </cell>
          <cell r="E45" t="str">
            <v>I2023004856</v>
          </cell>
          <cell r="F45">
            <v>44974</v>
          </cell>
          <cell r="G45">
            <v>73339</v>
          </cell>
          <cell r="H45">
            <v>74109</v>
          </cell>
          <cell r="I45">
            <v>74687</v>
          </cell>
          <cell r="J45">
            <v>75008</v>
          </cell>
          <cell r="K45">
            <v>75233</v>
          </cell>
          <cell r="L45">
            <v>75609</v>
          </cell>
          <cell r="M45">
            <v>76138</v>
          </cell>
          <cell r="N45">
            <v>76549</v>
          </cell>
          <cell r="O45">
            <v>76740</v>
          </cell>
          <cell r="P45">
            <v>77100</v>
          </cell>
          <cell r="Q45">
            <v>77446</v>
          </cell>
          <cell r="R45">
            <v>78158</v>
          </cell>
          <cell r="S45">
            <v>79009</v>
          </cell>
          <cell r="T45">
            <v>79562</v>
          </cell>
          <cell r="U45">
            <v>80031</v>
          </cell>
          <cell r="V45">
            <v>6692</v>
          </cell>
          <cell r="W45">
            <v>9.1247494511787722E-2</v>
          </cell>
        </row>
        <row r="46">
          <cell r="B46" t="str">
            <v>CANECA TIPO PEDAL PARA BAÑOS</v>
          </cell>
          <cell r="C46" t="str">
            <v>Una  (1) caneca tipo pedal - Color Negro - Capacidad 12 litros</v>
          </cell>
          <cell r="D46" t="str">
            <v>Desgaste y uso mensual por unidad</v>
          </cell>
          <cell r="E46" t="str">
            <v>I2023004856</v>
          </cell>
          <cell r="F46">
            <v>44974</v>
          </cell>
          <cell r="G46">
            <v>48800</v>
          </cell>
          <cell r="H46">
            <v>49312</v>
          </cell>
          <cell r="I46">
            <v>49696</v>
          </cell>
          <cell r="J46">
            <v>49909</v>
          </cell>
          <cell r="K46">
            <v>50058</v>
          </cell>
          <cell r="L46">
            <v>50308</v>
          </cell>
          <cell r="M46">
            <v>50660</v>
          </cell>
          <cell r="N46">
            <v>50933</v>
          </cell>
          <cell r="O46">
            <v>51060</v>
          </cell>
          <cell r="P46">
            <v>51299</v>
          </cell>
          <cell r="Q46">
            <v>51529</v>
          </cell>
          <cell r="R46">
            <v>52003</v>
          </cell>
          <cell r="S46">
            <v>52569</v>
          </cell>
          <cell r="T46">
            <v>52936</v>
          </cell>
          <cell r="U46">
            <v>53248</v>
          </cell>
          <cell r="V46">
            <v>4448</v>
          </cell>
          <cell r="W46">
            <v>9.1147540983606556E-2</v>
          </cell>
        </row>
        <row r="47">
          <cell r="B47" t="str">
            <v>CANECA TIPO PEDAL PARA RIESGO BIOLÓGICO</v>
          </cell>
          <cell r="C47" t="str">
            <v>Una  (1) caneca tipo pedal - Color rojo - Capacidad 12 litros</v>
          </cell>
          <cell r="D47" t="str">
            <v>Desgaste y uso mensual por unidad</v>
          </cell>
          <cell r="E47" t="str">
            <v>I2023004856</v>
          </cell>
          <cell r="F47">
            <v>44974</v>
          </cell>
          <cell r="G47">
            <v>48800</v>
          </cell>
          <cell r="H47">
            <v>49312</v>
          </cell>
          <cell r="I47">
            <v>49696</v>
          </cell>
          <cell r="J47">
            <v>49909</v>
          </cell>
          <cell r="K47">
            <v>50058</v>
          </cell>
          <cell r="L47">
            <v>50308</v>
          </cell>
          <cell r="M47">
            <v>50660</v>
          </cell>
          <cell r="N47">
            <v>50933</v>
          </cell>
          <cell r="O47">
            <v>51060</v>
          </cell>
          <cell r="P47">
            <v>51299</v>
          </cell>
          <cell r="Q47">
            <v>51529</v>
          </cell>
          <cell r="R47">
            <v>52003</v>
          </cell>
          <cell r="S47">
            <v>52569</v>
          </cell>
          <cell r="T47">
            <v>52936</v>
          </cell>
          <cell r="U47">
            <v>53248</v>
          </cell>
          <cell r="V47">
            <v>4448</v>
          </cell>
          <cell r="W47">
            <v>9.1147540983606556E-2</v>
          </cell>
        </row>
        <row r="48">
          <cell r="B48" t="str">
            <v>CANECA TIPO PEDAL RIESGO QUÍMICO (BLÍSTER)</v>
          </cell>
          <cell r="C48" t="str">
            <v>Una  (1) caneca tipo pedal - Color rojo - Capacidad 50 litros</v>
          </cell>
          <cell r="D48" t="str">
            <v>Desgaste y uso mensual por unidad</v>
          </cell>
          <cell r="E48" t="str">
            <v>I2023004856</v>
          </cell>
          <cell r="F48">
            <v>44974</v>
          </cell>
          <cell r="G48">
            <v>94665</v>
          </cell>
          <cell r="H48">
            <v>95658</v>
          </cell>
          <cell r="I48">
            <v>96404</v>
          </cell>
          <cell r="J48">
            <v>96818</v>
          </cell>
          <cell r="K48">
            <v>97108</v>
          </cell>
          <cell r="L48">
            <v>97593</v>
          </cell>
          <cell r="M48">
            <v>98276</v>
          </cell>
          <cell r="N48">
            <v>98806</v>
          </cell>
          <cell r="O48">
            <v>99053</v>
          </cell>
          <cell r="P48">
            <v>99518</v>
          </cell>
          <cell r="Q48">
            <v>99965</v>
          </cell>
          <cell r="R48">
            <v>100884</v>
          </cell>
          <cell r="S48">
            <v>101983</v>
          </cell>
          <cell r="T48">
            <v>102696</v>
          </cell>
          <cell r="U48">
            <v>103301</v>
          </cell>
          <cell r="V48">
            <v>8636</v>
          </cell>
          <cell r="W48">
            <v>9.1226958221095444E-2</v>
          </cell>
        </row>
        <row r="49">
          <cell r="B49" t="str">
            <v>CANECA TIPO PEDAL RIESGO QUÍMICO (ENVASES PLÁSTICOS Y DE VIDRIO)</v>
          </cell>
          <cell r="C49" t="str">
            <v>Una  (1) caneca tipo pedal - Color rojo - Capacidad 50 litros</v>
          </cell>
          <cell r="D49" t="str">
            <v>Desgaste y uso mensual por unidad</v>
          </cell>
          <cell r="E49" t="str">
            <v>I2023004856</v>
          </cell>
          <cell r="F49">
            <v>44974</v>
          </cell>
          <cell r="G49">
            <v>94665</v>
          </cell>
          <cell r="H49">
            <v>95658</v>
          </cell>
          <cell r="I49">
            <v>96404</v>
          </cell>
          <cell r="J49">
            <v>96818</v>
          </cell>
          <cell r="K49">
            <v>97108</v>
          </cell>
          <cell r="L49">
            <v>97593</v>
          </cell>
          <cell r="M49">
            <v>98276</v>
          </cell>
          <cell r="N49">
            <v>98806</v>
          </cell>
          <cell r="O49">
            <v>99053</v>
          </cell>
          <cell r="P49">
            <v>99518</v>
          </cell>
          <cell r="Q49">
            <v>99965</v>
          </cell>
          <cell r="R49">
            <v>100884</v>
          </cell>
          <cell r="S49">
            <v>101983</v>
          </cell>
          <cell r="T49">
            <v>102696</v>
          </cell>
          <cell r="U49">
            <v>103301</v>
          </cell>
          <cell r="V49">
            <v>8636</v>
          </cell>
          <cell r="W49">
            <v>9.1226958221095444E-2</v>
          </cell>
        </row>
        <row r="50">
          <cell r="B50" t="str">
            <v>CANECA TIPO PEDAL RIESGO QUÍMICO (PRESURIZADOS)</v>
          </cell>
          <cell r="C50" t="str">
            <v>Una  (1) caneca tipo pedal - Color rojo - Capacidad 50 litros</v>
          </cell>
          <cell r="D50" t="str">
            <v>Desgaste y uso mensual por unidad</v>
          </cell>
          <cell r="E50" t="str">
            <v>I2023004856</v>
          </cell>
          <cell r="F50">
            <v>44974</v>
          </cell>
          <cell r="G50">
            <v>94665</v>
          </cell>
          <cell r="H50">
            <v>95658</v>
          </cell>
          <cell r="I50">
            <v>96404</v>
          </cell>
          <cell r="J50">
            <v>96818</v>
          </cell>
          <cell r="K50">
            <v>97108</v>
          </cell>
          <cell r="L50">
            <v>97593</v>
          </cell>
          <cell r="M50">
            <v>98276</v>
          </cell>
          <cell r="N50">
            <v>98806</v>
          </cell>
          <cell r="O50">
            <v>99053</v>
          </cell>
          <cell r="P50">
            <v>99518</v>
          </cell>
          <cell r="Q50">
            <v>99965</v>
          </cell>
          <cell r="R50">
            <v>100884</v>
          </cell>
          <cell r="S50">
            <v>101983</v>
          </cell>
          <cell r="T50">
            <v>102696</v>
          </cell>
          <cell r="U50">
            <v>103301</v>
          </cell>
          <cell r="V50">
            <v>8636</v>
          </cell>
          <cell r="W50">
            <v>9.1226958221095444E-2</v>
          </cell>
        </row>
        <row r="51">
          <cell r="B51" t="str">
            <v>CANECAS CON TAPA PARA EL CUARTO DE ALMACENAMIENTO BLANCO</v>
          </cell>
          <cell r="C51" t="str">
            <v>Una  (1) caneca con tapa - Color Blanco - Capacidad 208 litros</v>
          </cell>
          <cell r="D51" t="str">
            <v>Desgaste y uso mensual por unidad</v>
          </cell>
          <cell r="E51" t="str">
            <v>I2023004856</v>
          </cell>
          <cell r="F51">
            <v>44974</v>
          </cell>
          <cell r="G51">
            <v>255533</v>
          </cell>
          <cell r="H51">
            <v>258216</v>
          </cell>
          <cell r="I51">
            <v>260230</v>
          </cell>
          <cell r="J51">
            <v>261348</v>
          </cell>
          <cell r="K51">
            <v>262132</v>
          </cell>
          <cell r="L51">
            <v>263442</v>
          </cell>
          <cell r="M51">
            <v>265286</v>
          </cell>
          <cell r="N51">
            <v>266718</v>
          </cell>
          <cell r="O51">
            <v>267384</v>
          </cell>
          <cell r="P51">
            <v>268640</v>
          </cell>
          <cell r="Q51">
            <v>269848</v>
          </cell>
          <cell r="R51">
            <v>272330</v>
          </cell>
          <cell r="S51">
            <v>275298</v>
          </cell>
          <cell r="T51">
            <v>277225</v>
          </cell>
          <cell r="U51">
            <v>278860</v>
          </cell>
          <cell r="V51">
            <v>23327</v>
          </cell>
          <cell r="W51">
            <v>9.1287622342319782E-2</v>
          </cell>
        </row>
        <row r="52">
          <cell r="B52" t="str">
            <v>CANECAS CON TAPA PARA EL CUARTO DE ALMACENAMIENTO VERDE</v>
          </cell>
          <cell r="C52" t="str">
            <v>Una  (1) caneca con tapa - Color Verde  - Capacidad 208 litros</v>
          </cell>
          <cell r="D52" t="str">
            <v>Desgaste y uso mensual por unidad</v>
          </cell>
          <cell r="E52" t="str">
            <v>I2023004856</v>
          </cell>
          <cell r="F52">
            <v>44974</v>
          </cell>
          <cell r="G52">
            <v>255533</v>
          </cell>
          <cell r="H52">
            <v>258216</v>
          </cell>
          <cell r="I52">
            <v>260230</v>
          </cell>
          <cell r="J52">
            <v>261348</v>
          </cell>
          <cell r="K52">
            <v>262132</v>
          </cell>
          <cell r="L52">
            <v>263442</v>
          </cell>
          <cell r="M52">
            <v>265286</v>
          </cell>
          <cell r="N52">
            <v>266718</v>
          </cell>
          <cell r="O52">
            <v>267384</v>
          </cell>
          <cell r="P52">
            <v>268640</v>
          </cell>
          <cell r="Q52">
            <v>269848</v>
          </cell>
          <cell r="R52">
            <v>272330</v>
          </cell>
          <cell r="S52">
            <v>275298</v>
          </cell>
          <cell r="T52">
            <v>277225</v>
          </cell>
          <cell r="U52">
            <v>278860</v>
          </cell>
          <cell r="V52">
            <v>23327</v>
          </cell>
          <cell r="W52">
            <v>9.1287622342319782E-2</v>
          </cell>
        </row>
        <row r="53">
          <cell r="B53" t="str">
            <v>CANECAS CON TAPA PARA EL CUARTO DE ALMACENAMIENTO NEGRO</v>
          </cell>
          <cell r="C53" t="str">
            <v>Una  (1) caneca con tapa - Color  Negro - Capacidad 208 litros</v>
          </cell>
          <cell r="D53" t="str">
            <v>Desgaste y uso mensual por unidad</v>
          </cell>
          <cell r="E53" t="str">
            <v>I2023004856</v>
          </cell>
          <cell r="F53">
            <v>44974</v>
          </cell>
          <cell r="G53">
            <v>255533</v>
          </cell>
          <cell r="H53">
            <v>258216</v>
          </cell>
          <cell r="I53">
            <v>260230</v>
          </cell>
          <cell r="J53">
            <v>261348</v>
          </cell>
          <cell r="K53">
            <v>262132</v>
          </cell>
          <cell r="L53">
            <v>263442</v>
          </cell>
          <cell r="M53">
            <v>265286</v>
          </cell>
          <cell r="N53">
            <v>266718</v>
          </cell>
          <cell r="O53">
            <v>267384</v>
          </cell>
          <cell r="P53">
            <v>268640</v>
          </cell>
          <cell r="Q53">
            <v>269848</v>
          </cell>
          <cell r="R53">
            <v>272330</v>
          </cell>
          <cell r="S53">
            <v>275298</v>
          </cell>
          <cell r="T53">
            <v>277225</v>
          </cell>
          <cell r="U53">
            <v>278860</v>
          </cell>
          <cell r="V53">
            <v>23327</v>
          </cell>
          <cell r="W53">
            <v>9.1287622342319782E-2</v>
          </cell>
        </row>
        <row r="54">
          <cell r="B54" t="str">
            <v>CANECAS CON TAPA PARA EL CUARTO DE ALMACENAMIENTO ROJO</v>
          </cell>
          <cell r="C54" t="str">
            <v>Una  (1) caneca con tapa - Color Rojo - Capacidad 208 litros</v>
          </cell>
          <cell r="D54" t="str">
            <v>Desgaste y uso mensual por unidad</v>
          </cell>
          <cell r="E54" t="str">
            <v>I2023004856</v>
          </cell>
          <cell r="F54">
            <v>44974</v>
          </cell>
          <cell r="G54">
            <v>255533</v>
          </cell>
          <cell r="H54">
            <v>258216</v>
          </cell>
          <cell r="I54">
            <v>260230</v>
          </cell>
          <cell r="J54">
            <v>261348</v>
          </cell>
          <cell r="K54">
            <v>262132</v>
          </cell>
          <cell r="L54">
            <v>263442</v>
          </cell>
          <cell r="M54">
            <v>265286</v>
          </cell>
          <cell r="N54">
            <v>266718</v>
          </cell>
          <cell r="O54">
            <v>267384</v>
          </cell>
          <cell r="P54">
            <v>268640</v>
          </cell>
          <cell r="Q54">
            <v>269848</v>
          </cell>
          <cell r="R54">
            <v>272330</v>
          </cell>
          <cell r="S54">
            <v>275298</v>
          </cell>
          <cell r="T54">
            <v>277225</v>
          </cell>
          <cell r="U54">
            <v>278860</v>
          </cell>
          <cell r="V54">
            <v>23327</v>
          </cell>
          <cell r="W54">
            <v>9.1287622342319782E-2</v>
          </cell>
        </row>
        <row r="55">
          <cell r="B55" t="str">
            <v xml:space="preserve">CANECAS PLÁSTICAS CON TAPA </v>
          </cell>
          <cell r="C55" t="str">
            <v>Canecas plásticas con tapa 37 litros para almacenamiento de granos</v>
          </cell>
          <cell r="D55" t="str">
            <v>Desgaste y uso mensual por unidad</v>
          </cell>
          <cell r="E55" t="str">
            <v>I2023004856</v>
          </cell>
          <cell r="F55">
            <v>44974</v>
          </cell>
          <cell r="G55">
            <v>83589</v>
          </cell>
          <cell r="H55">
            <v>84466</v>
          </cell>
          <cell r="I55">
            <v>85124</v>
          </cell>
          <cell r="J55">
            <v>85490</v>
          </cell>
          <cell r="K55">
            <v>85746</v>
          </cell>
          <cell r="L55">
            <v>86174</v>
          </cell>
          <cell r="M55">
            <v>86777</v>
          </cell>
          <cell r="N55">
            <v>87245</v>
          </cell>
          <cell r="O55">
            <v>87463</v>
          </cell>
          <cell r="P55">
            <v>87874</v>
          </cell>
          <cell r="Q55">
            <v>88269</v>
          </cell>
          <cell r="R55">
            <v>89081</v>
          </cell>
          <cell r="S55">
            <v>90051</v>
          </cell>
          <cell r="T55">
            <v>90681</v>
          </cell>
          <cell r="U55">
            <v>91216</v>
          </cell>
          <cell r="V55">
            <v>7627</v>
          </cell>
          <cell r="W55">
            <v>9.1244063214059271E-2</v>
          </cell>
        </row>
        <row r="56">
          <cell r="B56" t="str">
            <v>CARRO ORGANIZADOR DE PAPEL</v>
          </cell>
          <cell r="C56" t="str">
            <v>Carro organizador de papel compuesto por tres gavetas plástico</v>
          </cell>
          <cell r="D56" t="str">
            <v>Desgaste y uso mensual por unidad</v>
          </cell>
          <cell r="E56" t="str">
            <v>I2023004856</v>
          </cell>
          <cell r="F56">
            <v>44974</v>
          </cell>
          <cell r="G56">
            <v>350638</v>
          </cell>
          <cell r="H56">
            <v>354319</v>
          </cell>
          <cell r="I56">
            <v>357082</v>
          </cell>
          <cell r="J56">
            <v>358617</v>
          </cell>
          <cell r="K56">
            <v>359692</v>
          </cell>
          <cell r="L56">
            <v>361490</v>
          </cell>
          <cell r="M56">
            <v>364020</v>
          </cell>
          <cell r="N56">
            <v>365985</v>
          </cell>
          <cell r="O56">
            <v>366899</v>
          </cell>
          <cell r="P56">
            <v>368623</v>
          </cell>
          <cell r="Q56">
            <v>370281</v>
          </cell>
          <cell r="R56">
            <v>373687</v>
          </cell>
          <cell r="S56">
            <v>377760</v>
          </cell>
          <cell r="T56">
            <v>380404</v>
          </cell>
          <cell r="U56">
            <v>382648</v>
          </cell>
          <cell r="V56">
            <v>32010</v>
          </cell>
          <cell r="W56">
            <v>9.12907328926129E-2</v>
          </cell>
        </row>
        <row r="57">
          <cell r="B57" t="str">
            <v>CINTA MÉTRICA</v>
          </cell>
          <cell r="C57" t="str">
            <v>Con características flexibles, inextensible e impermeable con divisiones cada 1mm, con máximo 0,5 cm de ancho y alcance de 150cm.</v>
          </cell>
          <cell r="D57" t="str">
            <v>Desgaste y uso mensual por unidad</v>
          </cell>
          <cell r="E57" t="str">
            <v>I2023004856</v>
          </cell>
          <cell r="F57">
            <v>44974</v>
          </cell>
          <cell r="G57">
            <v>59172</v>
          </cell>
          <cell r="H57">
            <v>59793</v>
          </cell>
          <cell r="I57">
            <v>60259</v>
          </cell>
          <cell r="J57">
            <v>60518</v>
          </cell>
          <cell r="K57">
            <v>60699</v>
          </cell>
          <cell r="L57">
            <v>61002</v>
          </cell>
          <cell r="M57">
            <v>61429</v>
          </cell>
          <cell r="N57">
            <v>61760</v>
          </cell>
          <cell r="O57">
            <v>61914</v>
          </cell>
          <cell r="P57">
            <v>62204</v>
          </cell>
          <cell r="Q57">
            <v>62483</v>
          </cell>
          <cell r="R57">
            <v>63057</v>
          </cell>
          <cell r="S57">
            <v>63744</v>
          </cell>
          <cell r="T57">
            <v>64190</v>
          </cell>
          <cell r="U57">
            <v>64568</v>
          </cell>
          <cell r="V57">
            <v>5396</v>
          </cell>
          <cell r="W57">
            <v>9.1191779895896705E-2</v>
          </cell>
        </row>
        <row r="58">
          <cell r="B58" t="str">
            <v>COBIJA, MANTA O FRAZADA TÉRMICA</v>
          </cell>
          <cell r="C58" t="str">
            <v>Cobija, Manta o frazada térmica calibre 10 gruesa para clima frío, para cama sencilla. 90 cm x 1.90 cm</v>
          </cell>
          <cell r="D58" t="str">
            <v>Desgaste y uso mensual por unidad</v>
          </cell>
          <cell r="E58" t="str">
            <v>I2023004856</v>
          </cell>
          <cell r="F58">
            <v>44974</v>
          </cell>
          <cell r="G58">
            <v>58421</v>
          </cell>
          <cell r="H58">
            <v>59034</v>
          </cell>
          <cell r="I58">
            <v>59494</v>
          </cell>
          <cell r="J58">
            <v>59749</v>
          </cell>
          <cell r="K58">
            <v>59928</v>
          </cell>
          <cell r="L58">
            <v>60227</v>
          </cell>
          <cell r="M58">
            <v>60648</v>
          </cell>
          <cell r="N58">
            <v>60975</v>
          </cell>
          <cell r="O58">
            <v>61127</v>
          </cell>
          <cell r="P58">
            <v>61414</v>
          </cell>
          <cell r="Q58">
            <v>61690</v>
          </cell>
          <cell r="R58">
            <v>62257</v>
          </cell>
          <cell r="S58">
            <v>62935</v>
          </cell>
          <cell r="T58">
            <v>63375</v>
          </cell>
          <cell r="U58">
            <v>63748</v>
          </cell>
          <cell r="V58">
            <v>5327</v>
          </cell>
          <cell r="W58">
            <v>9.1182965029698221E-2</v>
          </cell>
        </row>
        <row r="59">
          <cell r="B59" t="str">
            <v>COLADOR EN ACERO GRANDE</v>
          </cell>
          <cell r="C59" t="str">
            <v xml:space="preserve">coladores metálico (acero inoxidable) de 33 a 40 cm. </v>
          </cell>
          <cell r="D59" t="str">
            <v>Desgaste y uso mensual por unidad</v>
          </cell>
          <cell r="E59" t="str">
            <v>I2023004856</v>
          </cell>
          <cell r="F59">
            <v>44974</v>
          </cell>
          <cell r="G59">
            <v>10058</v>
          </cell>
          <cell r="H59">
            <v>10163</v>
          </cell>
          <cell r="I59">
            <v>10242</v>
          </cell>
          <cell r="J59">
            <v>10286</v>
          </cell>
          <cell r="K59">
            <v>10316</v>
          </cell>
          <cell r="L59">
            <v>10367</v>
          </cell>
          <cell r="M59">
            <v>10439</v>
          </cell>
          <cell r="N59">
            <v>10495</v>
          </cell>
          <cell r="O59">
            <v>10521</v>
          </cell>
          <cell r="P59">
            <v>10570</v>
          </cell>
          <cell r="Q59">
            <v>10617</v>
          </cell>
          <cell r="R59">
            <v>10714</v>
          </cell>
          <cell r="S59">
            <v>10830</v>
          </cell>
          <cell r="T59">
            <v>10905</v>
          </cell>
          <cell r="U59">
            <v>10969</v>
          </cell>
          <cell r="V59">
            <v>911</v>
          </cell>
          <cell r="W59">
            <v>9.0574666931795583E-2</v>
          </cell>
        </row>
        <row r="60">
          <cell r="B60" t="str">
            <v>COLCHÓN</v>
          </cell>
          <cell r="C60" t="str">
            <v xml:space="preserve">Colchón de acuerdo con las medidas de la cama sencilla, con una altura mínima de 17 cm. 90 cm X 1.90 cm </v>
          </cell>
          <cell r="D60" t="str">
            <v>Desgaste y uso mensual por unidad</v>
          </cell>
          <cell r="E60" t="str">
            <v>I2023004856</v>
          </cell>
          <cell r="F60">
            <v>44974</v>
          </cell>
          <cell r="G60">
            <v>620627</v>
          </cell>
          <cell r="H60">
            <v>627143</v>
          </cell>
          <cell r="I60">
            <v>632034</v>
          </cell>
          <cell r="J60">
            <v>634751</v>
          </cell>
          <cell r="K60">
            <v>636655</v>
          </cell>
          <cell r="L60">
            <v>639838</v>
          </cell>
          <cell r="M60">
            <v>644316</v>
          </cell>
          <cell r="N60">
            <v>647795</v>
          </cell>
          <cell r="O60">
            <v>649414</v>
          </cell>
          <cell r="P60">
            <v>652466</v>
          </cell>
          <cell r="Q60">
            <v>655402</v>
          </cell>
          <cell r="R60">
            <v>661431</v>
          </cell>
          <cell r="S60">
            <v>668640</v>
          </cell>
          <cell r="T60">
            <v>673320</v>
          </cell>
          <cell r="U60">
            <v>677292</v>
          </cell>
          <cell r="V60">
            <v>56665</v>
          </cell>
          <cell r="W60">
            <v>9.1302827624321861E-2</v>
          </cell>
        </row>
        <row r="61">
          <cell r="B61" t="str">
            <v>COLCHONETAS</v>
          </cell>
          <cell r="C61" t="str">
            <v xml:space="preserve">Colchonetas grandes de 120 cm x 60 cm, 5 cm espesor, densidad de 23 kg </v>
          </cell>
          <cell r="D61" t="str">
            <v>Desgaste y uso mensual por unidad</v>
          </cell>
          <cell r="E61" t="str">
            <v>I2023004856</v>
          </cell>
          <cell r="F61">
            <v>44974</v>
          </cell>
          <cell r="G61">
            <v>95927</v>
          </cell>
          <cell r="H61">
            <v>96934</v>
          </cell>
          <cell r="I61">
            <v>97690</v>
          </cell>
          <cell r="J61">
            <v>98110</v>
          </cell>
          <cell r="K61">
            <v>98404</v>
          </cell>
          <cell r="L61">
            <v>98896</v>
          </cell>
          <cell r="M61">
            <v>99588</v>
          </cell>
          <cell r="N61">
            <v>100125</v>
          </cell>
          <cell r="O61">
            <v>100375</v>
          </cell>
          <cell r="P61">
            <v>100846</v>
          </cell>
          <cell r="Q61">
            <v>101299</v>
          </cell>
          <cell r="R61">
            <v>102230</v>
          </cell>
          <cell r="S61">
            <v>103344</v>
          </cell>
          <cell r="T61">
            <v>104067</v>
          </cell>
          <cell r="U61">
            <v>104680</v>
          </cell>
          <cell r="V61">
            <v>8753</v>
          </cell>
          <cell r="W61">
            <v>9.1246468668883626E-2</v>
          </cell>
        </row>
        <row r="62">
          <cell r="B62" t="str">
            <v>COMPUTADOR</v>
          </cell>
          <cell r="C62" t="str">
            <v xml:space="preserve">Computador con procesador mínimo 8 núcleos (o su equivalente) y disco duro mínimo 500 gigas, 4 gigas de memoria RAM, teclado, mouse y licencia Office acceso a internet </v>
          </cell>
          <cell r="D62" t="str">
            <v>Desgaste y uso mensual por unidad</v>
          </cell>
          <cell r="E62" t="str">
            <v>I2024004413</v>
          </cell>
          <cell r="F62" t="str">
            <v>0</v>
          </cell>
          <cell r="G62">
            <v>1952567</v>
          </cell>
          <cell r="H62">
            <v>1952567</v>
          </cell>
          <cell r="I62">
            <v>1952567</v>
          </cell>
          <cell r="J62">
            <v>1952567</v>
          </cell>
          <cell r="K62">
            <v>1952567</v>
          </cell>
          <cell r="L62">
            <v>1952567</v>
          </cell>
          <cell r="M62">
            <v>1952567</v>
          </cell>
          <cell r="N62">
            <v>1952567</v>
          </cell>
          <cell r="O62">
            <v>1952567</v>
          </cell>
          <cell r="P62">
            <v>1952567</v>
          </cell>
          <cell r="Q62">
            <v>1952567</v>
          </cell>
          <cell r="R62">
            <v>1952567</v>
          </cell>
          <cell r="S62">
            <v>1952567</v>
          </cell>
          <cell r="T62">
            <v>1952567</v>
          </cell>
          <cell r="U62">
            <v>1952567</v>
          </cell>
          <cell r="V62">
            <v>0</v>
          </cell>
          <cell r="W62">
            <v>0</v>
          </cell>
        </row>
        <row r="63">
          <cell r="B63" t="str">
            <v>CONGELADOR</v>
          </cell>
          <cell r="C63" t="str">
            <v>Congelador inoxidable. Mínimo 250 litros</v>
          </cell>
          <cell r="D63" t="str">
            <v>Desgaste y uso mensual por unidad</v>
          </cell>
          <cell r="E63" t="str">
            <v>I2023004856</v>
          </cell>
          <cell r="F63">
            <v>44974</v>
          </cell>
          <cell r="G63">
            <v>2220143</v>
          </cell>
          <cell r="H63">
            <v>2243454</v>
          </cell>
          <cell r="I63">
            <v>2260952</v>
          </cell>
          <cell r="J63">
            <v>2270674</v>
          </cell>
          <cell r="K63">
            <v>2277486</v>
          </cell>
          <cell r="L63">
            <v>2288873</v>
          </cell>
          <cell r="M63">
            <v>2304895</v>
          </cell>
          <cell r="N63">
            <v>2317341</v>
          </cell>
          <cell r="O63">
            <v>2323134</v>
          </cell>
          <cell r="P63">
            <v>2334052</v>
          </cell>
          <cell r="Q63">
            <v>2344555</v>
          </cell>
          <cell r="R63">
            <v>2366124</v>
          </cell>
          <cell r="S63">
            <v>2391914</v>
          </cell>
          <cell r="T63">
            <v>2408657</v>
          </cell>
          <cell r="U63">
            <v>2422868</v>
          </cell>
          <cell r="V63">
            <v>202725</v>
          </cell>
          <cell r="W63">
            <v>9.1311685778798932E-2</v>
          </cell>
        </row>
        <row r="64">
          <cell r="B64" t="str">
            <v>CONTENEDORES PLÁSTICOS</v>
          </cell>
          <cell r="C64" t="str">
            <v xml:space="preserve">Contenedores plásticos con tapa para el almacenamiento individual de medicamentos con medidas de 17cm X 8cm X 4.5 cm como mínimo. </v>
          </cell>
          <cell r="D64" t="str">
            <v>Desgaste y uso mensual por unidad</v>
          </cell>
          <cell r="E64" t="str">
            <v>I2023008278</v>
          </cell>
          <cell r="F64">
            <v>45002</v>
          </cell>
          <cell r="G64">
            <v>16890</v>
          </cell>
          <cell r="H64">
            <v>16890</v>
          </cell>
          <cell r="I64">
            <v>17021</v>
          </cell>
          <cell r="J64">
            <v>17094</v>
          </cell>
          <cell r="K64">
            <v>17145</v>
          </cell>
          <cell r="L64">
            <v>17230</v>
          </cell>
          <cell r="M64">
            <v>17350</v>
          </cell>
          <cell r="N64">
            <v>17443</v>
          </cell>
          <cell r="O64">
            <v>17486</v>
          </cell>
          <cell r="P64">
            <v>17568</v>
          </cell>
          <cell r="Q64">
            <v>17647</v>
          </cell>
          <cell r="R64">
            <v>17809</v>
          </cell>
          <cell r="S64">
            <v>18003</v>
          </cell>
          <cell r="T64">
            <v>18129</v>
          </cell>
          <cell r="U64">
            <v>18235</v>
          </cell>
          <cell r="V64">
            <v>1345</v>
          </cell>
          <cell r="W64">
            <v>7.963291888691533E-2</v>
          </cell>
        </row>
        <row r="65">
          <cell r="B65" t="str">
            <v>CUBIERTOS CUCHARA SOPA</v>
          </cell>
          <cell r="C65" t="str">
            <v>Cucharas de sopa, en acero inoxidable.</v>
          </cell>
          <cell r="D65" t="str">
            <v>Desgaste y uso mensual por unidad</v>
          </cell>
          <cell r="E65" t="str">
            <v>I2023018072</v>
          </cell>
          <cell r="F65">
            <v>45100</v>
          </cell>
          <cell r="G65">
            <v>2698</v>
          </cell>
          <cell r="H65">
            <v>2698</v>
          </cell>
          <cell r="I65">
            <v>2698</v>
          </cell>
          <cell r="J65">
            <v>2698</v>
          </cell>
          <cell r="K65">
            <v>2698</v>
          </cell>
          <cell r="L65">
            <v>2711</v>
          </cell>
          <cell r="M65">
            <v>2729</v>
          </cell>
          <cell r="N65">
            <v>2743</v>
          </cell>
          <cell r="O65">
            <v>2749</v>
          </cell>
          <cell r="P65">
            <v>2761</v>
          </cell>
          <cell r="Q65">
            <v>2773</v>
          </cell>
          <cell r="R65">
            <v>2798</v>
          </cell>
          <cell r="S65">
            <v>2828</v>
          </cell>
          <cell r="T65">
            <v>2847</v>
          </cell>
          <cell r="U65">
            <v>2863</v>
          </cell>
          <cell r="V65">
            <v>165</v>
          </cell>
          <cell r="W65">
            <v>6.115641215715345E-2</v>
          </cell>
        </row>
        <row r="66">
          <cell r="B66" t="str">
            <v>CUBIERTOS CUCHARA POSTRE</v>
          </cell>
          <cell r="C66" t="str">
            <v>Cucharas para postre, en acero inoxidable.</v>
          </cell>
          <cell r="D66" t="str">
            <v>Desgaste y uso mensual por unidad</v>
          </cell>
          <cell r="E66" t="str">
            <v>I2023018072</v>
          </cell>
          <cell r="F66">
            <v>45100</v>
          </cell>
          <cell r="G66">
            <v>1611</v>
          </cell>
          <cell r="H66">
            <v>1611</v>
          </cell>
          <cell r="I66">
            <v>1611</v>
          </cell>
          <cell r="J66">
            <v>1611</v>
          </cell>
          <cell r="K66">
            <v>1611</v>
          </cell>
          <cell r="L66">
            <v>1619</v>
          </cell>
          <cell r="M66">
            <v>1630</v>
          </cell>
          <cell r="N66">
            <v>1638</v>
          </cell>
          <cell r="O66">
            <v>1642</v>
          </cell>
          <cell r="P66">
            <v>1649</v>
          </cell>
          <cell r="Q66">
            <v>1656</v>
          </cell>
          <cell r="R66">
            <v>1671</v>
          </cell>
          <cell r="S66">
            <v>1689</v>
          </cell>
          <cell r="T66">
            <v>1700</v>
          </cell>
          <cell r="U66">
            <v>1710</v>
          </cell>
          <cell r="V66">
            <v>99</v>
          </cell>
          <cell r="W66">
            <v>6.1452513966480445E-2</v>
          </cell>
        </row>
        <row r="67">
          <cell r="B67" t="str">
            <v>CUBRE LECHO</v>
          </cell>
          <cell r="C67" t="str">
            <v>Cubrelecho 180 x 230 cm + 1 Funda de 50 x 70 cm, 1 funda incluida, microfibra 100%, color el supervisor escoga, fondo entero, compuesto de dos capas de tela con relleno de silicona. (Margen 10%+/-)</v>
          </cell>
          <cell r="D67" t="str">
            <v>Desgaste y uso mensual por unidad</v>
          </cell>
          <cell r="E67" t="str">
            <v>I2023004856</v>
          </cell>
          <cell r="F67">
            <v>44974</v>
          </cell>
          <cell r="G67">
            <v>122513</v>
          </cell>
          <cell r="H67">
            <v>123799</v>
          </cell>
          <cell r="I67">
            <v>124764</v>
          </cell>
          <cell r="J67">
            <v>125300</v>
          </cell>
          <cell r="K67">
            <v>125675</v>
          </cell>
          <cell r="L67">
            <v>126303</v>
          </cell>
          <cell r="M67">
            <v>127187</v>
          </cell>
          <cell r="N67">
            <v>127873</v>
          </cell>
          <cell r="O67">
            <v>128192</v>
          </cell>
          <cell r="P67">
            <v>128794</v>
          </cell>
          <cell r="Q67">
            <v>129373</v>
          </cell>
          <cell r="R67">
            <v>130563</v>
          </cell>
          <cell r="S67">
            <v>131986</v>
          </cell>
          <cell r="T67">
            <v>132909</v>
          </cell>
          <cell r="U67">
            <v>133693</v>
          </cell>
          <cell r="V67">
            <v>11180</v>
          </cell>
          <cell r="W67">
            <v>9.1255621852374846E-2</v>
          </cell>
        </row>
        <row r="68">
          <cell r="B68" t="str">
            <v>CUCHARA DE SERVIR PASTAS</v>
          </cell>
          <cell r="C68" t="str">
            <v>Cuchara de servir pastas en acero inoxidable de medidas aproximadas de 30 cm</v>
          </cell>
          <cell r="D68" t="str">
            <v>Desgaste y uso mensual por unidad</v>
          </cell>
          <cell r="E68" t="str">
            <v>I2023004856</v>
          </cell>
          <cell r="F68">
            <v>44974</v>
          </cell>
          <cell r="G68">
            <v>12000</v>
          </cell>
          <cell r="H68">
            <v>12126</v>
          </cell>
          <cell r="I68">
            <v>12220</v>
          </cell>
          <cell r="J68">
            <v>12272</v>
          </cell>
          <cell r="K68">
            <v>12308</v>
          </cell>
          <cell r="L68">
            <v>12369</v>
          </cell>
          <cell r="M68">
            <v>12455</v>
          </cell>
          <cell r="N68">
            <v>12522</v>
          </cell>
          <cell r="O68">
            <v>12553</v>
          </cell>
          <cell r="P68">
            <v>12611</v>
          </cell>
          <cell r="Q68">
            <v>12667</v>
          </cell>
          <cell r="R68">
            <v>12783</v>
          </cell>
          <cell r="S68">
            <v>12922</v>
          </cell>
          <cell r="T68">
            <v>13012</v>
          </cell>
          <cell r="U68">
            <v>13088</v>
          </cell>
          <cell r="V68">
            <v>1088</v>
          </cell>
          <cell r="W68">
            <v>9.0666666666666673E-2</v>
          </cell>
        </row>
        <row r="69">
          <cell r="B69" t="str">
            <v>CUCHARA PARA PREPARACIÓN</v>
          </cell>
          <cell r="C69" t="str">
            <v>Cuchara para preparación en acero inoxidable y/o aluminio Largo 36.5 cm</v>
          </cell>
          <cell r="D69" t="str">
            <v>Desgaste y uso mensual por unidad</v>
          </cell>
          <cell r="E69" t="str">
            <v>I2023004856</v>
          </cell>
          <cell r="F69">
            <v>44974</v>
          </cell>
          <cell r="G69">
            <v>26821</v>
          </cell>
          <cell r="H69">
            <v>27102</v>
          </cell>
          <cell r="I69">
            <v>27313</v>
          </cell>
          <cell r="J69">
            <v>27430</v>
          </cell>
          <cell r="K69">
            <v>27512</v>
          </cell>
          <cell r="L69">
            <v>27649</v>
          </cell>
          <cell r="M69">
            <v>27842</v>
          </cell>
          <cell r="N69">
            <v>27992</v>
          </cell>
          <cell r="O69">
            <v>28061</v>
          </cell>
          <cell r="P69">
            <v>28192</v>
          </cell>
          <cell r="Q69">
            <v>28318</v>
          </cell>
          <cell r="R69">
            <v>28578</v>
          </cell>
          <cell r="S69">
            <v>28889</v>
          </cell>
          <cell r="T69">
            <v>29091</v>
          </cell>
          <cell r="U69">
            <v>29262</v>
          </cell>
          <cell r="V69">
            <v>2441</v>
          </cell>
          <cell r="W69">
            <v>9.1010775138883712E-2</v>
          </cell>
        </row>
        <row r="70">
          <cell r="B70" t="str">
            <v>CUCHARA PARA SERVIR</v>
          </cell>
          <cell r="C70" t="str">
            <v>Cuchara para servir en acero inoxidable de minimo 34 cm de largo</v>
          </cell>
          <cell r="D70" t="str">
            <v>Desgaste y uso mensual por unidad</v>
          </cell>
          <cell r="E70" t="str">
            <v>I2023004856</v>
          </cell>
          <cell r="F70">
            <v>44974</v>
          </cell>
          <cell r="G70">
            <v>23024</v>
          </cell>
          <cell r="H70">
            <v>23265</v>
          </cell>
          <cell r="I70">
            <v>23446</v>
          </cell>
          <cell r="J70">
            <v>23546</v>
          </cell>
          <cell r="K70">
            <v>23616</v>
          </cell>
          <cell r="L70">
            <v>23734</v>
          </cell>
          <cell r="M70">
            <v>23900</v>
          </cell>
          <cell r="N70">
            <v>24029</v>
          </cell>
          <cell r="O70">
            <v>24089</v>
          </cell>
          <cell r="P70">
            <v>24202</v>
          </cell>
          <cell r="Q70">
            <v>24310</v>
          </cell>
          <cell r="R70">
            <v>24533</v>
          </cell>
          <cell r="S70">
            <v>24800</v>
          </cell>
          <cell r="T70">
            <v>24973</v>
          </cell>
          <cell r="U70">
            <v>25120</v>
          </cell>
          <cell r="V70">
            <v>2096</v>
          </cell>
          <cell r="W70">
            <v>9.1035441278665738E-2</v>
          </cell>
        </row>
        <row r="71">
          <cell r="B71" t="str">
            <v>CUCHARA PERFORADA PARA SERVIR ENSALADA</v>
          </cell>
          <cell r="C71" t="str">
            <v>Cuchara perforada para servir ensalada en acero inoxidable.</v>
          </cell>
          <cell r="D71" t="str">
            <v>Desgaste y uso mensual por unidad</v>
          </cell>
          <cell r="E71" t="str">
            <v>I2023004856</v>
          </cell>
          <cell r="F71">
            <v>44974</v>
          </cell>
          <cell r="G71">
            <v>40707</v>
          </cell>
          <cell r="H71">
            <v>41134</v>
          </cell>
          <cell r="I71">
            <v>41454</v>
          </cell>
          <cell r="J71">
            <v>41632</v>
          </cell>
          <cell r="K71">
            <v>41756</v>
          </cell>
          <cell r="L71">
            <v>41964</v>
          </cell>
          <cell r="M71">
            <v>42257</v>
          </cell>
          <cell r="N71">
            <v>42485</v>
          </cell>
          <cell r="O71">
            <v>42591</v>
          </cell>
          <cell r="P71">
            <v>42791</v>
          </cell>
          <cell r="Q71">
            <v>42983</v>
          </cell>
          <cell r="R71">
            <v>43378</v>
          </cell>
          <cell r="S71">
            <v>43850</v>
          </cell>
          <cell r="T71">
            <v>44156</v>
          </cell>
          <cell r="U71">
            <v>44416</v>
          </cell>
          <cell r="V71">
            <v>3709</v>
          </cell>
          <cell r="W71">
            <v>9.1114550323040264E-2</v>
          </cell>
        </row>
        <row r="72">
          <cell r="B72" t="str">
            <v>CUCHARAS ESPUMADERAS</v>
          </cell>
          <cell r="C72" t="str">
            <v xml:space="preserve">cucharas espumaderas en aluminio de 16 x 44 cm. </v>
          </cell>
          <cell r="D72" t="str">
            <v>Desgaste y uso mensual por unidad</v>
          </cell>
          <cell r="E72" t="str">
            <v>I2023004856</v>
          </cell>
          <cell r="F72">
            <v>44974</v>
          </cell>
          <cell r="G72">
            <v>35203</v>
          </cell>
          <cell r="H72">
            <v>35572</v>
          </cell>
          <cell r="I72">
            <v>35849</v>
          </cell>
          <cell r="J72">
            <v>36003</v>
          </cell>
          <cell r="K72">
            <v>36111</v>
          </cell>
          <cell r="L72">
            <v>36291</v>
          </cell>
          <cell r="M72">
            <v>36545</v>
          </cell>
          <cell r="N72">
            <v>36742</v>
          </cell>
          <cell r="O72">
            <v>36833</v>
          </cell>
          <cell r="P72">
            <v>37006</v>
          </cell>
          <cell r="Q72">
            <v>37172</v>
          </cell>
          <cell r="R72">
            <v>37513</v>
          </cell>
          <cell r="S72">
            <v>37921</v>
          </cell>
          <cell r="T72">
            <v>38186</v>
          </cell>
          <cell r="U72">
            <v>38411</v>
          </cell>
          <cell r="V72">
            <v>3208</v>
          </cell>
          <cell r="W72">
            <v>9.1128596994574332E-2</v>
          </cell>
        </row>
        <row r="73">
          <cell r="B73" t="str">
            <v>CUCHARAS PARA SERVIR</v>
          </cell>
          <cell r="C73" t="str">
            <v xml:space="preserve">cucharas para servir pasta en material plástico de 30 a 35 cm. </v>
          </cell>
          <cell r="D73" t="str">
            <v>Desgaste y uso mensual por unidad</v>
          </cell>
          <cell r="E73" t="str">
            <v>I2023018072</v>
          </cell>
          <cell r="F73">
            <v>45100</v>
          </cell>
          <cell r="G73">
            <v>12000</v>
          </cell>
          <cell r="H73">
            <v>12000</v>
          </cell>
          <cell r="I73">
            <v>12000</v>
          </cell>
          <cell r="J73">
            <v>12000</v>
          </cell>
          <cell r="K73">
            <v>12000</v>
          </cell>
          <cell r="L73">
            <v>12060</v>
          </cell>
          <cell r="M73">
            <v>12144</v>
          </cell>
          <cell r="N73">
            <v>12209</v>
          </cell>
          <cell r="O73">
            <v>12239</v>
          </cell>
          <cell r="P73">
            <v>12296</v>
          </cell>
          <cell r="Q73">
            <v>12351</v>
          </cell>
          <cell r="R73">
            <v>12464</v>
          </cell>
          <cell r="S73">
            <v>12599</v>
          </cell>
          <cell r="T73">
            <v>12687</v>
          </cell>
          <cell r="U73">
            <v>12761</v>
          </cell>
          <cell r="V73">
            <v>761</v>
          </cell>
          <cell r="W73">
            <v>6.3416666666666663E-2</v>
          </cell>
        </row>
        <row r="74">
          <cell r="B74" t="str">
            <v>CUCHARON</v>
          </cell>
          <cell r="C74" t="str">
            <v>Cucharon en aluminio de 30 a 35 cm de largo, resistente a la corrosión 
y al calor y de fácil agarre</v>
          </cell>
          <cell r="D74" t="str">
            <v>Desgaste y uso mensual por unidad</v>
          </cell>
          <cell r="E74" t="str">
            <v>I2023004856</v>
          </cell>
          <cell r="F74">
            <v>44974</v>
          </cell>
          <cell r="G74">
            <v>37967</v>
          </cell>
          <cell r="H74">
            <v>38365</v>
          </cell>
          <cell r="I74">
            <v>38664</v>
          </cell>
          <cell r="J74">
            <v>38830</v>
          </cell>
          <cell r="K74">
            <v>38946</v>
          </cell>
          <cell r="L74">
            <v>39140</v>
          </cell>
          <cell r="M74">
            <v>39413</v>
          </cell>
          <cell r="N74">
            <v>39625</v>
          </cell>
          <cell r="O74">
            <v>39724</v>
          </cell>
          <cell r="P74">
            <v>39910</v>
          </cell>
          <cell r="Q74">
            <v>40089</v>
          </cell>
          <cell r="R74">
            <v>40457</v>
          </cell>
          <cell r="S74">
            <v>40897</v>
          </cell>
          <cell r="T74">
            <v>41183</v>
          </cell>
          <cell r="U74">
            <v>41425</v>
          </cell>
          <cell r="V74">
            <v>3458</v>
          </cell>
          <cell r="W74">
            <v>9.1079095003555724E-2</v>
          </cell>
        </row>
        <row r="75">
          <cell r="B75" t="str">
            <v>CUCHILLOS JUEGO</v>
          </cell>
          <cell r="C75" t="str">
            <v>Un (1) juego de cuchillos: Uno (1) para el servicio de alimentación, uno (1) para pan, uno (1) para verduras,
tamaño aproximado 8 pulgadas de hoja, mango plástico, espesor mínimo 1mm</v>
          </cell>
          <cell r="D75" t="str">
            <v>Desgaste y uso mensual por unidad</v>
          </cell>
          <cell r="E75" t="str">
            <v>I2024004413</v>
          </cell>
          <cell r="F75" t="str">
            <v>0</v>
          </cell>
          <cell r="G75">
            <v>240999</v>
          </cell>
          <cell r="H75">
            <v>240999</v>
          </cell>
          <cell r="I75">
            <v>240999</v>
          </cell>
          <cell r="J75">
            <v>240999</v>
          </cell>
          <cell r="K75">
            <v>240999</v>
          </cell>
          <cell r="L75">
            <v>240999</v>
          </cell>
          <cell r="M75">
            <v>240999</v>
          </cell>
          <cell r="N75">
            <v>240999</v>
          </cell>
          <cell r="O75">
            <v>240999</v>
          </cell>
          <cell r="P75">
            <v>240999</v>
          </cell>
          <cell r="Q75">
            <v>240999</v>
          </cell>
          <cell r="R75">
            <v>240999</v>
          </cell>
          <cell r="S75">
            <v>240999</v>
          </cell>
          <cell r="T75">
            <v>240999</v>
          </cell>
          <cell r="U75">
            <v>240999</v>
          </cell>
          <cell r="V75">
            <v>0</v>
          </cell>
          <cell r="W75">
            <v>0</v>
          </cell>
        </row>
        <row r="76">
          <cell r="B76" t="str">
            <v>CUCHILLOS</v>
          </cell>
          <cell r="C76" t="str">
            <v xml:space="preserve">Dos (2) cuchillos cocineros - hoja en acero inoxidable de 15 cm, mango en polipropileno. </v>
          </cell>
          <cell r="D76" t="str">
            <v>Desgaste y uso mensual por unidad</v>
          </cell>
          <cell r="E76" t="str">
            <v>I2024004413</v>
          </cell>
          <cell r="F76" t="str">
            <v>0</v>
          </cell>
          <cell r="G76">
            <v>47880</v>
          </cell>
          <cell r="H76">
            <v>47880</v>
          </cell>
          <cell r="I76">
            <v>47880</v>
          </cell>
          <cell r="J76">
            <v>47880</v>
          </cell>
          <cell r="K76">
            <v>47880</v>
          </cell>
          <cell r="L76">
            <v>47880</v>
          </cell>
          <cell r="M76">
            <v>47880</v>
          </cell>
          <cell r="N76">
            <v>47880</v>
          </cell>
          <cell r="O76">
            <v>47880</v>
          </cell>
          <cell r="P76">
            <v>47880</v>
          </cell>
          <cell r="Q76">
            <v>47880</v>
          </cell>
          <cell r="R76">
            <v>47880</v>
          </cell>
          <cell r="S76">
            <v>47880</v>
          </cell>
          <cell r="T76">
            <v>47880</v>
          </cell>
          <cell r="U76">
            <v>47880</v>
          </cell>
          <cell r="V76">
            <v>0</v>
          </cell>
          <cell r="W76">
            <v>0</v>
          </cell>
        </row>
        <row r="77">
          <cell r="B77" t="str">
            <v>DISPENSADOR DE AGUA</v>
          </cell>
          <cell r="C77" t="str">
            <v>dispensador de agua</v>
          </cell>
          <cell r="D77" t="str">
            <v>Desgaste y uso mensual por unidad</v>
          </cell>
          <cell r="E77" t="str">
            <v>I2023004856</v>
          </cell>
          <cell r="F77">
            <v>44974</v>
          </cell>
          <cell r="G77">
            <v>482707</v>
          </cell>
          <cell r="H77">
            <v>487775</v>
          </cell>
          <cell r="I77">
            <v>491579</v>
          </cell>
          <cell r="J77">
            <v>493692</v>
          </cell>
          <cell r="K77">
            <v>495173</v>
          </cell>
          <cell r="L77">
            <v>497648</v>
          </cell>
          <cell r="M77">
            <v>501131</v>
          </cell>
          <cell r="N77">
            <v>503837</v>
          </cell>
          <cell r="O77">
            <v>505096</v>
          </cell>
          <cell r="P77">
            <v>507469</v>
          </cell>
          <cell r="Q77">
            <v>509752</v>
          </cell>
          <cell r="R77">
            <v>514441</v>
          </cell>
          <cell r="S77">
            <v>520048</v>
          </cell>
          <cell r="T77">
            <v>523688</v>
          </cell>
          <cell r="U77">
            <v>526777</v>
          </cell>
          <cell r="V77">
            <v>44070</v>
          </cell>
          <cell r="W77">
            <v>9.1297619466881572E-2</v>
          </cell>
        </row>
        <row r="78">
          <cell r="B78" t="str">
            <v>DURAKART</v>
          </cell>
          <cell r="C78" t="str">
            <v>Color rojo - Capacidad 208 litros</v>
          </cell>
          <cell r="D78" t="str">
            <v>Desgaste y uso mensual por unidad</v>
          </cell>
          <cell r="E78" t="str">
            <v>I2023004856</v>
          </cell>
          <cell r="F78">
            <v>44974</v>
          </cell>
          <cell r="G78">
            <v>876641</v>
          </cell>
          <cell r="H78">
            <v>885845</v>
          </cell>
          <cell r="I78">
            <v>892754</v>
          </cell>
          <cell r="J78">
            <v>896592</v>
          </cell>
          <cell r="K78">
            <v>899281</v>
          </cell>
          <cell r="L78">
            <v>903777</v>
          </cell>
          <cell r="M78">
            <v>910103</v>
          </cell>
          <cell r="N78">
            <v>915017</v>
          </cell>
          <cell r="O78">
            <v>917304</v>
          </cell>
          <cell r="P78">
            <v>921615</v>
          </cell>
          <cell r="Q78">
            <v>925762</v>
          </cell>
          <cell r="R78">
            <v>934279</v>
          </cell>
          <cell r="S78">
            <v>944462</v>
          </cell>
          <cell r="T78">
            <v>951073</v>
          </cell>
          <cell r="U78">
            <v>956684</v>
          </cell>
          <cell r="V78">
            <v>80043</v>
          </cell>
          <cell r="W78">
            <v>9.1306475512781177E-2</v>
          </cell>
        </row>
        <row r="79">
          <cell r="B79" t="str">
            <v>EMBUDO DE PLÁSTICO MEDIANO</v>
          </cell>
          <cell r="C79" t="str">
            <v xml:space="preserve">Embudo aceite de cocina con malla para filtrar particulas </v>
          </cell>
          <cell r="D79" t="str">
            <v>Desgaste y uso mensual por unidad</v>
          </cell>
          <cell r="E79" t="str">
            <v>i2023008278</v>
          </cell>
          <cell r="F79">
            <v>45002</v>
          </cell>
          <cell r="G79">
            <v>12683</v>
          </cell>
          <cell r="H79">
            <v>12683</v>
          </cell>
          <cell r="I79">
            <v>12781</v>
          </cell>
          <cell r="J79">
            <v>12835</v>
          </cell>
          <cell r="K79">
            <v>12873</v>
          </cell>
          <cell r="L79">
            <v>12937</v>
          </cell>
          <cell r="M79">
            <v>13027</v>
          </cell>
          <cell r="N79">
            <v>13097</v>
          </cell>
          <cell r="O79">
            <v>13129</v>
          </cell>
          <cell r="P79">
            <v>13190</v>
          </cell>
          <cell r="Q79">
            <v>13249</v>
          </cell>
          <cell r="R79">
            <v>13370</v>
          </cell>
          <cell r="S79">
            <v>13515</v>
          </cell>
          <cell r="T79">
            <v>13609</v>
          </cell>
          <cell r="U79">
            <v>13689</v>
          </cell>
          <cell r="V79">
            <v>1006</v>
          </cell>
          <cell r="W79">
            <v>7.9318773160924075E-2</v>
          </cell>
        </row>
        <row r="80">
          <cell r="B80" t="str">
            <v>ESCURRIDOR POR CADA COCINETA</v>
          </cell>
          <cell r="C80" t="str">
            <v>en aluminio de 40 cm, con base metálica.</v>
          </cell>
          <cell r="D80" t="str">
            <v>Desgaste y uso mensual por unidad</v>
          </cell>
          <cell r="E80" t="str">
            <v>I2023004856</v>
          </cell>
          <cell r="F80">
            <v>44974</v>
          </cell>
          <cell r="G80">
            <v>226877</v>
          </cell>
          <cell r="H80">
            <v>229259</v>
          </cell>
          <cell r="I80">
            <v>231047</v>
          </cell>
          <cell r="J80">
            <v>232040</v>
          </cell>
          <cell r="K80">
            <v>232736</v>
          </cell>
          <cell r="L80">
            <v>233899</v>
          </cell>
          <cell r="M80">
            <v>235536</v>
          </cell>
          <cell r="N80">
            <v>236807</v>
          </cell>
          <cell r="O80">
            <v>237399</v>
          </cell>
          <cell r="P80">
            <v>238514</v>
          </cell>
          <cell r="Q80">
            <v>239587</v>
          </cell>
          <cell r="R80">
            <v>241791</v>
          </cell>
          <cell r="S80">
            <v>244426</v>
          </cell>
          <cell r="T80">
            <v>246136</v>
          </cell>
          <cell r="U80">
            <v>247588</v>
          </cell>
          <cell r="V80">
            <v>20711</v>
          </cell>
          <cell r="W80">
            <v>9.1287349533006878E-2</v>
          </cell>
        </row>
        <row r="81">
          <cell r="B81" t="str">
            <v>ESTANTERIA</v>
          </cell>
          <cell r="C81" t="str">
            <v>Material metálico con pintura electrostática, 3 entrepaños desmontables (graduables en altura según uso) con refuerzos diseñados para soportar 30 Kg por bandeja. Medidas: Alto 200cm, Fondo 45cm y ancho 70cm. Color: Gris Claro. Apoyos con niveladores</v>
          </cell>
          <cell r="D81" t="str">
            <v>Desgaste y uso mensual por unidad</v>
          </cell>
          <cell r="E81" t="str">
            <v>I2023031801</v>
          </cell>
          <cell r="F81">
            <v>45212</v>
          </cell>
          <cell r="G81">
            <v>261800</v>
          </cell>
          <cell r="H81">
            <v>261800</v>
          </cell>
          <cell r="I81">
            <v>261800</v>
          </cell>
          <cell r="J81">
            <v>261800</v>
          </cell>
          <cell r="K81">
            <v>261800</v>
          </cell>
          <cell r="L81">
            <v>261800</v>
          </cell>
          <cell r="M81">
            <v>261800</v>
          </cell>
          <cell r="N81">
            <v>261800</v>
          </cell>
          <cell r="O81">
            <v>261800</v>
          </cell>
          <cell r="P81">
            <v>263030</v>
          </cell>
          <cell r="Q81">
            <v>264213</v>
          </cell>
          <cell r="R81">
            <v>266643</v>
          </cell>
          <cell r="S81">
            <v>269549</v>
          </cell>
          <cell r="T81">
            <v>271435</v>
          </cell>
          <cell r="U81">
            <v>273036</v>
          </cell>
          <cell r="V81">
            <v>11236</v>
          </cell>
          <cell r="W81">
            <v>4.2918258212375861E-2</v>
          </cell>
        </row>
        <row r="82">
          <cell r="B82" t="str">
            <v>ESTANTES 5</v>
          </cell>
          <cell r="C82" t="str">
            <v>estantes en acero inoxidable de 5 entrepaños para almacenamiento en seco, de 50 cm x 50 cm como mínimo</v>
          </cell>
          <cell r="D82" t="str">
            <v>Desgaste y uso mensual por unidad</v>
          </cell>
          <cell r="E82" t="str">
            <v>I2023004856</v>
          </cell>
          <cell r="F82">
            <v>44974</v>
          </cell>
          <cell r="G82">
            <v>312375</v>
          </cell>
          <cell r="H82">
            <v>315654</v>
          </cell>
          <cell r="I82">
            <v>318116</v>
          </cell>
          <cell r="J82">
            <v>319483</v>
          </cell>
          <cell r="K82">
            <v>320441</v>
          </cell>
          <cell r="L82">
            <v>322043</v>
          </cell>
          <cell r="M82">
            <v>324297</v>
          </cell>
          <cell r="N82">
            <v>326048</v>
          </cell>
          <cell r="O82">
            <v>326863</v>
          </cell>
          <cell r="P82">
            <v>328399</v>
          </cell>
          <cell r="Q82">
            <v>329876</v>
          </cell>
          <cell r="R82">
            <v>332910</v>
          </cell>
          <cell r="S82">
            <v>336538</v>
          </cell>
          <cell r="T82">
            <v>338893</v>
          </cell>
          <cell r="U82">
            <v>340892</v>
          </cell>
          <cell r="V82">
            <v>28517</v>
          </cell>
          <cell r="W82">
            <v>9.1290916366546612E-2</v>
          </cell>
        </row>
        <row r="83">
          <cell r="B83" t="str">
            <v>ESTANTES 3</v>
          </cell>
          <cell r="C83" t="str">
            <v>estantes en acero inoxidable de 3 entrepaños para almacenamiento en seco, de 50 cm x 50 cm como mínimo</v>
          </cell>
          <cell r="D83" t="str">
            <v>Desgaste y uso mensual por unidad</v>
          </cell>
          <cell r="E83" t="str">
            <v>I2023031801</v>
          </cell>
          <cell r="F83">
            <v>45212</v>
          </cell>
          <cell r="G83">
            <v>261800</v>
          </cell>
          <cell r="H83">
            <v>261800</v>
          </cell>
          <cell r="I83">
            <v>261800</v>
          </cell>
          <cell r="J83">
            <v>261800</v>
          </cell>
          <cell r="K83">
            <v>261800</v>
          </cell>
          <cell r="L83">
            <v>261800</v>
          </cell>
          <cell r="M83">
            <v>261800</v>
          </cell>
          <cell r="N83">
            <v>261800</v>
          </cell>
          <cell r="O83">
            <v>261800</v>
          </cell>
          <cell r="P83">
            <v>263030</v>
          </cell>
          <cell r="Q83">
            <v>264213</v>
          </cell>
          <cell r="R83">
            <v>266643</v>
          </cell>
          <cell r="S83">
            <v>269549</v>
          </cell>
          <cell r="T83">
            <v>271435</v>
          </cell>
          <cell r="U83">
            <v>273036</v>
          </cell>
          <cell r="V83">
            <v>11236</v>
          </cell>
          <cell r="W83">
            <v>4.2918258212375861E-2</v>
          </cell>
        </row>
        <row r="84">
          <cell r="B84" t="str">
            <v>ESTIBAS</v>
          </cell>
          <cell r="C84" t="str">
            <v>Estiba plástica para la alacena, de 60x60</v>
          </cell>
          <cell r="D84" t="str">
            <v>Desgaste y uso mensual por unidad</v>
          </cell>
          <cell r="E84" t="str">
            <v>I2024004413</v>
          </cell>
          <cell r="F84" t="str">
            <v>0</v>
          </cell>
          <cell r="G84">
            <v>28867</v>
          </cell>
          <cell r="H84">
            <v>28867</v>
          </cell>
          <cell r="I84">
            <v>28867</v>
          </cell>
          <cell r="J84">
            <v>28867</v>
          </cell>
          <cell r="K84">
            <v>28867</v>
          </cell>
          <cell r="L84">
            <v>28867</v>
          </cell>
          <cell r="M84">
            <v>28867</v>
          </cell>
          <cell r="N84">
            <v>28867</v>
          </cell>
          <cell r="O84">
            <v>28867</v>
          </cell>
          <cell r="P84">
            <v>28867</v>
          </cell>
          <cell r="Q84">
            <v>28867</v>
          </cell>
          <cell r="R84">
            <v>28867</v>
          </cell>
          <cell r="S84">
            <v>28867</v>
          </cell>
          <cell r="T84">
            <v>28867</v>
          </cell>
          <cell r="U84">
            <v>28867</v>
          </cell>
          <cell r="V84">
            <v>0</v>
          </cell>
          <cell r="W84">
            <v>0</v>
          </cell>
        </row>
        <row r="85">
          <cell r="B85" t="str">
            <v>ESTUFA INDUSTRIAL CON HORNO</v>
          </cell>
          <cell r="C85" t="str">
            <v>Cuatro puestos grandes. Parrillas en fundición de hierro. Quemadores indeformables en hierro, de alto rendimiento. Mueble y entrepaño en acero inoxidable. Encendido electrónico. Patas en tubo de acero inoxidable con nivelador. Dimensiones: 100 x 88 x 87 cm. Potencia: 88.000 BTU/h. A gas.</v>
          </cell>
          <cell r="D85" t="str">
            <v>Desgaste y uso mensual por unidad</v>
          </cell>
          <cell r="E85" t="str">
            <v>I2023018072</v>
          </cell>
          <cell r="F85">
            <v>45100</v>
          </cell>
          <cell r="G85">
            <v>5570045</v>
          </cell>
          <cell r="H85">
            <v>5570045</v>
          </cell>
          <cell r="I85">
            <v>5570045</v>
          </cell>
          <cell r="J85">
            <v>5570045</v>
          </cell>
          <cell r="K85">
            <v>5570045</v>
          </cell>
          <cell r="L85">
            <v>5597895</v>
          </cell>
          <cell r="M85">
            <v>5637080</v>
          </cell>
          <cell r="N85">
            <v>5667520</v>
          </cell>
          <cell r="O85">
            <v>5681688</v>
          </cell>
          <cell r="P85">
            <v>5708391</v>
          </cell>
          <cell r="Q85">
            <v>5734078</v>
          </cell>
          <cell r="R85">
            <v>5786831</v>
          </cell>
          <cell r="S85">
            <v>5849907</v>
          </cell>
          <cell r="T85">
            <v>5890856</v>
          </cell>
          <cell r="U85">
            <v>5925612</v>
          </cell>
          <cell r="V85">
            <v>355567</v>
          </cell>
          <cell r="W85">
            <v>6.3835570448712714E-2</v>
          </cell>
        </row>
        <row r="86">
          <cell r="B86" t="str">
            <v>EXTRACTOR DE OLORES</v>
          </cell>
          <cell r="C86" t="str">
            <v>Campanas tipo pared, central o lisa manufacturada en acero inoxidable calibre 18/20 tipo 304-430 antiácidos, dotada con filtros. 60 x 103 x 50cm</v>
          </cell>
          <cell r="D86" t="str">
            <v>Desgaste y uso mensual por unidad</v>
          </cell>
          <cell r="E86" t="str">
            <v>I2023004856</v>
          </cell>
          <cell r="F86">
            <v>44974</v>
          </cell>
          <cell r="G86">
            <v>2201870</v>
          </cell>
          <cell r="H86">
            <v>2224989</v>
          </cell>
          <cell r="I86">
            <v>2242343</v>
          </cell>
          <cell r="J86">
            <v>2251985</v>
          </cell>
          <cell r="K86">
            <v>2258740</v>
          </cell>
          <cell r="L86">
            <v>2270033</v>
          </cell>
          <cell r="M86">
            <v>2285923</v>
          </cell>
          <cell r="N86">
            <v>2298266</v>
          </cell>
          <cell r="O86">
            <v>2304011</v>
          </cell>
          <cell r="P86">
            <v>2314839</v>
          </cell>
          <cell r="Q86">
            <v>2325255</v>
          </cell>
          <cell r="R86">
            <v>2346647</v>
          </cell>
          <cell r="S86">
            <v>2372225</v>
          </cell>
          <cell r="T86">
            <v>2388830</v>
          </cell>
          <cell r="U86">
            <v>2402924</v>
          </cell>
          <cell r="V86">
            <v>201054</v>
          </cell>
          <cell r="W86">
            <v>9.1310567835521619E-2</v>
          </cell>
        </row>
        <row r="87">
          <cell r="B87" t="str">
            <v>FONDOS</v>
          </cell>
          <cell r="C87" t="str">
            <v xml:space="preserve">Dos (2) fondos de 75 litros, tapa metálica, olla en aluminio recortado </v>
          </cell>
          <cell r="D87" t="str">
            <v>Desgaste y uso mensual por unidad</v>
          </cell>
          <cell r="E87" t="str">
            <v>I2023018072</v>
          </cell>
          <cell r="F87">
            <v>45100</v>
          </cell>
          <cell r="G87">
            <v>168130</v>
          </cell>
          <cell r="H87">
            <v>168130</v>
          </cell>
          <cell r="I87">
            <v>168130</v>
          </cell>
          <cell r="J87">
            <v>168130</v>
          </cell>
          <cell r="K87">
            <v>168130</v>
          </cell>
          <cell r="L87">
            <v>168970</v>
          </cell>
          <cell r="M87">
            <v>170152</v>
          </cell>
          <cell r="N87">
            <v>171070</v>
          </cell>
          <cell r="O87">
            <v>171497</v>
          </cell>
          <cell r="P87">
            <v>172303</v>
          </cell>
          <cell r="Q87">
            <v>173078</v>
          </cell>
          <cell r="R87">
            <v>174670</v>
          </cell>
          <cell r="S87">
            <v>176573</v>
          </cell>
          <cell r="T87">
            <v>177809</v>
          </cell>
          <cell r="U87">
            <v>178858</v>
          </cell>
          <cell r="V87">
            <v>10728</v>
          </cell>
          <cell r="W87">
            <v>6.3807767798727169E-2</v>
          </cell>
        </row>
        <row r="88">
          <cell r="B88" t="str">
            <v xml:space="preserve">FORRO PARA ALMOHADA </v>
          </cell>
          <cell r="C88" t="str">
            <v>Forro para almohada en material lona anti fluido tipo hospitalario que cubra la totalidad de la almohada y con cierre de cremallera.</v>
          </cell>
          <cell r="D88" t="str">
            <v>Desgaste y uso mensual por unidad</v>
          </cell>
          <cell r="E88" t="str">
            <v>I2023004856</v>
          </cell>
          <cell r="F88">
            <v>44974</v>
          </cell>
          <cell r="G88">
            <v>16533</v>
          </cell>
          <cell r="H88">
            <v>16706</v>
          </cell>
          <cell r="I88">
            <v>16836</v>
          </cell>
          <cell r="J88">
            <v>16908</v>
          </cell>
          <cell r="K88">
            <v>16958</v>
          </cell>
          <cell r="L88">
            <v>17042</v>
          </cell>
          <cell r="M88">
            <v>17161</v>
          </cell>
          <cell r="N88">
            <v>17253</v>
          </cell>
          <cell r="O88">
            <v>17296</v>
          </cell>
          <cell r="P88">
            <v>17377</v>
          </cell>
          <cell r="Q88">
            <v>17455</v>
          </cell>
          <cell r="R88">
            <v>17615</v>
          </cell>
          <cell r="S88">
            <v>17807</v>
          </cell>
          <cell r="T88">
            <v>17931</v>
          </cell>
          <cell r="U88">
            <v>18036</v>
          </cell>
          <cell r="V88">
            <v>1503</v>
          </cell>
          <cell r="W88">
            <v>9.0909090909090912E-2</v>
          </cell>
        </row>
        <row r="89">
          <cell r="B89" t="str">
            <v>FORRO PARA COLCHÓN</v>
          </cell>
          <cell r="C89" t="str">
            <v>Forro para Colchón de material lona anti fluido tipo hospitalario para cama sencilla, que cubra la totalidad del colchón y con cierre de cremallera.</v>
          </cell>
          <cell r="D89" t="str">
            <v>Desgaste y uso mensual por unidad</v>
          </cell>
          <cell r="E89" t="str">
            <v>I2023004856</v>
          </cell>
          <cell r="F89">
            <v>44974</v>
          </cell>
          <cell r="G89">
            <v>104661</v>
          </cell>
          <cell r="H89">
            <v>105759</v>
          </cell>
          <cell r="I89">
            <v>106583</v>
          </cell>
          <cell r="J89">
            <v>107041</v>
          </cell>
          <cell r="K89">
            <v>107362</v>
          </cell>
          <cell r="L89">
            <v>107898</v>
          </cell>
          <cell r="M89">
            <v>108653</v>
          </cell>
          <cell r="N89">
            <v>109239</v>
          </cell>
          <cell r="O89">
            <v>109512</v>
          </cell>
          <cell r="P89">
            <v>110026</v>
          </cell>
          <cell r="Q89">
            <v>110521</v>
          </cell>
          <cell r="R89">
            <v>111537</v>
          </cell>
          <cell r="S89">
            <v>112752</v>
          </cell>
          <cell r="T89">
            <v>113541</v>
          </cell>
          <cell r="U89">
            <v>114210</v>
          </cell>
          <cell r="V89">
            <v>9549</v>
          </cell>
          <cell r="W89">
            <v>9.1237423682173871E-2</v>
          </cell>
        </row>
        <row r="90">
          <cell r="B90" t="str">
            <v>GRAMERA DIGITAL PARA ALIMENTOS</v>
          </cell>
          <cell r="C90" t="str">
            <v>Gramera digital capacidad de 10 Kg con sensibilidad de 1 gramo, con función Tara. Incluyendo pilas o cargador para su funcionamiento.</v>
          </cell>
          <cell r="D90" t="str">
            <v>Desgaste y uso mensual por unidad</v>
          </cell>
          <cell r="E90" t="str">
            <v>I2023004856</v>
          </cell>
          <cell r="F90">
            <v>44974</v>
          </cell>
          <cell r="G90">
            <v>62269</v>
          </cell>
          <cell r="H90">
            <v>62922</v>
          </cell>
          <cell r="I90">
            <v>63412</v>
          </cell>
          <cell r="J90">
            <v>63684</v>
          </cell>
          <cell r="K90">
            <v>63875</v>
          </cell>
          <cell r="L90">
            <v>64194</v>
          </cell>
          <cell r="M90">
            <v>64643</v>
          </cell>
          <cell r="N90">
            <v>64992</v>
          </cell>
          <cell r="O90">
            <v>65154</v>
          </cell>
          <cell r="P90">
            <v>65460</v>
          </cell>
          <cell r="Q90">
            <v>65754</v>
          </cell>
          <cell r="R90">
            <v>66358</v>
          </cell>
          <cell r="S90">
            <v>67081</v>
          </cell>
          <cell r="T90">
            <v>67550</v>
          </cell>
          <cell r="U90">
            <v>67948</v>
          </cell>
          <cell r="V90">
            <v>5679</v>
          </cell>
          <cell r="W90">
            <v>9.1201079188681367E-2</v>
          </cell>
        </row>
        <row r="91">
          <cell r="B91" t="str">
            <v>HORNO MICROONDAS</v>
          </cell>
          <cell r="C91" t="str">
            <v>Casero mínimo de 17 litros</v>
          </cell>
          <cell r="D91" t="str">
            <v>Desgaste y uso mensual por unidad</v>
          </cell>
          <cell r="E91" t="str">
            <v>I2023004856</v>
          </cell>
          <cell r="F91">
            <v>44974</v>
          </cell>
          <cell r="G91">
            <v>560811</v>
          </cell>
          <cell r="H91">
            <v>566699</v>
          </cell>
          <cell r="I91">
            <v>571119</v>
          </cell>
          <cell r="J91">
            <v>573574</v>
          </cell>
          <cell r="K91">
            <v>575294</v>
          </cell>
          <cell r="L91">
            <v>578170</v>
          </cell>
          <cell r="M91">
            <v>582217</v>
          </cell>
          <cell r="N91">
            <v>585360</v>
          </cell>
          <cell r="O91">
            <v>586823</v>
          </cell>
          <cell r="P91">
            <v>589581</v>
          </cell>
          <cell r="Q91">
            <v>592234</v>
          </cell>
          <cell r="R91">
            <v>597682</v>
          </cell>
          <cell r="S91">
            <v>604196</v>
          </cell>
          <cell r="T91">
            <v>608425</v>
          </cell>
          <cell r="U91">
            <v>612014</v>
          </cell>
          <cell r="V91">
            <v>51203</v>
          </cell>
          <cell r="W91">
            <v>9.1301704139184148E-2</v>
          </cell>
        </row>
        <row r="92">
          <cell r="B92" t="str">
            <v>IMPRESORA MULTIFUNCIONAL</v>
          </cell>
          <cell r="C92" t="str">
            <v xml:space="preserve">impresora láser o led formato de impresión a4, multifuncional, impresión blanco y negro, volumen mensaul recomendado minimo 3,000 paginas, 32 ppm </v>
          </cell>
          <cell r="D92" t="str">
            <v>Desgaste y uso mensual por unidad</v>
          </cell>
          <cell r="E92" t="str">
            <v>I2024004413</v>
          </cell>
          <cell r="F92" t="str">
            <v>0</v>
          </cell>
          <cell r="G92">
            <v>1014445</v>
          </cell>
          <cell r="H92">
            <v>1014445</v>
          </cell>
          <cell r="I92">
            <v>1014445</v>
          </cell>
          <cell r="J92">
            <v>1014445</v>
          </cell>
          <cell r="K92">
            <v>1014445</v>
          </cell>
          <cell r="L92">
            <v>1014445</v>
          </cell>
          <cell r="M92">
            <v>1014445</v>
          </cell>
          <cell r="N92">
            <v>1014445</v>
          </cell>
          <cell r="O92">
            <v>1014445</v>
          </cell>
          <cell r="P92">
            <v>1014445</v>
          </cell>
          <cell r="Q92">
            <v>1014445</v>
          </cell>
          <cell r="R92">
            <v>1014445</v>
          </cell>
          <cell r="S92">
            <v>1014445</v>
          </cell>
          <cell r="T92">
            <v>1014445</v>
          </cell>
          <cell r="U92">
            <v>1014445</v>
          </cell>
          <cell r="V92">
            <v>0</v>
          </cell>
          <cell r="W92">
            <v>0</v>
          </cell>
        </row>
        <row r="93">
          <cell r="B93" t="str">
            <v>JARRA DE ALUMINIO</v>
          </cell>
          <cell r="C93" t="str">
            <v xml:space="preserve">Jarra de Aluminio de 5 Lts. </v>
          </cell>
          <cell r="D93" t="str">
            <v>Desgaste y uso mensual por unidad</v>
          </cell>
          <cell r="E93" t="str">
            <v>I2023031084</v>
          </cell>
          <cell r="F93">
            <v>45210</v>
          </cell>
          <cell r="G93">
            <v>32843</v>
          </cell>
          <cell r="H93">
            <v>32843</v>
          </cell>
          <cell r="I93">
            <v>32843</v>
          </cell>
          <cell r="J93">
            <v>32843</v>
          </cell>
          <cell r="K93">
            <v>32843</v>
          </cell>
          <cell r="L93">
            <v>32843</v>
          </cell>
          <cell r="M93">
            <v>32843</v>
          </cell>
          <cell r="N93">
            <v>32843</v>
          </cell>
          <cell r="O93">
            <v>32843</v>
          </cell>
          <cell r="P93">
            <v>32997</v>
          </cell>
          <cell r="Q93">
            <v>33145</v>
          </cell>
          <cell r="R93">
            <v>33449</v>
          </cell>
          <cell r="S93">
            <v>33813</v>
          </cell>
          <cell r="T93">
            <v>34049</v>
          </cell>
          <cell r="U93">
            <v>34249</v>
          </cell>
          <cell r="V93">
            <v>1406</v>
          </cell>
          <cell r="W93">
            <v>4.2809731145145087E-2</v>
          </cell>
        </row>
        <row r="94">
          <cell r="B94" t="str">
            <v>JARRA PLÁSTICA CON TAPA DE 5 LITROS</v>
          </cell>
          <cell r="C94" t="str">
            <v>Jarra plástica con tapa de 5 litros</v>
          </cell>
          <cell r="D94" t="str">
            <v>Desgaste y uso mensual por unidad</v>
          </cell>
          <cell r="E94" t="str">
            <v>I2023004856</v>
          </cell>
          <cell r="F94">
            <v>44974</v>
          </cell>
          <cell r="G94">
            <v>16480</v>
          </cell>
          <cell r="H94">
            <v>16653</v>
          </cell>
          <cell r="I94">
            <v>16782</v>
          </cell>
          <cell r="J94">
            <v>16854</v>
          </cell>
          <cell r="K94">
            <v>16904</v>
          </cell>
          <cell r="L94">
            <v>16988</v>
          </cell>
          <cell r="M94">
            <v>17106</v>
          </cell>
          <cell r="N94">
            <v>17198</v>
          </cell>
          <cell r="O94">
            <v>17240</v>
          </cell>
          <cell r="P94">
            <v>17321</v>
          </cell>
          <cell r="Q94">
            <v>17398</v>
          </cell>
          <cell r="R94">
            <v>17558</v>
          </cell>
          <cell r="S94">
            <v>17749</v>
          </cell>
          <cell r="T94">
            <v>17873</v>
          </cell>
          <cell r="U94">
            <v>17978</v>
          </cell>
          <cell r="V94">
            <v>1498</v>
          </cell>
          <cell r="W94">
            <v>9.089805825242718E-2</v>
          </cell>
        </row>
        <row r="95">
          <cell r="B95" t="str">
            <v>JUEGO DE SÁBANAS</v>
          </cell>
          <cell r="C95" t="str">
            <v>Juego de cama: sabanas de tres piezas 1 Sábana ajustable 100 cm x 190 cm
1 Sobre sábana 100 x 250 cm
1 funda 50 x 70 cms diseño 1 solo color (colores variados), gramaje de 90 grms en material 100% microfibra (Margen 10%+/-).</v>
          </cell>
          <cell r="D95" t="str">
            <v>Desgaste y uso mensual por unidad</v>
          </cell>
          <cell r="E95" t="str">
            <v>I2023031011</v>
          </cell>
          <cell r="F95">
            <v>45210</v>
          </cell>
          <cell r="G95">
            <v>32796</v>
          </cell>
          <cell r="H95">
            <v>32796</v>
          </cell>
          <cell r="I95">
            <v>32796</v>
          </cell>
          <cell r="J95">
            <v>32796</v>
          </cell>
          <cell r="K95">
            <v>32796</v>
          </cell>
          <cell r="L95">
            <v>32796</v>
          </cell>
          <cell r="M95">
            <v>32796</v>
          </cell>
          <cell r="N95">
            <v>32796</v>
          </cell>
          <cell r="O95">
            <v>32796</v>
          </cell>
          <cell r="P95">
            <v>32950</v>
          </cell>
          <cell r="Q95">
            <v>33098</v>
          </cell>
          <cell r="R95">
            <v>33402</v>
          </cell>
          <cell r="S95">
            <v>33766</v>
          </cell>
          <cell r="T95">
            <v>34002</v>
          </cell>
          <cell r="U95">
            <v>34202</v>
          </cell>
          <cell r="V95">
            <v>1406</v>
          </cell>
          <cell r="W95">
            <v>4.287108183924869E-2</v>
          </cell>
        </row>
        <row r="96">
          <cell r="B96" t="str">
            <v>LAVADORA</v>
          </cell>
          <cell r="C96" t="str">
            <v>Lavadoras en buen estado de mantenimiento con capacidad de garantizar la correcta limpieza del 20% del vestuario y lencería en la periodicidad requerida con capacidad mínima de 20 kg entre los equipos requeridos.</v>
          </cell>
          <cell r="D96" t="str">
            <v>Unidad</v>
          </cell>
          <cell r="E96" t="str">
            <v>I2023004856</v>
          </cell>
          <cell r="F96">
            <v>44974</v>
          </cell>
          <cell r="G96">
            <v>3243796</v>
          </cell>
          <cell r="H96">
            <v>3277855</v>
          </cell>
          <cell r="I96">
            <v>3303422</v>
          </cell>
          <cell r="J96">
            <v>3317626</v>
          </cell>
          <cell r="K96">
            <v>3327578</v>
          </cell>
          <cell r="L96">
            <v>3344215</v>
          </cell>
          <cell r="M96">
            <v>3367624</v>
          </cell>
          <cell r="N96">
            <v>3385809</v>
          </cell>
          <cell r="O96">
            <v>3394273</v>
          </cell>
          <cell r="P96">
            <v>3410226</v>
          </cell>
          <cell r="Q96">
            <v>3425572</v>
          </cell>
          <cell r="R96">
            <v>3457087</v>
          </cell>
          <cell r="S96">
            <v>3494769</v>
          </cell>
          <cell r="T96">
            <v>3519232</v>
          </cell>
          <cell r="U96">
            <v>3539995</v>
          </cell>
          <cell r="V96">
            <v>296199</v>
          </cell>
          <cell r="W96">
            <v>9.1312462312673176E-2</v>
          </cell>
        </row>
        <row r="97">
          <cell r="B97" t="str">
            <v>LAVAPLATOS</v>
          </cell>
          <cell r="C97" t="str">
            <v>de dos cubetas en electro plata o acero inoxidable medidas: 
Alto 15.2 Cm, Ancho 44.6 Cm, Largo 76.8 Cm</v>
          </cell>
          <cell r="D97" t="str">
            <v>Desgaste y uso mensual por unidad</v>
          </cell>
          <cell r="E97" t="str">
            <v>I2023018072</v>
          </cell>
          <cell r="F97">
            <v>45100</v>
          </cell>
          <cell r="G97">
            <v>4165000</v>
          </cell>
          <cell r="H97">
            <v>4165000</v>
          </cell>
          <cell r="I97">
            <v>4165000</v>
          </cell>
          <cell r="J97">
            <v>4165000</v>
          </cell>
          <cell r="K97">
            <v>4165000</v>
          </cell>
          <cell r="L97">
            <v>4185825</v>
          </cell>
          <cell r="M97">
            <v>4215125</v>
          </cell>
          <cell r="N97">
            <v>4237886</v>
          </cell>
          <cell r="O97">
            <v>4248480</v>
          </cell>
          <cell r="P97">
            <v>4268447</v>
          </cell>
          <cell r="Q97">
            <v>4287655</v>
          </cell>
          <cell r="R97">
            <v>4327101</v>
          </cell>
          <cell r="S97">
            <v>4374266</v>
          </cell>
          <cell r="T97">
            <v>4404885</v>
          </cell>
          <cell r="U97">
            <v>4430873</v>
          </cell>
          <cell r="V97">
            <v>265873</v>
          </cell>
          <cell r="W97">
            <v>6.3835054021608648E-2</v>
          </cell>
        </row>
        <row r="98">
          <cell r="B98" t="str">
            <v>LICUADORAS</v>
          </cell>
          <cell r="C98" t="str">
            <v>Licuadora semi-industrial o familiar mínimo 2 litros de capacidad.</v>
          </cell>
          <cell r="D98" t="str">
            <v>Desgaste y uso mensual por unidad</v>
          </cell>
          <cell r="E98" t="str">
            <v>I2023019873</v>
          </cell>
          <cell r="F98">
            <v>45117</v>
          </cell>
          <cell r="G98">
            <v>846733</v>
          </cell>
          <cell r="H98">
            <v>846733</v>
          </cell>
          <cell r="I98">
            <v>846733</v>
          </cell>
          <cell r="J98">
            <v>846733</v>
          </cell>
          <cell r="K98">
            <v>846733</v>
          </cell>
          <cell r="L98">
            <v>846733</v>
          </cell>
          <cell r="M98">
            <v>852660</v>
          </cell>
          <cell r="N98">
            <v>857264</v>
          </cell>
          <cell r="O98">
            <v>859407</v>
          </cell>
          <cell r="P98">
            <v>863446</v>
          </cell>
          <cell r="Q98">
            <v>867331</v>
          </cell>
          <cell r="R98">
            <v>875310</v>
          </cell>
          <cell r="S98">
            <v>884850</v>
          </cell>
          <cell r="T98">
            <v>891043</v>
          </cell>
          <cell r="U98">
            <v>896300</v>
          </cell>
          <cell r="V98">
            <v>49567</v>
          </cell>
          <cell r="W98">
            <v>5.853911445520607E-2</v>
          </cell>
        </row>
        <row r="99">
          <cell r="B99" t="str">
            <v>LICUADORAS INDUSTRIALES</v>
          </cell>
          <cell r="C99" t="str">
            <v>Se debe capacitar sobre el uso adecuado del elemento, motor potencia mínima de 1/2 hp, jarra en acero inoxidable 304, con diseño que garantice el correcto licuado de los alimentos, totalmente en acero inoxidable, sistema volcable (basculante) con pin de seguridad para evitar el volcamiento accidental del vaso o de vaso desmontable, con capacidad entre 4 y 5 lts, con sello mecánico para evitar filtraciones de líquidos, eje de motor en acero, base en tubería de acero inoxidable (para licuadoras volcables), cuadrante y acople de cuadrante en acero (vaso desmontable), interruptor pulsador termo magnético automático para corte por sobrecarga en el caso que se frene el motor y evitar que se queme.</v>
          </cell>
          <cell r="D99" t="str">
            <v>Desgaste y uso mensual por unidad</v>
          </cell>
          <cell r="E99" t="str">
            <v>I2023018072</v>
          </cell>
          <cell r="F99">
            <v>45100</v>
          </cell>
          <cell r="G99">
            <v>1557710</v>
          </cell>
          <cell r="H99">
            <v>1557710</v>
          </cell>
          <cell r="I99">
            <v>1557710</v>
          </cell>
          <cell r="J99">
            <v>1557710</v>
          </cell>
          <cell r="K99">
            <v>1557710</v>
          </cell>
          <cell r="L99">
            <v>1565498</v>
          </cell>
          <cell r="M99">
            <v>1576456</v>
          </cell>
          <cell r="N99">
            <v>1584968</v>
          </cell>
          <cell r="O99">
            <v>1588930</v>
          </cell>
          <cell r="P99">
            <v>1596397</v>
          </cell>
          <cell r="Q99">
            <v>1603580</v>
          </cell>
          <cell r="R99">
            <v>1618332</v>
          </cell>
          <cell r="S99">
            <v>1635971</v>
          </cell>
          <cell r="T99">
            <v>1647422</v>
          </cell>
          <cell r="U99">
            <v>1657141</v>
          </cell>
          <cell r="V99">
            <v>99431</v>
          </cell>
          <cell r="W99">
            <v>6.3831521913578271E-2</v>
          </cell>
        </row>
        <row r="100">
          <cell r="B100" t="str">
            <v xml:space="preserve">LOCKERS DOBLE </v>
          </cell>
          <cell r="C100" t="str">
            <v>LOCKER 2 CUERPOS alto 2 m x ancho 65 cm x fondo 35 cms Metálica, Coll rolled Calibre de la lámina 22 locker de 6 compartimentos y 2 cuerpos estructura en coll rolled pintura electrostática en polvo, previo proceso de desengrase y fosfatizado Porta candado con manija Parche</v>
          </cell>
          <cell r="D100" t="str">
            <v>Desgaste y uso mensual por unidad</v>
          </cell>
          <cell r="E100" t="str">
            <v>I2023031801</v>
          </cell>
          <cell r="F100">
            <v>45212</v>
          </cell>
          <cell r="G100">
            <v>589000</v>
          </cell>
          <cell r="H100">
            <v>589000</v>
          </cell>
          <cell r="I100">
            <v>589000</v>
          </cell>
          <cell r="J100">
            <v>589000</v>
          </cell>
          <cell r="K100">
            <v>589000</v>
          </cell>
          <cell r="L100">
            <v>589000</v>
          </cell>
          <cell r="M100">
            <v>589000</v>
          </cell>
          <cell r="N100">
            <v>589000</v>
          </cell>
          <cell r="O100">
            <v>589000</v>
          </cell>
          <cell r="P100">
            <v>591768</v>
          </cell>
          <cell r="Q100">
            <v>594430</v>
          </cell>
          <cell r="R100">
            <v>599898</v>
          </cell>
          <cell r="S100">
            <v>606436</v>
          </cell>
          <cell r="T100">
            <v>610681</v>
          </cell>
          <cell r="U100">
            <v>614284</v>
          </cell>
          <cell r="V100">
            <v>25284</v>
          </cell>
          <cell r="W100">
            <v>4.2926994906621392E-2</v>
          </cell>
        </row>
        <row r="101">
          <cell r="B101" t="str">
            <v xml:space="preserve">LOCKERS PARA  TALENTO HUMANO </v>
          </cell>
          <cell r="C101" t="str">
            <v>Torre de Lockers por 3 unidades con su respectivo candado, que garanticen la seguridad de los elementos, con un cajon mínimo de 25 x 50 cm</v>
          </cell>
          <cell r="D101" t="str">
            <v>Desgaste y uso mensual por unidad</v>
          </cell>
          <cell r="E101" t="str">
            <v>I2023004856</v>
          </cell>
          <cell r="F101">
            <v>44974</v>
          </cell>
          <cell r="G101">
            <v>1522175</v>
          </cell>
          <cell r="H101">
            <v>1538157</v>
          </cell>
          <cell r="I101">
            <v>1550154</v>
          </cell>
          <cell r="J101">
            <v>1556819</v>
          </cell>
          <cell r="K101">
            <v>1561489</v>
          </cell>
          <cell r="L101">
            <v>1569296</v>
          </cell>
          <cell r="M101">
            <v>1580281</v>
          </cell>
          <cell r="N101">
            <v>1588814</v>
          </cell>
          <cell r="O101">
            <v>1592786</v>
          </cell>
          <cell r="P101">
            <v>1600272</v>
          </cell>
          <cell r="Q101">
            <v>1607473</v>
          </cell>
          <cell r="R101">
            <v>1622261</v>
          </cell>
          <cell r="S101">
            <v>1639943</v>
          </cell>
          <cell r="T101">
            <v>1651422</v>
          </cell>
          <cell r="U101">
            <v>1661165</v>
          </cell>
          <cell r="V101">
            <v>138990</v>
          </cell>
          <cell r="W101">
            <v>9.131013188365332E-2</v>
          </cell>
        </row>
        <row r="102">
          <cell r="B102" t="str">
            <v>MESA DE TRABAJO</v>
          </cell>
          <cell r="C102" t="str">
            <v>Mesa de trabajo lisa en material higiénico sanitario, bordes sin aristas de las siguientes medidas aproximadas altura minima :84 cm, largo minimo :150 cm, ancho minimo :50cm</v>
          </cell>
          <cell r="D102" t="str">
            <v>Desgaste y uso mensual por unidad</v>
          </cell>
          <cell r="E102" t="str">
            <v>I2023004856</v>
          </cell>
          <cell r="F102">
            <v>44974</v>
          </cell>
          <cell r="G102">
            <v>2918600</v>
          </cell>
          <cell r="H102">
            <v>2949245</v>
          </cell>
          <cell r="I102">
            <v>2972249</v>
          </cell>
          <cell r="J102">
            <v>2985029</v>
          </cell>
          <cell r="K102">
            <v>2993984</v>
          </cell>
          <cell r="L102">
            <v>3008953</v>
          </cell>
          <cell r="M102">
            <v>3030015</v>
          </cell>
          <cell r="N102">
            <v>3046377</v>
          </cell>
          <cell r="O102">
            <v>3053992</v>
          </cell>
          <cell r="P102">
            <v>3068345</v>
          </cell>
          <cell r="Q102">
            <v>3082152</v>
          </cell>
          <cell r="R102">
            <v>3110507</v>
          </cell>
          <cell r="S102">
            <v>3144411</v>
          </cell>
          <cell r="T102">
            <v>3166421</v>
          </cell>
          <cell r="U102">
            <v>3185102</v>
          </cell>
          <cell r="V102">
            <v>266502</v>
          </cell>
          <cell r="W102">
            <v>9.1311587747550202E-2</v>
          </cell>
        </row>
        <row r="103">
          <cell r="B103" t="str">
            <v xml:space="preserve">MESAS </v>
          </cell>
          <cell r="C103" t="str">
            <v>Mesas Plástica (En material higiénico sanitario) desarmables, de 4 puestos, de 80,5 cm x 80, 5 x 72,5 cm</v>
          </cell>
          <cell r="D103" t="str">
            <v>Desgaste y uso mensual por unidad</v>
          </cell>
          <cell r="E103" t="str">
            <v>I2023018072</v>
          </cell>
          <cell r="F103">
            <v>45100</v>
          </cell>
          <cell r="G103">
            <v>69129</v>
          </cell>
          <cell r="H103">
            <v>69129</v>
          </cell>
          <cell r="I103">
            <v>69129</v>
          </cell>
          <cell r="J103">
            <v>69129</v>
          </cell>
          <cell r="K103">
            <v>69129</v>
          </cell>
          <cell r="L103">
            <v>69474</v>
          </cell>
          <cell r="M103">
            <v>69960</v>
          </cell>
          <cell r="N103">
            <v>70337</v>
          </cell>
          <cell r="O103">
            <v>70512</v>
          </cell>
          <cell r="P103">
            <v>70843</v>
          </cell>
          <cell r="Q103">
            <v>71161</v>
          </cell>
          <cell r="R103">
            <v>71815</v>
          </cell>
          <cell r="S103">
            <v>72597</v>
          </cell>
          <cell r="T103">
            <v>73105</v>
          </cell>
          <cell r="U103">
            <v>73536</v>
          </cell>
          <cell r="V103">
            <v>4407</v>
          </cell>
          <cell r="W103">
            <v>6.3750379724862208E-2</v>
          </cell>
        </row>
        <row r="104">
          <cell r="B104" t="str">
            <v>MESAS PLASTICAS - 6 PUESTOS</v>
          </cell>
          <cell r="C104" t="str">
            <v>Mesas plasticas - 6 puestos altura 70 Cm, ancho 80 cm. Largo 120 cm</v>
          </cell>
          <cell r="D104" t="str">
            <v>Desgaste y uso mensual por unidad</v>
          </cell>
          <cell r="E104" t="str">
            <v>I2024014734</v>
          </cell>
          <cell r="F104" t="str">
            <v>0</v>
          </cell>
          <cell r="G104">
            <v>287230</v>
          </cell>
          <cell r="H104">
            <v>287230</v>
          </cell>
          <cell r="I104">
            <v>287230</v>
          </cell>
          <cell r="J104">
            <v>287230</v>
          </cell>
          <cell r="K104">
            <v>287230</v>
          </cell>
          <cell r="L104">
            <v>287230</v>
          </cell>
          <cell r="M104">
            <v>287230</v>
          </cell>
          <cell r="N104">
            <v>287230</v>
          </cell>
          <cell r="O104">
            <v>287230</v>
          </cell>
          <cell r="P104">
            <v>287230</v>
          </cell>
          <cell r="Q104">
            <v>287230</v>
          </cell>
          <cell r="R104">
            <v>287230</v>
          </cell>
          <cell r="S104">
            <v>287230</v>
          </cell>
          <cell r="T104">
            <v>287230</v>
          </cell>
          <cell r="U104">
            <v>287230</v>
          </cell>
          <cell r="V104">
            <v>0</v>
          </cell>
          <cell r="W104">
            <v>0</v>
          </cell>
        </row>
        <row r="105">
          <cell r="B105" t="str">
            <v>MICRÓFONO</v>
          </cell>
          <cell r="C105" t="str">
            <v>Micrófono con sistema inalámbrico alcance 30 metros de distancia.</v>
          </cell>
          <cell r="D105" t="str">
            <v>Desgaste y uso mensual por unidad</v>
          </cell>
          <cell r="E105" t="str">
            <v>I2023004856</v>
          </cell>
          <cell r="F105">
            <v>44974</v>
          </cell>
          <cell r="G105">
            <v>177530</v>
          </cell>
          <cell r="H105">
            <v>179394</v>
          </cell>
          <cell r="I105">
            <v>180793</v>
          </cell>
          <cell r="J105">
            <v>181570</v>
          </cell>
          <cell r="K105">
            <v>182114</v>
          </cell>
          <cell r="L105">
            <v>183024</v>
          </cell>
          <cell r="M105">
            <v>184305</v>
          </cell>
          <cell r="N105">
            <v>185300</v>
          </cell>
          <cell r="O105">
            <v>185763</v>
          </cell>
          <cell r="P105">
            <v>186636</v>
          </cell>
          <cell r="Q105">
            <v>187475</v>
          </cell>
          <cell r="R105">
            <v>189199</v>
          </cell>
          <cell r="S105">
            <v>191261</v>
          </cell>
          <cell r="T105">
            <v>192599</v>
          </cell>
          <cell r="U105">
            <v>193735</v>
          </cell>
          <cell r="V105">
            <v>16205</v>
          </cell>
          <cell r="W105">
            <v>9.1280346983608401E-2</v>
          </cell>
        </row>
        <row r="106">
          <cell r="B106" t="str">
            <v>MOLINILLO</v>
          </cell>
          <cell r="C106" t="str">
            <v>Molinillo en material plástico de 30 a 35 cm. -</v>
          </cell>
          <cell r="D106" t="str">
            <v>Desgaste y uso mensual por unidad</v>
          </cell>
          <cell r="E106" t="str">
            <v>I2023018072</v>
          </cell>
          <cell r="F106">
            <v>45100</v>
          </cell>
          <cell r="G106">
            <v>4833</v>
          </cell>
          <cell r="H106">
            <v>4833</v>
          </cell>
          <cell r="I106">
            <v>4833</v>
          </cell>
          <cell r="J106">
            <v>4833</v>
          </cell>
          <cell r="K106">
            <v>4833</v>
          </cell>
          <cell r="L106">
            <v>4857</v>
          </cell>
          <cell r="M106">
            <v>4890</v>
          </cell>
          <cell r="N106">
            <v>4916</v>
          </cell>
          <cell r="O106">
            <v>4928</v>
          </cell>
          <cell r="P106">
            <v>4951</v>
          </cell>
          <cell r="Q106">
            <v>4973</v>
          </cell>
          <cell r="R106">
            <v>5018</v>
          </cell>
          <cell r="S106">
            <v>5072</v>
          </cell>
          <cell r="T106">
            <v>5107</v>
          </cell>
          <cell r="U106">
            <v>5137</v>
          </cell>
          <cell r="V106">
            <v>304</v>
          </cell>
          <cell r="W106">
            <v>6.2900889716532168E-2</v>
          </cell>
        </row>
        <row r="107">
          <cell r="B107" t="str">
            <v>MULETAS</v>
          </cell>
          <cell r="C107" t="str">
            <v>Par de muletas para adulto talla S Para personas entre 1.20 a 1.52 mts de estatura y talla M Para personas entre 1.53  a 1.75 mts de estatura, muletas axilares fabricadas en aluminio, manijas y axilares acolchadas, con tapones ntideslizantes de goma, graduación de altura por medio de Pin, capacidad de carga 125 Kg.</v>
          </cell>
          <cell r="D107" t="str">
            <v>Desgaste y uso mensual por unidad</v>
          </cell>
          <cell r="E107" t="str">
            <v>I2023031433</v>
          </cell>
          <cell r="F107">
            <v>45212</v>
          </cell>
          <cell r="G107">
            <v>84667</v>
          </cell>
          <cell r="H107">
            <v>84667</v>
          </cell>
          <cell r="I107">
            <v>84667</v>
          </cell>
          <cell r="J107">
            <v>84667</v>
          </cell>
          <cell r="K107">
            <v>84667</v>
          </cell>
          <cell r="L107">
            <v>84667</v>
          </cell>
          <cell r="M107">
            <v>84667</v>
          </cell>
          <cell r="N107">
            <v>84667</v>
          </cell>
          <cell r="O107">
            <v>84667</v>
          </cell>
          <cell r="P107">
            <v>85064</v>
          </cell>
          <cell r="Q107">
            <v>85446</v>
          </cell>
          <cell r="R107">
            <v>86232</v>
          </cell>
          <cell r="S107">
            <v>87171</v>
          </cell>
          <cell r="T107">
            <v>87781</v>
          </cell>
          <cell r="U107">
            <v>88298</v>
          </cell>
          <cell r="V107">
            <v>3631</v>
          </cell>
          <cell r="W107">
            <v>4.2885657930480589E-2</v>
          </cell>
        </row>
        <row r="108">
          <cell r="B108" t="str">
            <v>NEVERA</v>
          </cell>
          <cell r="C108" t="str">
            <v>axilares fabricadas en aluminio, manijas y axilares  - nevera de 21 pies</v>
          </cell>
          <cell r="D108" t="str">
            <v>Desgaste y uso mensual por unidad</v>
          </cell>
          <cell r="E108" t="str">
            <v>I2023004856</v>
          </cell>
          <cell r="F108">
            <v>44974</v>
          </cell>
          <cell r="G108">
            <v>10631067</v>
          </cell>
          <cell r="H108">
            <v>10742693</v>
          </cell>
          <cell r="I108">
            <v>10826486</v>
          </cell>
          <cell r="J108">
            <v>10873039</v>
          </cell>
          <cell r="K108">
            <v>10905658</v>
          </cell>
          <cell r="L108">
            <v>10960186</v>
          </cell>
          <cell r="M108">
            <v>11036907</v>
          </cell>
          <cell r="N108">
            <v>11096506</v>
          </cell>
          <cell r="O108">
            <v>11124247</v>
          </cell>
          <cell r="P108">
            <v>11176530</v>
          </cell>
          <cell r="Q108">
            <v>11226824</v>
          </cell>
          <cell r="R108">
            <v>11330110</v>
          </cell>
          <cell r="S108">
            <v>11453608</v>
          </cell>
          <cell r="T108">
            <v>11533783</v>
          </cell>
          <cell r="U108">
            <v>11601832</v>
          </cell>
          <cell r="V108">
            <v>970765</v>
          </cell>
          <cell r="W108">
            <v>9.1313976292313845E-2</v>
          </cell>
        </row>
        <row r="109">
          <cell r="B109" t="str">
            <v>NEVERA VERTICAL TIPO MINI BAR MÍNIMO DE 50 LTS</v>
          </cell>
          <cell r="C109" t="str">
            <v>Nevera vertical tipo mini bar mínimo de 50 lts</v>
          </cell>
          <cell r="D109" t="str">
            <v>Desgaste y uso mensual por unidad</v>
          </cell>
          <cell r="E109" t="str">
            <v>I2023019873</v>
          </cell>
          <cell r="F109">
            <v>45117</v>
          </cell>
          <cell r="G109">
            <v>1050275</v>
          </cell>
          <cell r="H109">
            <v>1050275</v>
          </cell>
          <cell r="I109">
            <v>1050275</v>
          </cell>
          <cell r="J109">
            <v>1050275</v>
          </cell>
          <cell r="K109">
            <v>1050275</v>
          </cell>
          <cell r="L109">
            <v>1050275</v>
          </cell>
          <cell r="M109">
            <v>1057626</v>
          </cell>
          <cell r="N109">
            <v>1063337</v>
          </cell>
          <cell r="O109">
            <v>1065995</v>
          </cell>
          <cell r="P109">
            <v>1071005</v>
          </cell>
          <cell r="Q109">
            <v>1075824</v>
          </cell>
          <cell r="R109">
            <v>1085721</v>
          </cell>
          <cell r="S109">
            <v>1097555</v>
          </cell>
          <cell r="T109">
            <v>1105237</v>
          </cell>
          <cell r="U109">
            <v>1111757</v>
          </cell>
          <cell r="V109">
            <v>61482</v>
          </cell>
          <cell r="W109">
            <v>5.8538954083454331E-2</v>
          </cell>
        </row>
        <row r="110">
          <cell r="B110" t="str">
            <v>OLLA A PRESIÓN</v>
          </cell>
          <cell r="C110" t="str">
            <v xml:space="preserve"> Olla a presión de mínimo 20 litros con asas, fabricada en Aluminio de alta pureza certificado. Con válvula reguladora de precisión, doble posición para dosificar la salidas del vapor y controlar la cocción. Cuerpo fondo reforzado con disco difusor de calor.</v>
          </cell>
          <cell r="D110" t="str">
            <v>Desgaste y uso mensual por unidad</v>
          </cell>
          <cell r="E110" t="str">
            <v>I2024004413</v>
          </cell>
          <cell r="F110" t="str">
            <v>0</v>
          </cell>
          <cell r="G110">
            <v>506733</v>
          </cell>
          <cell r="H110">
            <v>506733</v>
          </cell>
          <cell r="I110">
            <v>506733</v>
          </cell>
          <cell r="J110">
            <v>506733</v>
          </cell>
          <cell r="K110">
            <v>506733</v>
          </cell>
          <cell r="L110">
            <v>506733</v>
          </cell>
          <cell r="M110">
            <v>506733</v>
          </cell>
          <cell r="N110">
            <v>506733</v>
          </cell>
          <cell r="O110">
            <v>506733</v>
          </cell>
          <cell r="P110">
            <v>506733</v>
          </cell>
          <cell r="Q110">
            <v>506733</v>
          </cell>
          <cell r="R110">
            <v>506733</v>
          </cell>
          <cell r="S110">
            <v>506733</v>
          </cell>
          <cell r="T110">
            <v>506733</v>
          </cell>
          <cell r="U110">
            <v>506733</v>
          </cell>
          <cell r="V110">
            <v>0</v>
          </cell>
          <cell r="W110">
            <v>0</v>
          </cell>
        </row>
        <row r="111">
          <cell r="B111" t="str">
            <v>OLLA NUMERO 40</v>
          </cell>
          <cell r="C111" t="str">
            <v>Dos (2) ollas No. 40, tapa metálica calibre mínimo 1,8 mm., con fondo difusor para distribuir el calor.</v>
          </cell>
          <cell r="D111" t="str">
            <v>Desgaste y uso mensual por unidad</v>
          </cell>
          <cell r="E111" t="str">
            <v xml:space="preserve"> I2023018072</v>
          </cell>
          <cell r="F111" t="str">
            <v>0</v>
          </cell>
          <cell r="G111">
            <v>49037</v>
          </cell>
          <cell r="H111">
            <v>49037</v>
          </cell>
          <cell r="I111">
            <v>49037</v>
          </cell>
          <cell r="J111">
            <v>49037</v>
          </cell>
          <cell r="K111">
            <v>49037</v>
          </cell>
          <cell r="L111">
            <v>49037</v>
          </cell>
          <cell r="M111">
            <v>49037</v>
          </cell>
          <cell r="N111">
            <v>49037</v>
          </cell>
          <cell r="O111">
            <v>49037</v>
          </cell>
          <cell r="P111">
            <v>49037</v>
          </cell>
          <cell r="Q111">
            <v>49037</v>
          </cell>
          <cell r="R111">
            <v>49037</v>
          </cell>
          <cell r="S111">
            <v>49037</v>
          </cell>
          <cell r="T111">
            <v>49037</v>
          </cell>
          <cell r="U111">
            <v>49037</v>
          </cell>
          <cell r="V111">
            <v>0</v>
          </cell>
          <cell r="W111">
            <v>0</v>
          </cell>
        </row>
        <row r="112">
          <cell r="B112" t="str">
            <v>OLLAS EN ALUMINIO NÚMERO 30 CON TAPA</v>
          </cell>
          <cell r="C112" t="str">
            <v>Ollas en aluminio número 30 con tapa</v>
          </cell>
          <cell r="D112" t="str">
            <v>Desgaste y uso mensual por unidad</v>
          </cell>
          <cell r="E112" t="str">
            <v>I2024004413</v>
          </cell>
          <cell r="F112" t="str">
            <v>0</v>
          </cell>
          <cell r="G112">
            <v>102514</v>
          </cell>
          <cell r="H112">
            <v>102514</v>
          </cell>
          <cell r="I112">
            <v>102514</v>
          </cell>
          <cell r="J112">
            <v>102514</v>
          </cell>
          <cell r="K112">
            <v>102514</v>
          </cell>
          <cell r="L112">
            <v>102514</v>
          </cell>
          <cell r="M112">
            <v>102514</v>
          </cell>
          <cell r="N112">
            <v>102514</v>
          </cell>
          <cell r="O112">
            <v>102514</v>
          </cell>
          <cell r="P112">
            <v>102514</v>
          </cell>
          <cell r="Q112">
            <v>102514</v>
          </cell>
          <cell r="R112">
            <v>102514</v>
          </cell>
          <cell r="S112">
            <v>102514</v>
          </cell>
          <cell r="T112">
            <v>102514</v>
          </cell>
          <cell r="U112">
            <v>102514</v>
          </cell>
          <cell r="V112">
            <v>0</v>
          </cell>
          <cell r="W112">
            <v>0</v>
          </cell>
        </row>
        <row r="113">
          <cell r="B113" t="str">
            <v>OLLAS EN ALUMINIO NÚMERO 36 CON TAPA</v>
          </cell>
          <cell r="C113" t="str">
            <v>Ollas en aluminio número 36 con tapa</v>
          </cell>
          <cell r="D113" t="str">
            <v>Desgaste y uso mensual por unidad</v>
          </cell>
          <cell r="E113" t="str">
            <v>I2024004413</v>
          </cell>
          <cell r="F113" t="str">
            <v>0</v>
          </cell>
          <cell r="G113">
            <v>199600</v>
          </cell>
          <cell r="H113">
            <v>199600</v>
          </cell>
          <cell r="I113">
            <v>199600</v>
          </cell>
          <cell r="J113">
            <v>199600</v>
          </cell>
          <cell r="K113">
            <v>199600</v>
          </cell>
          <cell r="L113">
            <v>199600</v>
          </cell>
          <cell r="M113">
            <v>199600</v>
          </cell>
          <cell r="N113">
            <v>199600</v>
          </cell>
          <cell r="O113">
            <v>199600</v>
          </cell>
          <cell r="P113">
            <v>199600</v>
          </cell>
          <cell r="Q113">
            <v>199600</v>
          </cell>
          <cell r="R113">
            <v>199600</v>
          </cell>
          <cell r="S113">
            <v>199600</v>
          </cell>
          <cell r="T113">
            <v>199600</v>
          </cell>
          <cell r="U113">
            <v>199600</v>
          </cell>
          <cell r="V113">
            <v>0</v>
          </cell>
          <cell r="W113">
            <v>0</v>
          </cell>
        </row>
        <row r="114">
          <cell r="B114" t="str">
            <v>OLLETA CHOCOLATERA EN METAL</v>
          </cell>
          <cell r="C114" t="str">
            <v xml:space="preserve"> chocolateras de 5 litros</v>
          </cell>
          <cell r="D114" t="str">
            <v>Desgaste y uso mensual por unidad</v>
          </cell>
          <cell r="E114" t="str">
            <v xml:space="preserve"> I2023018072</v>
          </cell>
          <cell r="F114" t="str">
            <v>0</v>
          </cell>
          <cell r="G114">
            <v>23967</v>
          </cell>
          <cell r="H114">
            <v>23967</v>
          </cell>
          <cell r="I114">
            <v>23967</v>
          </cell>
          <cell r="J114">
            <v>23967</v>
          </cell>
          <cell r="K114">
            <v>23967</v>
          </cell>
          <cell r="L114">
            <v>23967</v>
          </cell>
          <cell r="M114">
            <v>23967</v>
          </cell>
          <cell r="N114">
            <v>23967</v>
          </cell>
          <cell r="O114">
            <v>23967</v>
          </cell>
          <cell r="P114">
            <v>23967</v>
          </cell>
          <cell r="Q114">
            <v>23967</v>
          </cell>
          <cell r="R114">
            <v>23967</v>
          </cell>
          <cell r="S114">
            <v>23967</v>
          </cell>
          <cell r="T114">
            <v>23967</v>
          </cell>
          <cell r="U114">
            <v>23967</v>
          </cell>
          <cell r="V114">
            <v>0</v>
          </cell>
          <cell r="W114">
            <v>0</v>
          </cell>
        </row>
        <row r="115">
          <cell r="B115" t="str">
            <v>OLLETA CON TAPA DE DOS LITROS</v>
          </cell>
          <cell r="C115" t="str">
            <v>Olleta con tapa de dos litros</v>
          </cell>
          <cell r="D115" t="str">
            <v>Desgaste y uso mensual por unidad</v>
          </cell>
          <cell r="E115" t="str">
            <v>I2023004856</v>
          </cell>
          <cell r="F115">
            <v>44974</v>
          </cell>
          <cell r="G115">
            <v>57542</v>
          </cell>
          <cell r="H115">
            <v>58146</v>
          </cell>
          <cell r="I115">
            <v>58599</v>
          </cell>
          <cell r="J115">
            <v>58850</v>
          </cell>
          <cell r="K115">
            <v>59026</v>
          </cell>
          <cell r="L115">
            <v>59321</v>
          </cell>
          <cell r="M115">
            <v>59736</v>
          </cell>
          <cell r="N115">
            <v>60058</v>
          </cell>
          <cell r="O115">
            <v>60208</v>
          </cell>
          <cell r="P115">
            <v>60490</v>
          </cell>
          <cell r="Q115">
            <v>60762</v>
          </cell>
          <cell r="R115">
            <v>61321</v>
          </cell>
          <cell r="S115">
            <v>61989</v>
          </cell>
          <cell r="T115">
            <v>62422</v>
          </cell>
          <cell r="U115">
            <v>62790</v>
          </cell>
          <cell r="V115">
            <v>5248</v>
          </cell>
          <cell r="W115">
            <v>9.1202947412324917E-2</v>
          </cell>
        </row>
        <row r="116">
          <cell r="B116" t="str">
            <v>PAILAS</v>
          </cell>
          <cell r="C116" t="str">
            <v>Pailas en aluminio fundido mínimo de 46 cm</v>
          </cell>
          <cell r="D116" t="str">
            <v>Desgaste y uso mensual por unidad</v>
          </cell>
          <cell r="E116" t="str">
            <v>I2023004856</v>
          </cell>
          <cell r="F116">
            <v>44974</v>
          </cell>
          <cell r="G116">
            <v>60750</v>
          </cell>
          <cell r="H116">
            <v>61387</v>
          </cell>
          <cell r="I116">
            <v>61865</v>
          </cell>
          <cell r="J116">
            <v>62131</v>
          </cell>
          <cell r="K116">
            <v>62317</v>
          </cell>
          <cell r="L116">
            <v>62628</v>
          </cell>
          <cell r="M116">
            <v>63066</v>
          </cell>
          <cell r="N116">
            <v>63406</v>
          </cell>
          <cell r="O116">
            <v>63564</v>
          </cell>
          <cell r="P116">
            <v>63862</v>
          </cell>
          <cell r="Q116">
            <v>64149</v>
          </cell>
          <cell r="R116">
            <v>64739</v>
          </cell>
          <cell r="S116">
            <v>65444</v>
          </cell>
          <cell r="T116">
            <v>65902</v>
          </cell>
          <cell r="U116">
            <v>66290</v>
          </cell>
          <cell r="V116">
            <v>5540</v>
          </cell>
          <cell r="W116">
            <v>9.1193415637860084E-2</v>
          </cell>
        </row>
        <row r="117">
          <cell r="B117" t="str">
            <v>PELA PAPAS INDUSTRIAL.</v>
          </cell>
          <cell r="C117" t="str">
            <v>Pela papas industrial. Fabricación en acera inoxidable 304L, calibre 18. Capacidad 12 libras. Entrada para el agua. Salida del producto y salida de residuos. Abrasivo en la parte interna de la pela papa. Motor de 1 hp</v>
          </cell>
          <cell r="D117" t="str">
            <v>Desgaste y uso mensual por unidad</v>
          </cell>
          <cell r="E117" t="str">
            <v>I2023019873</v>
          </cell>
          <cell r="F117">
            <v>45117</v>
          </cell>
          <cell r="G117">
            <v>3668400</v>
          </cell>
          <cell r="H117">
            <v>3668400</v>
          </cell>
          <cell r="I117">
            <v>3668400</v>
          </cell>
          <cell r="J117">
            <v>3668400</v>
          </cell>
          <cell r="K117">
            <v>3668400</v>
          </cell>
          <cell r="L117">
            <v>3668400</v>
          </cell>
          <cell r="M117">
            <v>3694078</v>
          </cell>
          <cell r="N117">
            <v>3714026</v>
          </cell>
          <cell r="O117">
            <v>3723311</v>
          </cell>
          <cell r="P117">
            <v>3740810</v>
          </cell>
          <cell r="Q117">
            <v>3757643</v>
          </cell>
          <cell r="R117">
            <v>3792213</v>
          </cell>
          <cell r="S117">
            <v>3833548</v>
          </cell>
          <cell r="T117">
            <v>3860382</v>
          </cell>
          <cell r="U117">
            <v>3883158</v>
          </cell>
          <cell r="V117">
            <v>214758</v>
          </cell>
          <cell r="W117">
            <v>5.8542688910696764E-2</v>
          </cell>
        </row>
        <row r="118">
          <cell r="B118" t="str">
            <v>PERFORADORA</v>
          </cell>
          <cell r="C118" t="str">
            <v>Perforadora Industrial Promedio de Folios De 100</v>
          </cell>
          <cell r="D118" t="str">
            <v>Desgaste y uso mensual por unidad</v>
          </cell>
          <cell r="E118" t="str">
            <v>I2023015628</v>
          </cell>
          <cell r="F118">
            <v>45076</v>
          </cell>
          <cell r="G118">
            <v>299556</v>
          </cell>
          <cell r="H118">
            <v>299556</v>
          </cell>
          <cell r="I118">
            <v>299556</v>
          </cell>
          <cell r="J118">
            <v>299556</v>
          </cell>
          <cell r="K118">
            <v>300454</v>
          </cell>
          <cell r="L118">
            <v>301956</v>
          </cell>
          <cell r="M118">
            <v>304069</v>
          </cell>
          <cell r="N118">
            <v>305710</v>
          </cell>
          <cell r="O118">
            <v>306474</v>
          </cell>
          <cell r="P118">
            <v>307914</v>
          </cell>
          <cell r="Q118">
            <v>309299</v>
          </cell>
          <cell r="R118">
            <v>312144</v>
          </cell>
          <cell r="S118">
            <v>315546</v>
          </cell>
          <cell r="T118">
            <v>317754</v>
          </cell>
          <cell r="U118">
            <v>319628</v>
          </cell>
          <cell r="V118">
            <v>20072</v>
          </cell>
          <cell r="W118">
            <v>6.7005835302914984E-2</v>
          </cell>
        </row>
        <row r="119">
          <cell r="B119" t="str">
            <v>PINZA</v>
          </cell>
          <cell r="C119" t="str">
            <v>Pinza en acero inoxidable de mínimo 15 cm de largo, mango de acero inoxidable y punta dentada.</v>
          </cell>
          <cell r="D119" t="str">
            <v>Desgaste y uso mensual por unidad</v>
          </cell>
          <cell r="E119" t="str">
            <v>I2023004856</v>
          </cell>
          <cell r="F119">
            <v>44974</v>
          </cell>
          <cell r="G119">
            <v>14938</v>
          </cell>
          <cell r="H119">
            <v>15094</v>
          </cell>
          <cell r="I119">
            <v>15211</v>
          </cell>
          <cell r="J119">
            <v>15276</v>
          </cell>
          <cell r="K119">
            <v>15321</v>
          </cell>
          <cell r="L119">
            <v>15397</v>
          </cell>
          <cell r="M119">
            <v>15504</v>
          </cell>
          <cell r="N119">
            <v>15587</v>
          </cell>
          <cell r="O119">
            <v>15625</v>
          </cell>
          <cell r="P119">
            <v>15698</v>
          </cell>
          <cell r="Q119">
            <v>15768</v>
          </cell>
          <cell r="R119">
            <v>15913</v>
          </cell>
          <cell r="S119">
            <v>16086</v>
          </cell>
          <cell r="T119">
            <v>16198</v>
          </cell>
          <cell r="U119">
            <v>16293</v>
          </cell>
          <cell r="V119">
            <v>1355</v>
          </cell>
          <cell r="W119">
            <v>9.0708260811353594E-2</v>
          </cell>
        </row>
        <row r="120">
          <cell r="B120" t="str">
            <v>PLATOS</v>
          </cell>
          <cell r="C120" t="str">
            <v>Plato pando material higiénico sanitario para seco de mínimo 24 cm
Plato hondo material higiénico sanitario para sopa de mínimo 18cm
Plato para postre en material higiénico sanitario de mínimo 10 cm.
No se permiten materiales como acero inoxidable, metal, aluminio o desechable.</v>
          </cell>
          <cell r="D120" t="str">
            <v>Desgaste y uso mensual por unidad</v>
          </cell>
          <cell r="E120" t="str">
            <v>I2023004856</v>
          </cell>
          <cell r="F120">
            <v>44974</v>
          </cell>
          <cell r="G120">
            <v>28259</v>
          </cell>
          <cell r="H120">
            <v>28555</v>
          </cell>
          <cell r="I120">
            <v>28777</v>
          </cell>
          <cell r="J120">
            <v>28900</v>
          </cell>
          <cell r="K120">
            <v>28986</v>
          </cell>
          <cell r="L120">
            <v>29130</v>
          </cell>
          <cell r="M120">
            <v>29333</v>
          </cell>
          <cell r="N120">
            <v>29491</v>
          </cell>
          <cell r="O120">
            <v>29564</v>
          </cell>
          <cell r="P120">
            <v>29702</v>
          </cell>
          <cell r="Q120">
            <v>29835</v>
          </cell>
          <cell r="R120">
            <v>30109</v>
          </cell>
          <cell r="S120">
            <v>30437</v>
          </cell>
          <cell r="T120">
            <v>30650</v>
          </cell>
          <cell r="U120">
            <v>30830</v>
          </cell>
          <cell r="V120">
            <v>2571</v>
          </cell>
          <cell r="W120">
            <v>9.097986482182667E-2</v>
          </cell>
        </row>
        <row r="121">
          <cell r="B121" t="str">
            <v>POCILLO CHOCOLATERO</v>
          </cell>
          <cell r="C121" t="str">
            <v xml:space="preserve">pocillos chocolateros en material polipropileno, con capacidad mínima de 200 ml. </v>
          </cell>
          <cell r="D121" t="str">
            <v>Desgaste y uso mensual por unidad</v>
          </cell>
          <cell r="E121" t="str">
            <v>I2023018072</v>
          </cell>
          <cell r="F121">
            <v>45100</v>
          </cell>
          <cell r="G121">
            <v>1899</v>
          </cell>
          <cell r="H121">
            <v>1899</v>
          </cell>
          <cell r="I121">
            <v>1899</v>
          </cell>
          <cell r="J121">
            <v>1899</v>
          </cell>
          <cell r="K121">
            <v>1899</v>
          </cell>
          <cell r="L121">
            <v>1908</v>
          </cell>
          <cell r="M121">
            <v>1921</v>
          </cell>
          <cell r="N121">
            <v>1931</v>
          </cell>
          <cell r="O121">
            <v>1935</v>
          </cell>
          <cell r="P121">
            <v>1944</v>
          </cell>
          <cell r="Q121">
            <v>1952</v>
          </cell>
          <cell r="R121">
            <v>1969</v>
          </cell>
          <cell r="S121">
            <v>1990</v>
          </cell>
          <cell r="T121">
            <v>2003</v>
          </cell>
          <cell r="U121">
            <v>2014</v>
          </cell>
          <cell r="V121">
            <v>115</v>
          </cell>
          <cell r="W121">
            <v>6.055818852027383E-2</v>
          </cell>
        </row>
        <row r="122">
          <cell r="B122" t="str">
            <v>PONCHERAS</v>
          </cell>
          <cell r="C122" t="str">
            <v xml:space="preserve"> poncheras plásticas de 35 cm. de diámetro con capacidad de 4.5 a 5.5 lts. Con tapa – circulare</v>
          </cell>
          <cell r="D122" t="str">
            <v>Desgaste y uso mensual por unidad</v>
          </cell>
          <cell r="E122" t="str">
            <v>I2023018072</v>
          </cell>
          <cell r="F122">
            <v>45100</v>
          </cell>
          <cell r="G122">
            <v>13568</v>
          </cell>
          <cell r="H122">
            <v>13568</v>
          </cell>
          <cell r="I122">
            <v>13568</v>
          </cell>
          <cell r="J122">
            <v>13568</v>
          </cell>
          <cell r="K122">
            <v>13568</v>
          </cell>
          <cell r="L122">
            <v>13635</v>
          </cell>
          <cell r="M122">
            <v>13730</v>
          </cell>
          <cell r="N122">
            <v>13804</v>
          </cell>
          <cell r="O122">
            <v>13838</v>
          </cell>
          <cell r="P122">
            <v>13903</v>
          </cell>
          <cell r="Q122">
            <v>13965</v>
          </cell>
          <cell r="R122">
            <v>14093</v>
          </cell>
          <cell r="S122">
            <v>14246</v>
          </cell>
          <cell r="T122">
            <v>14345</v>
          </cell>
          <cell r="U122">
            <v>14429</v>
          </cell>
          <cell r="V122">
            <v>861</v>
          </cell>
          <cell r="W122">
            <v>6.3458136792452824E-2</v>
          </cell>
        </row>
        <row r="123">
          <cell r="B123" t="str">
            <v>PUESTO DE TRABAJO- ESCRITORIO</v>
          </cell>
          <cell r="C123" t="str">
            <v>Mesa para el equipo de cómputo de la oficina administrativa y de coordinación.
ALTO 73cm, ANCHO150 cm, PROFUNDIDAD 60 cm
ANCHO MÉNIMO ENTRE PEDESTAL Y ARCHIVADOR
101cm, ANCHO DEL PEDESTAL 52 cm</v>
          </cell>
          <cell r="D123" t="str">
            <v>Desgaste y uso mensual por unidad</v>
          </cell>
          <cell r="E123" t="str">
            <v>I2024004413</v>
          </cell>
          <cell r="F123" t="str">
            <v>0</v>
          </cell>
          <cell r="G123">
            <v>483770</v>
          </cell>
          <cell r="H123">
            <v>483770</v>
          </cell>
          <cell r="I123">
            <v>483770</v>
          </cell>
          <cell r="J123">
            <v>483770</v>
          </cell>
          <cell r="K123">
            <v>483770</v>
          </cell>
          <cell r="L123">
            <v>483770</v>
          </cell>
          <cell r="M123">
            <v>483770</v>
          </cell>
          <cell r="N123">
            <v>483770</v>
          </cell>
          <cell r="O123">
            <v>483770</v>
          </cell>
          <cell r="P123">
            <v>483770</v>
          </cell>
          <cell r="Q123">
            <v>483770</v>
          </cell>
          <cell r="R123">
            <v>483770</v>
          </cell>
          <cell r="S123">
            <v>483770</v>
          </cell>
          <cell r="T123">
            <v>483770</v>
          </cell>
          <cell r="U123">
            <v>483770</v>
          </cell>
          <cell r="V123">
            <v>0</v>
          </cell>
          <cell r="W123">
            <v>0</v>
          </cell>
        </row>
        <row r="124">
          <cell r="B124" t="str">
            <v>PULSIOXÍMETRO CON SPO2</v>
          </cell>
          <cell r="C124" t="str">
            <v>Pulsioxímetro con SpO2, PR y las medidas de fuerza del pulso interfaz de un solo botón, apagado automático. Pilas comunes AAA alcalinas          o          pilas
recargables de soporte de 3 horas continuas de trabajo</v>
          </cell>
          <cell r="D124" t="str">
            <v>Desgaste y uso mensual por unidad</v>
          </cell>
          <cell r="E124" t="str">
            <v>I2023031433</v>
          </cell>
          <cell r="F124">
            <v>45212</v>
          </cell>
          <cell r="G124">
            <v>111750</v>
          </cell>
          <cell r="H124">
            <v>111750</v>
          </cell>
          <cell r="I124">
            <v>111750</v>
          </cell>
          <cell r="J124">
            <v>111750</v>
          </cell>
          <cell r="K124">
            <v>111750</v>
          </cell>
          <cell r="L124">
            <v>111750</v>
          </cell>
          <cell r="M124">
            <v>111750</v>
          </cell>
          <cell r="N124">
            <v>111750</v>
          </cell>
          <cell r="O124">
            <v>111750</v>
          </cell>
          <cell r="P124">
            <v>112275</v>
          </cell>
          <cell r="Q124">
            <v>112780</v>
          </cell>
          <cell r="R124">
            <v>113817</v>
          </cell>
          <cell r="S124">
            <v>115057</v>
          </cell>
          <cell r="T124">
            <v>115862</v>
          </cell>
          <cell r="U124">
            <v>116545</v>
          </cell>
          <cell r="V124">
            <v>4795</v>
          </cell>
          <cell r="W124">
            <v>4.2908277404921702E-2</v>
          </cell>
        </row>
        <row r="125">
          <cell r="B125" t="str">
            <v>PUNTO ECOLÓGICO COMPLETO</v>
          </cell>
          <cell r="C125" t="str">
            <v>Punto ecologico con base metalica, y panel superior para identificar tipo de residuos de dos puestos para contenedores Blanco y negro  de plástico con capacidad de 40 litros. tapa tipo vaiven. con canecas blanco y negro</v>
          </cell>
          <cell r="D125" t="str">
            <v>Unidad</v>
          </cell>
          <cell r="E125" t="str">
            <v>I2024014734</v>
          </cell>
          <cell r="F125" t="str">
            <v>0</v>
          </cell>
          <cell r="G125">
            <v>339849</v>
          </cell>
          <cell r="H125">
            <v>339849</v>
          </cell>
          <cell r="I125">
            <v>339849</v>
          </cell>
          <cell r="J125">
            <v>339849</v>
          </cell>
          <cell r="K125">
            <v>339849</v>
          </cell>
          <cell r="L125">
            <v>339849</v>
          </cell>
          <cell r="M125">
            <v>339849</v>
          </cell>
          <cell r="N125">
            <v>339849</v>
          </cell>
          <cell r="O125">
            <v>339849</v>
          </cell>
          <cell r="P125">
            <v>339849</v>
          </cell>
          <cell r="Q125">
            <v>339849</v>
          </cell>
          <cell r="R125">
            <v>339849</v>
          </cell>
          <cell r="S125">
            <v>339849</v>
          </cell>
          <cell r="T125">
            <v>339849</v>
          </cell>
          <cell r="U125">
            <v>339849</v>
          </cell>
          <cell r="V125">
            <v>0</v>
          </cell>
          <cell r="W125">
            <v>0</v>
          </cell>
        </row>
        <row r="126">
          <cell r="B126" t="str">
            <v>RALLADOR</v>
          </cell>
          <cell r="C126" t="str">
            <v>ralladores en acero inoxidable de 4 caras, con base de 9.5 x 12.5 cm. y 22 cm. de altura aproximadamente. Con material de fácil limpieza y desinfección.</v>
          </cell>
          <cell r="D126" t="str">
            <v>Desgaste y uso mensual por unidad</v>
          </cell>
          <cell r="E126" t="str">
            <v>I2023018072</v>
          </cell>
          <cell r="F126">
            <v>45100</v>
          </cell>
          <cell r="G126">
            <v>15610</v>
          </cell>
          <cell r="H126">
            <v>15610</v>
          </cell>
          <cell r="I126">
            <v>15610</v>
          </cell>
          <cell r="J126">
            <v>15610</v>
          </cell>
          <cell r="K126">
            <v>15610</v>
          </cell>
          <cell r="L126">
            <v>15688</v>
          </cell>
          <cell r="M126">
            <v>15797</v>
          </cell>
          <cell r="N126">
            <v>15882</v>
          </cell>
          <cell r="O126">
            <v>15921</v>
          </cell>
          <cell r="P126">
            <v>15995</v>
          </cell>
          <cell r="Q126">
            <v>16066</v>
          </cell>
          <cell r="R126">
            <v>16213</v>
          </cell>
          <cell r="S126">
            <v>16389</v>
          </cell>
          <cell r="T126">
            <v>16503</v>
          </cell>
          <cell r="U126">
            <v>16600</v>
          </cell>
          <cell r="V126">
            <v>990</v>
          </cell>
          <cell r="W126">
            <v>6.3420884048686746E-2</v>
          </cell>
        </row>
        <row r="127">
          <cell r="B127" t="str">
            <v xml:space="preserve">RECIPIENTE EN PLÁSTICO PARA ALMACENAR </v>
          </cell>
          <cell r="C127" t="str">
            <v xml:space="preserve"> recipientes de almacenamiento plásticos con tapa de alta resistencia,
capacidad de 3 lts.</v>
          </cell>
          <cell r="D127" t="str">
            <v>Desgaste y uso mensual por unidad</v>
          </cell>
          <cell r="E127" t="str">
            <v>I2023004856</v>
          </cell>
          <cell r="F127">
            <v>44974</v>
          </cell>
          <cell r="G127">
            <v>25509</v>
          </cell>
          <cell r="H127">
            <v>25776</v>
          </cell>
          <cell r="I127">
            <v>25977</v>
          </cell>
          <cell r="J127">
            <v>26088</v>
          </cell>
          <cell r="K127">
            <v>26166</v>
          </cell>
          <cell r="L127">
            <v>26296</v>
          </cell>
          <cell r="M127">
            <v>26480</v>
          </cell>
          <cell r="N127">
            <v>26622</v>
          </cell>
          <cell r="O127">
            <v>26688</v>
          </cell>
          <cell r="P127">
            <v>26813</v>
          </cell>
          <cell r="Q127">
            <v>26933</v>
          </cell>
          <cell r="R127">
            <v>27180</v>
          </cell>
          <cell r="S127">
            <v>27476</v>
          </cell>
          <cell r="T127">
            <v>27668</v>
          </cell>
          <cell r="U127">
            <v>27831</v>
          </cell>
          <cell r="V127">
            <v>2322</v>
          </cell>
          <cell r="W127">
            <v>9.1026696460072914E-2</v>
          </cell>
        </row>
        <row r="128">
          <cell r="B128" t="str">
            <v>RECIPIENTE EN PLÁSTICO PARA DESINFECCIÓN DEL FRUVER</v>
          </cell>
          <cell r="C128" t="str">
            <v>Recipiente en plástico para desinfección del fruver, con capacidad de 10 litros.</v>
          </cell>
          <cell r="D128" t="str">
            <v>Desgaste y uso mensual por unidad</v>
          </cell>
          <cell r="E128" t="str">
            <v>I2023004856</v>
          </cell>
          <cell r="F128">
            <v>44974</v>
          </cell>
          <cell r="G128">
            <v>35918</v>
          </cell>
          <cell r="H128">
            <v>36295</v>
          </cell>
          <cell r="I128">
            <v>36578</v>
          </cell>
          <cell r="J128">
            <v>36735</v>
          </cell>
          <cell r="K128">
            <v>36845</v>
          </cell>
          <cell r="L128">
            <v>37029</v>
          </cell>
          <cell r="M128">
            <v>37288</v>
          </cell>
          <cell r="N128">
            <v>37489</v>
          </cell>
          <cell r="O128">
            <v>37582</v>
          </cell>
          <cell r="P128">
            <v>37758</v>
          </cell>
          <cell r="Q128">
            <v>37927</v>
          </cell>
          <cell r="R128">
            <v>38275</v>
          </cell>
          <cell r="S128">
            <v>38692</v>
          </cell>
          <cell r="T128">
            <v>38962</v>
          </cell>
          <cell r="U128">
            <v>39191</v>
          </cell>
          <cell r="V128">
            <v>3273</v>
          </cell>
          <cell r="W128">
            <v>9.1124227406871205E-2</v>
          </cell>
        </row>
        <row r="129">
          <cell r="B129" t="str">
            <v xml:space="preserve">RECIPIENTE GUARDIAN </v>
          </cell>
          <cell r="C129" t="str">
            <v>Recipiente guardián desechos cortopunzantes</v>
          </cell>
          <cell r="D129" t="str">
            <v>Desgaste y uso mensual por unidad</v>
          </cell>
          <cell r="E129" t="str">
            <v>I2023031801</v>
          </cell>
          <cell r="F129">
            <v>45212</v>
          </cell>
          <cell r="G129">
            <v>9725</v>
          </cell>
          <cell r="H129">
            <v>9725</v>
          </cell>
          <cell r="I129">
            <v>9725</v>
          </cell>
          <cell r="J129">
            <v>9725</v>
          </cell>
          <cell r="K129">
            <v>9725</v>
          </cell>
          <cell r="L129">
            <v>9725</v>
          </cell>
          <cell r="M129">
            <v>9725</v>
          </cell>
          <cell r="N129">
            <v>9725</v>
          </cell>
          <cell r="O129">
            <v>9725</v>
          </cell>
          <cell r="P129">
            <v>9770</v>
          </cell>
          <cell r="Q129">
            <v>9813</v>
          </cell>
          <cell r="R129">
            <v>9903</v>
          </cell>
          <cell r="S129">
            <v>10010</v>
          </cell>
          <cell r="T129">
            <v>10080</v>
          </cell>
          <cell r="U129">
            <v>10139</v>
          </cell>
          <cell r="V129">
            <v>414</v>
          </cell>
          <cell r="W129">
            <v>4.2570694087403597E-2</v>
          </cell>
        </row>
        <row r="130">
          <cell r="B130" t="str">
            <v>RECIPIENTE PLÁSTICO PARA ENSALADAS CON TAPA</v>
          </cell>
          <cell r="C130" t="str">
            <v>Recipiente plástico para ensaladas con tapa de 8 libras</v>
          </cell>
          <cell r="D130" t="str">
            <v>Desgaste y uso mensual por unidad</v>
          </cell>
          <cell r="E130" t="str">
            <v>I2023004856</v>
          </cell>
          <cell r="F130">
            <v>44974</v>
          </cell>
          <cell r="G130">
            <v>35928</v>
          </cell>
          <cell r="H130">
            <v>36305</v>
          </cell>
          <cell r="I130">
            <v>36588</v>
          </cell>
          <cell r="J130">
            <v>36745</v>
          </cell>
          <cell r="K130">
            <v>36855</v>
          </cell>
          <cell r="L130">
            <v>37039</v>
          </cell>
          <cell r="M130">
            <v>37298</v>
          </cell>
          <cell r="N130">
            <v>37499</v>
          </cell>
          <cell r="O130">
            <v>37592</v>
          </cell>
          <cell r="P130">
            <v>37768</v>
          </cell>
          <cell r="Q130">
            <v>37937</v>
          </cell>
          <cell r="R130">
            <v>38286</v>
          </cell>
          <cell r="S130">
            <v>38703</v>
          </cell>
          <cell r="T130">
            <v>38973</v>
          </cell>
          <cell r="U130">
            <v>39202</v>
          </cell>
          <cell r="V130">
            <v>3274</v>
          </cell>
          <cell r="W130">
            <v>9.1126697840124699E-2</v>
          </cell>
        </row>
        <row r="131">
          <cell r="B131" t="str">
            <v>RECIPIENTES METÁLICOS</v>
          </cell>
          <cell r="C131" t="str">
            <v xml:space="preserve">Recipientes metálicos en acero inoxidable para postre. </v>
          </cell>
          <cell r="D131" t="str">
            <v>Desgaste y uso mensual por unidad</v>
          </cell>
          <cell r="E131" t="str">
            <v>I2023018072</v>
          </cell>
          <cell r="F131">
            <v>45100</v>
          </cell>
          <cell r="G131">
            <v>8811</v>
          </cell>
          <cell r="H131">
            <v>8811</v>
          </cell>
          <cell r="I131">
            <v>8811</v>
          </cell>
          <cell r="J131">
            <v>8811</v>
          </cell>
          <cell r="K131">
            <v>8811</v>
          </cell>
          <cell r="L131">
            <v>8855</v>
          </cell>
          <cell r="M131">
            <v>8916</v>
          </cell>
          <cell r="N131">
            <v>8964</v>
          </cell>
          <cell r="O131">
            <v>8986</v>
          </cell>
          <cell r="P131">
            <v>9028</v>
          </cell>
          <cell r="Q131">
            <v>9068</v>
          </cell>
          <cell r="R131">
            <v>9151</v>
          </cell>
          <cell r="S131">
            <v>9250</v>
          </cell>
          <cell r="T131">
            <v>9314</v>
          </cell>
          <cell r="U131">
            <v>9368</v>
          </cell>
          <cell r="V131">
            <v>557</v>
          </cell>
          <cell r="W131">
            <v>6.3216434002950864E-2</v>
          </cell>
        </row>
        <row r="132">
          <cell r="B132" t="str">
            <v>REFRIGERADOR INDUSTRIAL</v>
          </cell>
          <cell r="C132" t="str">
            <v>Refrigerador industrial de un cuerpo con una puerta en acero inoxidable, capacidad entre 23 a 26 pies cúbicos. 
Cuerpo exterior en acero inoxidable calibre 18 o 20, interior en acero inoxidable. Paredes inyectadas en poliuretano a 
una densidad de 35 kgs metro cúbico. 3 parrillas o entrepaños removibles, luz interior. Control digital y sistema de 
monitoreo que mantenga optima temperatura para rápida reacción a cambios de temperatura, montada sobre 
rodachinas, voltaje 115v, consumo en amperios entre 3 a 4.5 amperios, dimensiones: frente 75 cm, fondo 82 cm, 
alto entre 188 cm. El refrigerador debe contar con sello energy star (consumo eficiente de energía).</v>
          </cell>
          <cell r="D132" t="str">
            <v>Desgaste y uso mensual por unidad</v>
          </cell>
          <cell r="E132" t="str">
            <v>I2023018072</v>
          </cell>
          <cell r="F132">
            <v>45100</v>
          </cell>
          <cell r="G132">
            <v>9327325</v>
          </cell>
          <cell r="H132">
            <v>9327325</v>
          </cell>
          <cell r="I132">
            <v>9327325</v>
          </cell>
          <cell r="J132">
            <v>9327325</v>
          </cell>
          <cell r="K132">
            <v>9327325</v>
          </cell>
          <cell r="L132">
            <v>9373961</v>
          </cell>
          <cell r="M132">
            <v>9439578</v>
          </cell>
          <cell r="N132">
            <v>9490551</v>
          </cell>
          <cell r="O132">
            <v>9514277</v>
          </cell>
          <cell r="P132">
            <v>9558994</v>
          </cell>
          <cell r="Q132">
            <v>9602009</v>
          </cell>
          <cell r="R132">
            <v>9690347</v>
          </cell>
          <cell r="S132">
            <v>9795971</v>
          </cell>
          <cell r="T132">
            <v>9864542</v>
          </cell>
          <cell r="U132">
            <v>9922742</v>
          </cell>
          <cell r="V132">
            <v>595417</v>
          </cell>
          <cell r="W132">
            <v>6.3835772850200895E-2</v>
          </cell>
        </row>
        <row r="133">
          <cell r="B133" t="str">
            <v>REPRODUCTOR DVD</v>
          </cell>
          <cell r="C133" t="str">
            <v>Reproductor de DVD, puertos USB, hdmi, full HD.</v>
          </cell>
          <cell r="D133" t="str">
            <v>Desgaste y uso mensual por unidad</v>
          </cell>
          <cell r="E133" t="str">
            <v>I2023019873</v>
          </cell>
          <cell r="F133">
            <v>45117</v>
          </cell>
          <cell r="G133">
            <v>445060</v>
          </cell>
          <cell r="H133">
            <v>445060</v>
          </cell>
          <cell r="I133">
            <v>445060</v>
          </cell>
          <cell r="J133">
            <v>445060</v>
          </cell>
          <cell r="K133">
            <v>445060</v>
          </cell>
          <cell r="L133">
            <v>445060</v>
          </cell>
          <cell r="M133">
            <v>448175</v>
          </cell>
          <cell r="N133">
            <v>450595</v>
          </cell>
          <cell r="O133">
            <v>451721</v>
          </cell>
          <cell r="P133">
            <v>453844</v>
          </cell>
          <cell r="Q133">
            <v>455886</v>
          </cell>
          <cell r="R133">
            <v>460080</v>
          </cell>
          <cell r="S133">
            <v>465094</v>
          </cell>
          <cell r="T133">
            <v>468349</v>
          </cell>
          <cell r="U133">
            <v>471112</v>
          </cell>
          <cell r="V133">
            <v>26052</v>
          </cell>
          <cell r="W133">
            <v>5.8535927740079992E-2</v>
          </cell>
        </row>
        <row r="134">
          <cell r="B134" t="str">
            <v>SACA GANCHOS</v>
          </cell>
          <cell r="C134" t="str">
            <v>Saca ganchos metálico</v>
          </cell>
          <cell r="D134" t="str">
            <v>Desgaste y uso mensual por unidad</v>
          </cell>
          <cell r="E134" t="str">
            <v>I2023004856</v>
          </cell>
          <cell r="F134">
            <v>44974</v>
          </cell>
          <cell r="G134">
            <v>5142</v>
          </cell>
          <cell r="H134">
            <v>5195</v>
          </cell>
          <cell r="I134">
            <v>5235</v>
          </cell>
          <cell r="J134">
            <v>5257</v>
          </cell>
          <cell r="K134">
            <v>5272</v>
          </cell>
          <cell r="L134">
            <v>5298</v>
          </cell>
          <cell r="M134">
            <v>5335</v>
          </cell>
          <cell r="N134">
            <v>5363</v>
          </cell>
          <cell r="O134">
            <v>5376</v>
          </cell>
          <cell r="P134">
            <v>5401</v>
          </cell>
          <cell r="Q134">
            <v>5425</v>
          </cell>
          <cell r="R134">
            <v>5474</v>
          </cell>
          <cell r="S134">
            <v>5533</v>
          </cell>
          <cell r="T134">
            <v>5571</v>
          </cell>
          <cell r="U134">
            <v>5603</v>
          </cell>
          <cell r="V134">
            <v>461</v>
          </cell>
          <cell r="W134">
            <v>8.9653831194087902E-2</v>
          </cell>
        </row>
        <row r="135">
          <cell r="B135" t="str">
            <v>SECADORA</v>
          </cell>
          <cell r="C135" t="str">
            <v>Secadoras en buen estado de mantenimiento con capacidad de garantizar la correcta limpieza de la totalidad del vestuario y lencería en la periodicidad requerida con capacidad mínima de 10 kg entre los equipos requeridos.</v>
          </cell>
          <cell r="D135" t="str">
            <v>Desgaste y uso mensual por unidad</v>
          </cell>
          <cell r="E135" t="str">
            <v>I2023004856</v>
          </cell>
          <cell r="F135">
            <v>44974</v>
          </cell>
          <cell r="G135">
            <v>4103120</v>
          </cell>
          <cell r="H135">
            <v>4146202</v>
          </cell>
          <cell r="I135">
            <v>4178542</v>
          </cell>
          <cell r="J135">
            <v>4196509</v>
          </cell>
          <cell r="K135">
            <v>4209098</v>
          </cell>
          <cell r="L135">
            <v>4230143</v>
          </cell>
          <cell r="M135">
            <v>4259754</v>
          </cell>
          <cell r="N135">
            <v>4282756</v>
          </cell>
          <cell r="O135">
            <v>4293462</v>
          </cell>
          <cell r="P135">
            <v>4313641</v>
          </cell>
          <cell r="Q135">
            <v>4333052</v>
          </cell>
          <cell r="R135">
            <v>4372916</v>
          </cell>
          <cell r="S135">
            <v>4420580</v>
          </cell>
          <cell r="T135">
            <v>4451524</v>
          </cell>
          <cell r="U135">
            <v>4477787</v>
          </cell>
          <cell r="V135">
            <v>374667</v>
          </cell>
          <cell r="W135">
            <v>9.1312708378014779E-2</v>
          </cell>
        </row>
        <row r="136">
          <cell r="B136" t="str">
            <v xml:space="preserve">SET DE CUCHARAS MEDIDORAS </v>
          </cell>
          <cell r="C136" t="str">
            <v>Un (1) set de cinco (5) cucharas medidoras en plástico resistente a temperaturas 
altas no deformables, 1/8 de copa – 30 ml, ¼ de copa – 60 ml., 1/3 de copa – 80 
ml., media taza – 125 ml., 1 taza – 250 ml</v>
          </cell>
          <cell r="D136" t="str">
            <v>Desgaste y uso mensual por unidad</v>
          </cell>
          <cell r="E136" t="str">
            <v>I2023004856</v>
          </cell>
          <cell r="F136">
            <v>44974</v>
          </cell>
          <cell r="G136">
            <v>36101</v>
          </cell>
          <cell r="H136">
            <v>36480</v>
          </cell>
          <cell r="I136">
            <v>36764</v>
          </cell>
          <cell r="J136">
            <v>36922</v>
          </cell>
          <cell r="K136">
            <v>37032</v>
          </cell>
          <cell r="L136">
            <v>37217</v>
          </cell>
          <cell r="M136">
            <v>37477</v>
          </cell>
          <cell r="N136">
            <v>37679</v>
          </cell>
          <cell r="O136">
            <v>37773</v>
          </cell>
          <cell r="P136">
            <v>37950</v>
          </cell>
          <cell r="Q136">
            <v>38120</v>
          </cell>
          <cell r="R136">
            <v>38470</v>
          </cell>
          <cell r="S136">
            <v>38889</v>
          </cell>
          <cell r="T136">
            <v>39161</v>
          </cell>
          <cell r="U136">
            <v>39392</v>
          </cell>
          <cell r="V136">
            <v>3291</v>
          </cell>
          <cell r="W136">
            <v>9.1160909670092244E-2</v>
          </cell>
        </row>
        <row r="137">
          <cell r="B137" t="str">
            <v xml:space="preserve">SILLAS </v>
          </cell>
          <cell r="C137" t="str">
            <v>En material plástico con espaldar y brazos.</v>
          </cell>
          <cell r="D137" t="str">
            <v>Desgaste y uso mensual por unidad</v>
          </cell>
          <cell r="E137" t="str">
            <v>I2023018072</v>
          </cell>
          <cell r="F137">
            <v>45100</v>
          </cell>
          <cell r="G137">
            <v>31883</v>
          </cell>
          <cell r="H137">
            <v>31883</v>
          </cell>
          <cell r="I137">
            <v>31883</v>
          </cell>
          <cell r="J137">
            <v>31883</v>
          </cell>
          <cell r="K137">
            <v>31883</v>
          </cell>
          <cell r="L137">
            <v>32042</v>
          </cell>
          <cell r="M137">
            <v>32266</v>
          </cell>
          <cell r="N137">
            <v>32440</v>
          </cell>
          <cell r="O137">
            <v>32521</v>
          </cell>
          <cell r="P137">
            <v>32673</v>
          </cell>
          <cell r="Q137">
            <v>32820</v>
          </cell>
          <cell r="R137">
            <v>33121</v>
          </cell>
          <cell r="S137">
            <v>33482</v>
          </cell>
          <cell r="T137">
            <v>33716</v>
          </cell>
          <cell r="U137">
            <v>33914</v>
          </cell>
          <cell r="V137">
            <v>2031</v>
          </cell>
          <cell r="W137">
            <v>6.3701659191418625E-2</v>
          </cell>
        </row>
        <row r="138">
          <cell r="B138" t="str">
            <v>SILLAS EN MATERIAL PLÁSTICO CON ESPALDAR BRAZOS</v>
          </cell>
          <cell r="C138" t="str">
            <v>Sillas en material plástico con espaldar</v>
          </cell>
          <cell r="D138" t="str">
            <v>Desgaste y uso mensual por unidad</v>
          </cell>
          <cell r="E138" t="str">
            <v>I2023004856</v>
          </cell>
          <cell r="F138">
            <v>44974</v>
          </cell>
          <cell r="G138">
            <v>49022</v>
          </cell>
          <cell r="H138">
            <v>49536</v>
          </cell>
          <cell r="I138">
            <v>49922</v>
          </cell>
          <cell r="J138">
            <v>50136</v>
          </cell>
          <cell r="K138">
            <v>50286</v>
          </cell>
          <cell r="L138">
            <v>50537</v>
          </cell>
          <cell r="M138">
            <v>50890</v>
          </cell>
          <cell r="N138">
            <v>51164</v>
          </cell>
          <cell r="O138">
            <v>51291</v>
          </cell>
          <cell r="P138">
            <v>51532</v>
          </cell>
          <cell r="Q138">
            <v>51763</v>
          </cell>
          <cell r="R138">
            <v>52239</v>
          </cell>
          <cell r="S138">
            <v>52808</v>
          </cell>
          <cell r="T138">
            <v>53177</v>
          </cell>
          <cell r="U138">
            <v>53490</v>
          </cell>
          <cell r="V138">
            <v>4468</v>
          </cell>
          <cell r="W138">
            <v>9.1142752233690991E-2</v>
          </cell>
        </row>
        <row r="139">
          <cell r="B139" t="str">
            <v>SILLAS PARA PUESTOS DE TRABAJO</v>
          </cell>
          <cell r="C139" t="str">
            <v xml:space="preserve"> Sillas ergonómicas ejecutivas tapizadas con brazos.</v>
          </cell>
          <cell r="D139" t="str">
            <v>Desgaste y uso mensual por unidad</v>
          </cell>
          <cell r="E139" t="str">
            <v>I2024004856</v>
          </cell>
          <cell r="F139" t="str">
            <v>0</v>
          </cell>
          <cell r="G139">
            <v>410110</v>
          </cell>
          <cell r="H139">
            <v>410110</v>
          </cell>
          <cell r="I139">
            <v>410110</v>
          </cell>
          <cell r="J139">
            <v>410110</v>
          </cell>
          <cell r="K139">
            <v>410110</v>
          </cell>
          <cell r="L139">
            <v>410110</v>
          </cell>
          <cell r="M139">
            <v>410110</v>
          </cell>
          <cell r="N139">
            <v>410110</v>
          </cell>
          <cell r="O139">
            <v>410110</v>
          </cell>
          <cell r="P139">
            <v>410110</v>
          </cell>
          <cell r="Q139">
            <v>410110</v>
          </cell>
          <cell r="R139">
            <v>410110</v>
          </cell>
          <cell r="S139">
            <v>410110</v>
          </cell>
          <cell r="T139">
            <v>410110</v>
          </cell>
          <cell r="U139">
            <v>410110</v>
          </cell>
          <cell r="V139">
            <v>0</v>
          </cell>
          <cell r="W139">
            <v>0</v>
          </cell>
        </row>
        <row r="140">
          <cell r="B140" t="str">
            <v>SILLAS PATO PARA ADULTO</v>
          </cell>
          <cell r="C140" t="str">
            <v>Sillas Pato para adulto</v>
          </cell>
          <cell r="D140" t="str">
            <v>Desgaste y uso mensual por unidad</v>
          </cell>
          <cell r="E140" t="str">
            <v>I2023019873</v>
          </cell>
          <cell r="F140">
            <v>45117</v>
          </cell>
          <cell r="G140">
            <v>444212</v>
          </cell>
          <cell r="H140">
            <v>444212</v>
          </cell>
          <cell r="I140">
            <v>444212</v>
          </cell>
          <cell r="J140">
            <v>444212</v>
          </cell>
          <cell r="K140">
            <v>444212</v>
          </cell>
          <cell r="L140">
            <v>444212</v>
          </cell>
          <cell r="M140">
            <v>447321</v>
          </cell>
          <cell r="N140">
            <v>449736</v>
          </cell>
          <cell r="O140">
            <v>450860</v>
          </cell>
          <cell r="P140">
            <v>452979</v>
          </cell>
          <cell r="Q140">
            <v>455017</v>
          </cell>
          <cell r="R140">
            <v>459203</v>
          </cell>
          <cell r="S140">
            <v>464208</v>
          </cell>
          <cell r="T140">
            <v>467457</v>
          </cell>
          <cell r="U140">
            <v>470214</v>
          </cell>
          <cell r="V140">
            <v>26002</v>
          </cell>
          <cell r="W140">
            <v>5.853511386455116E-2</v>
          </cell>
        </row>
        <row r="141">
          <cell r="B141" t="str">
            <v xml:space="preserve">TABLA PARA PICADO </v>
          </cell>
          <cell r="C141" t="str">
            <v xml:space="preserve">Juego de cinco (5) tablas acrílicas para picar en poliuretano de alta densidad, de 40 cm x 30 cm x 1.9 cm, color según uso: verde – frutas y verduras, amarilla – aves, blanca –productos cocidos, azul – pescado y roja – carnes. </v>
          </cell>
          <cell r="D141" t="str">
            <v>Desgaste y uso mensual por unidad</v>
          </cell>
          <cell r="E141" t="str">
            <v>I2023018072</v>
          </cell>
          <cell r="F141">
            <v>45100</v>
          </cell>
          <cell r="G141">
            <v>180417</v>
          </cell>
          <cell r="H141">
            <v>180417</v>
          </cell>
          <cell r="I141">
            <v>180417</v>
          </cell>
          <cell r="J141">
            <v>180417</v>
          </cell>
          <cell r="K141">
            <v>180417</v>
          </cell>
          <cell r="L141">
            <v>181319</v>
          </cell>
          <cell r="M141">
            <v>182588</v>
          </cell>
          <cell r="N141">
            <v>183573</v>
          </cell>
          <cell r="O141">
            <v>184031</v>
          </cell>
          <cell r="P141">
            <v>184895</v>
          </cell>
          <cell r="Q141">
            <v>185727</v>
          </cell>
          <cell r="R141">
            <v>187435</v>
          </cell>
          <cell r="S141">
            <v>189478</v>
          </cell>
          <cell r="T141">
            <v>190804</v>
          </cell>
          <cell r="U141">
            <v>191929</v>
          </cell>
          <cell r="V141">
            <v>11512</v>
          </cell>
          <cell r="W141">
            <v>6.3807734304416996E-2</v>
          </cell>
        </row>
        <row r="142">
          <cell r="B142" t="str">
            <v>TABLERO ACRILICO</v>
          </cell>
          <cell r="C142" t="str">
            <v>Tablero acrílico, elaborado en fórmica blanca. Incluye borrador y repisa portamarcadores. Medidas ancho 120 cm x alto 80 cm. Incluye los herrajes necesarios para colocar en la pared.</v>
          </cell>
          <cell r="D142" t="str">
            <v>Unidad</v>
          </cell>
          <cell r="E142" t="str">
            <v>I2023018072</v>
          </cell>
          <cell r="F142">
            <v>45100</v>
          </cell>
          <cell r="G142">
            <v>307967</v>
          </cell>
          <cell r="H142">
            <v>307967</v>
          </cell>
          <cell r="I142">
            <v>307967</v>
          </cell>
          <cell r="J142">
            <v>307967</v>
          </cell>
          <cell r="K142">
            <v>307967</v>
          </cell>
          <cell r="L142">
            <v>309506</v>
          </cell>
          <cell r="M142">
            <v>311672</v>
          </cell>
          <cell r="N142">
            <v>313355</v>
          </cell>
          <cell r="O142">
            <v>314138</v>
          </cell>
          <cell r="P142">
            <v>315614</v>
          </cell>
          <cell r="Q142">
            <v>317034</v>
          </cell>
          <cell r="R142">
            <v>319950</v>
          </cell>
          <cell r="S142">
            <v>323437</v>
          </cell>
          <cell r="T142">
            <v>325701</v>
          </cell>
          <cell r="U142">
            <v>327622</v>
          </cell>
          <cell r="V142">
            <v>19655</v>
          </cell>
          <cell r="W142">
            <v>6.3821773112054211E-2</v>
          </cell>
        </row>
        <row r="143">
          <cell r="B143" t="str">
            <v>TABLERO DE CORCHO</v>
          </cell>
          <cell r="C143" t="str">
            <v>Cartelera-Tablero corcho mínimo 60cm x 80cm</v>
          </cell>
          <cell r="D143" t="str">
            <v>Unidad</v>
          </cell>
          <cell r="E143" t="str">
            <v>I2023008278</v>
          </cell>
          <cell r="F143">
            <v>45002</v>
          </cell>
          <cell r="G143">
            <v>143813</v>
          </cell>
          <cell r="H143">
            <v>143813</v>
          </cell>
          <cell r="I143">
            <v>144934</v>
          </cell>
          <cell r="J143">
            <v>145557</v>
          </cell>
          <cell r="K143">
            <v>145993</v>
          </cell>
          <cell r="L143">
            <v>146722</v>
          </cell>
          <cell r="M143">
            <v>147749</v>
          </cell>
          <cell r="N143">
            <v>148546</v>
          </cell>
          <cell r="O143">
            <v>148917</v>
          </cell>
          <cell r="P143">
            <v>149616</v>
          </cell>
          <cell r="Q143">
            <v>150289</v>
          </cell>
          <cell r="R143">
            <v>151671</v>
          </cell>
          <cell r="S143">
            <v>153324</v>
          </cell>
          <cell r="T143">
            <v>154397</v>
          </cell>
          <cell r="U143">
            <v>155307</v>
          </cell>
          <cell r="V143">
            <v>11494</v>
          </cell>
          <cell r="W143">
            <v>7.992323364369007E-2</v>
          </cell>
        </row>
        <row r="144">
          <cell r="B144" t="str">
            <v>TALLÍMETRO</v>
          </cell>
          <cell r="C144" t="str">
            <v>Tallímetro análogo con base de plataforma.Escala de división de 1 mm.Rango de medición de 20 a 200 cm como mínimo. Escala de división con grabación a laser. Material de fabricación: ABS grado médico.Peso no superior a 3 kg. Sistema móvil o portátil para fácil transporte.Con indicador de nivel de burbuja para garantizar una correcta medición, con certificado de conformidad expedido por el país de origen</v>
          </cell>
          <cell r="D144" t="str">
            <v>Desgaste y uso mensual por unidad</v>
          </cell>
          <cell r="E144" t="str">
            <v>I2023031433</v>
          </cell>
          <cell r="F144">
            <v>45212</v>
          </cell>
          <cell r="G144">
            <v>98300</v>
          </cell>
          <cell r="H144">
            <v>98300</v>
          </cell>
          <cell r="I144">
            <v>98300</v>
          </cell>
          <cell r="J144">
            <v>98300</v>
          </cell>
          <cell r="K144">
            <v>98300</v>
          </cell>
          <cell r="L144">
            <v>98300</v>
          </cell>
          <cell r="M144">
            <v>98300</v>
          </cell>
          <cell r="N144">
            <v>98300</v>
          </cell>
          <cell r="O144">
            <v>98300</v>
          </cell>
          <cell r="P144">
            <v>98762</v>
          </cell>
          <cell r="Q144">
            <v>99206</v>
          </cell>
          <cell r="R144">
            <v>100118</v>
          </cell>
          <cell r="S144">
            <v>101209</v>
          </cell>
          <cell r="T144">
            <v>101917</v>
          </cell>
          <cell r="U144">
            <v>102518</v>
          </cell>
          <cell r="V144">
            <v>4218</v>
          </cell>
          <cell r="W144">
            <v>4.2909460834181075E-2</v>
          </cell>
        </row>
        <row r="145">
          <cell r="B145" t="str">
            <v>TANQUES</v>
          </cell>
          <cell r="C145" t="str">
            <v>tanque con tapa de 50 litros</v>
          </cell>
          <cell r="D145" t="str">
            <v>Desgaste y uso mensual por unidad</v>
          </cell>
          <cell r="E145" t="str">
            <v>I2023018072</v>
          </cell>
          <cell r="F145">
            <v>45100</v>
          </cell>
          <cell r="G145">
            <v>30449</v>
          </cell>
          <cell r="H145">
            <v>30449</v>
          </cell>
          <cell r="I145">
            <v>30449</v>
          </cell>
          <cell r="J145">
            <v>30449</v>
          </cell>
          <cell r="K145">
            <v>30449</v>
          </cell>
          <cell r="L145">
            <v>30601</v>
          </cell>
          <cell r="M145">
            <v>30815</v>
          </cell>
          <cell r="N145">
            <v>30981</v>
          </cell>
          <cell r="O145">
            <v>31058</v>
          </cell>
          <cell r="P145">
            <v>31203</v>
          </cell>
          <cell r="Q145">
            <v>31343</v>
          </cell>
          <cell r="R145">
            <v>31631</v>
          </cell>
          <cell r="S145">
            <v>31975</v>
          </cell>
          <cell r="T145">
            <v>32198</v>
          </cell>
          <cell r="U145">
            <v>32387</v>
          </cell>
          <cell r="V145">
            <v>1938</v>
          </cell>
          <cell r="W145">
            <v>6.3647410423987652E-2</v>
          </cell>
        </row>
        <row r="146">
          <cell r="B146" t="str">
            <v>TELEVISOR SMART TV</v>
          </cell>
          <cell r="C146" t="str">
            <v>Televisor SMART TV DE 60 pulgadas con TDT incorporada y acceso a internet.</v>
          </cell>
          <cell r="D146" t="str">
            <v>Desgaste y uso mensual por unidad</v>
          </cell>
          <cell r="E146" t="str">
            <v>I2023004856</v>
          </cell>
          <cell r="F146">
            <v>44974</v>
          </cell>
          <cell r="G146">
            <v>3318951</v>
          </cell>
          <cell r="H146">
            <v>3353799</v>
          </cell>
          <cell r="I146">
            <v>3379958</v>
          </cell>
          <cell r="J146">
            <v>3394491</v>
          </cell>
          <cell r="K146">
            <v>3404674</v>
          </cell>
          <cell r="L146">
            <v>3421697</v>
          </cell>
          <cell r="M146">
            <v>3445648</v>
          </cell>
          <cell r="N146">
            <v>3464254</v>
          </cell>
          <cell r="O146">
            <v>3472914</v>
          </cell>
          <cell r="P146">
            <v>3489236</v>
          </cell>
          <cell r="Q146">
            <v>3504937</v>
          </cell>
          <cell r="R146">
            <v>3537182</v>
          </cell>
          <cell r="S146">
            <v>3575737</v>
          </cell>
          <cell r="T146">
            <v>3600767</v>
          </cell>
          <cell r="U146">
            <v>3622011</v>
          </cell>
          <cell r="V146">
            <v>303060</v>
          </cell>
          <cell r="W146">
            <v>9.1311983816573364E-2</v>
          </cell>
        </row>
        <row r="147">
          <cell r="B147" t="str">
            <v>TELÓN PORTÁTIL O FIJO</v>
          </cell>
          <cell r="C147" t="str">
            <v>Telón Portátil o fijo</v>
          </cell>
          <cell r="D147" t="str">
            <v>Desgaste y uso mensual por unidad</v>
          </cell>
          <cell r="E147" t="str">
            <v>I2023004856</v>
          </cell>
          <cell r="F147">
            <v>44974</v>
          </cell>
          <cell r="G147">
            <v>214867</v>
          </cell>
          <cell r="H147">
            <v>217123</v>
          </cell>
          <cell r="I147">
            <v>218816</v>
          </cell>
          <cell r="J147">
            <v>219756</v>
          </cell>
          <cell r="K147">
            <v>220415</v>
          </cell>
          <cell r="L147">
            <v>221517</v>
          </cell>
          <cell r="M147">
            <v>223067</v>
          </cell>
          <cell r="N147">
            <v>224271</v>
          </cell>
          <cell r="O147">
            <v>224831</v>
          </cell>
          <cell r="P147">
            <v>225887</v>
          </cell>
          <cell r="Q147">
            <v>226903</v>
          </cell>
          <cell r="R147">
            <v>228990</v>
          </cell>
          <cell r="S147">
            <v>231485</v>
          </cell>
          <cell r="T147">
            <v>233105</v>
          </cell>
          <cell r="U147">
            <v>234480</v>
          </cell>
          <cell r="V147">
            <v>19613</v>
          </cell>
          <cell r="W147">
            <v>9.1279721874461872E-2</v>
          </cell>
        </row>
        <row r="148">
          <cell r="B148" t="str">
            <v>TENEDOR DE COCINA O TRINCHE</v>
          </cell>
          <cell r="C148" t="str">
            <v>tenedores de cocina con dos dientes – liso, en acero inoxidable con mango en prolipropileno</v>
          </cell>
          <cell r="D148" t="str">
            <v>Desgaste y uso mensual por unidad</v>
          </cell>
          <cell r="E148" t="str">
            <v>I2023004856</v>
          </cell>
          <cell r="F148">
            <v>44974</v>
          </cell>
          <cell r="G148">
            <v>30646</v>
          </cell>
          <cell r="H148">
            <v>30967</v>
          </cell>
          <cell r="I148">
            <v>31208</v>
          </cell>
          <cell r="J148">
            <v>31342</v>
          </cell>
          <cell r="K148">
            <v>31436</v>
          </cell>
          <cell r="L148">
            <v>31593</v>
          </cell>
          <cell r="M148">
            <v>31814</v>
          </cell>
          <cell r="N148">
            <v>31985</v>
          </cell>
          <cell r="O148">
            <v>32064</v>
          </cell>
          <cell r="P148">
            <v>32214</v>
          </cell>
          <cell r="Q148">
            <v>32358</v>
          </cell>
          <cell r="R148">
            <v>32655</v>
          </cell>
          <cell r="S148">
            <v>33010</v>
          </cell>
          <cell r="T148">
            <v>33241</v>
          </cell>
          <cell r="U148">
            <v>33437</v>
          </cell>
          <cell r="V148">
            <v>2791</v>
          </cell>
          <cell r="W148">
            <v>9.1072244338575997E-2</v>
          </cell>
        </row>
        <row r="149">
          <cell r="B149" t="str">
            <v xml:space="preserve">TENSIÓMETRO GENÉRICO </v>
          </cell>
          <cell r="C149" t="str">
            <v xml:space="preserve">Tensiómetro genérico para adulto Portátil aneroide manómetro y bomba 300hg brazalete ajustable en velcro y gancho </v>
          </cell>
          <cell r="D149" t="str">
            <v>Desgaste y uso mensual por unidad</v>
          </cell>
          <cell r="E149" t="str">
            <v>I2023024745</v>
          </cell>
          <cell r="F149">
            <v>45161</v>
          </cell>
          <cell r="G149">
            <v>115171</v>
          </cell>
          <cell r="H149">
            <v>115171</v>
          </cell>
          <cell r="I149">
            <v>115171</v>
          </cell>
          <cell r="J149">
            <v>115171</v>
          </cell>
          <cell r="K149">
            <v>115171</v>
          </cell>
          <cell r="L149">
            <v>115171</v>
          </cell>
          <cell r="M149">
            <v>115171</v>
          </cell>
          <cell r="N149">
            <v>115792</v>
          </cell>
          <cell r="O149">
            <v>116081</v>
          </cell>
          <cell r="P149">
            <v>116626</v>
          </cell>
          <cell r="Q149">
            <v>117150</v>
          </cell>
          <cell r="R149">
            <v>118227</v>
          </cell>
          <cell r="S149">
            <v>119515</v>
          </cell>
          <cell r="T149">
            <v>120351</v>
          </cell>
          <cell r="U149">
            <v>121061</v>
          </cell>
          <cell r="V149">
            <v>5890</v>
          </cell>
          <cell r="W149">
            <v>5.1141346345868317E-2</v>
          </cell>
        </row>
        <row r="150">
          <cell r="B150" t="str">
            <v xml:space="preserve">TERMO TÉRMICO </v>
          </cell>
          <cell r="C150" t="str">
            <v>Termo térmico de 1.9 litros, exterior en acero inoxidable, base giratoria, temperatura hasta por 8 horas.</v>
          </cell>
          <cell r="D150" t="str">
            <v>Desgaste y uso mensual por unidad</v>
          </cell>
          <cell r="E150" t="str">
            <v>I2023019873</v>
          </cell>
          <cell r="F150">
            <v>45117</v>
          </cell>
          <cell r="G150">
            <v>82338</v>
          </cell>
          <cell r="H150">
            <v>82338</v>
          </cell>
          <cell r="I150">
            <v>82338</v>
          </cell>
          <cell r="J150">
            <v>82338</v>
          </cell>
          <cell r="K150">
            <v>82338</v>
          </cell>
          <cell r="L150">
            <v>82338</v>
          </cell>
          <cell r="M150">
            <v>82914</v>
          </cell>
          <cell r="N150">
            <v>83361</v>
          </cell>
          <cell r="O150">
            <v>83569</v>
          </cell>
          <cell r="P150">
            <v>83961</v>
          </cell>
          <cell r="Q150">
            <v>84338</v>
          </cell>
          <cell r="R150">
            <v>85113</v>
          </cell>
          <cell r="S150">
            <v>86040</v>
          </cell>
          <cell r="T150">
            <v>86642</v>
          </cell>
          <cell r="U150">
            <v>87153</v>
          </cell>
          <cell r="V150">
            <v>4815</v>
          </cell>
          <cell r="W150">
            <v>5.8478466807549367E-2</v>
          </cell>
        </row>
        <row r="151">
          <cell r="B151" t="str">
            <v>TERMOHIGRÓMETRO DIGITAL (ÁREA DE MEDICAMENTOS)</v>
          </cell>
          <cell r="C151" t="str">
            <v>Termohigrómetro digital (área de medicamentos)</v>
          </cell>
          <cell r="D151" t="str">
            <v>Desgaste y uso mensual por unidad</v>
          </cell>
          <cell r="E151" t="str">
            <v>I2023031433</v>
          </cell>
          <cell r="F151">
            <v>45212</v>
          </cell>
          <cell r="G151">
            <v>195075</v>
          </cell>
          <cell r="H151">
            <v>195075</v>
          </cell>
          <cell r="I151">
            <v>195075</v>
          </cell>
          <cell r="J151">
            <v>195075</v>
          </cell>
          <cell r="K151">
            <v>195075</v>
          </cell>
          <cell r="L151">
            <v>195075</v>
          </cell>
          <cell r="M151">
            <v>195075</v>
          </cell>
          <cell r="N151">
            <v>195075</v>
          </cell>
          <cell r="O151">
            <v>195075</v>
          </cell>
          <cell r="P151">
            <v>195991</v>
          </cell>
          <cell r="Q151">
            <v>196872</v>
          </cell>
          <cell r="R151">
            <v>198683</v>
          </cell>
          <cell r="S151">
            <v>200848</v>
          </cell>
          <cell r="T151">
            <v>202253</v>
          </cell>
          <cell r="U151">
            <v>203446</v>
          </cell>
          <cell r="V151">
            <v>8371</v>
          </cell>
          <cell r="W151">
            <v>4.2911700627963602E-2</v>
          </cell>
        </row>
        <row r="152">
          <cell r="B152" t="str">
            <v>TERMÓMETRO CLÍNICO DIGITAL PARA ADULTO.</v>
          </cell>
          <cell r="C152" t="str">
            <v>Termómetro digital con pantalla digital de fácil lectura, alarma que indica cuando la medición esta lista, apagado automático, con 60 segundos de medición de temperatura corporal, con rangos de medición de ± 0.1 grados ºC rangos de medición de 32ºC a 42ºC. Certificado por el fabricante.</v>
          </cell>
          <cell r="D152" t="str">
            <v>Desgaste y uso mensual por unidad</v>
          </cell>
          <cell r="E152" t="str">
            <v>I2023031433</v>
          </cell>
          <cell r="F152">
            <v>45212</v>
          </cell>
          <cell r="G152">
            <v>20700</v>
          </cell>
          <cell r="H152">
            <v>20700</v>
          </cell>
          <cell r="I152">
            <v>20700</v>
          </cell>
          <cell r="J152">
            <v>20700</v>
          </cell>
          <cell r="K152">
            <v>20700</v>
          </cell>
          <cell r="L152">
            <v>20700</v>
          </cell>
          <cell r="M152">
            <v>20700</v>
          </cell>
          <cell r="N152">
            <v>20700</v>
          </cell>
          <cell r="O152">
            <v>20700</v>
          </cell>
          <cell r="P152">
            <v>20797</v>
          </cell>
          <cell r="Q152">
            <v>20890</v>
          </cell>
          <cell r="R152">
            <v>21082</v>
          </cell>
          <cell r="S152">
            <v>21311</v>
          </cell>
          <cell r="T152">
            <v>21460</v>
          </cell>
          <cell r="U152">
            <v>21586</v>
          </cell>
          <cell r="V152">
            <v>886</v>
          </cell>
          <cell r="W152">
            <v>4.2801932367149756E-2</v>
          </cell>
        </row>
        <row r="153">
          <cell r="B153" t="str">
            <v>TERMÓMETROS DE ALIMENTOS FRIO</v>
          </cell>
          <cell r="C153" t="str">
            <v>Termómetro digital de punzón para productos frío.</v>
          </cell>
          <cell r="D153" t="str">
            <v>Desgaste y uso mensual por unidad</v>
          </cell>
          <cell r="E153" t="str">
            <v>I2023004856</v>
          </cell>
          <cell r="F153">
            <v>44974</v>
          </cell>
          <cell r="G153">
            <v>39735</v>
          </cell>
          <cell r="H153">
            <v>40152</v>
          </cell>
          <cell r="I153">
            <v>40465</v>
          </cell>
          <cell r="J153">
            <v>40638</v>
          </cell>
          <cell r="K153">
            <v>40759</v>
          </cell>
          <cell r="L153">
            <v>40962</v>
          </cell>
          <cell r="M153">
            <v>41248</v>
          </cell>
          <cell r="N153">
            <v>41470</v>
          </cell>
          <cell r="O153">
            <v>41573</v>
          </cell>
          <cell r="P153">
            <v>41768</v>
          </cell>
          <cell r="Q153">
            <v>41955</v>
          </cell>
          <cell r="R153">
            <v>42340</v>
          </cell>
          <cell r="S153">
            <v>42801</v>
          </cell>
          <cell r="T153">
            <v>43100</v>
          </cell>
          <cell r="U153">
            <v>43354</v>
          </cell>
          <cell r="V153">
            <v>3619</v>
          </cell>
          <cell r="W153">
            <v>9.1078394362652568E-2</v>
          </cell>
        </row>
        <row r="154">
          <cell r="B154" t="str">
            <v>TERMÓMETROS DE ALIMENTOS CALIENTE</v>
          </cell>
          <cell r="C154" t="str">
            <v>Termómetro digital de punzón para productos calientes.</v>
          </cell>
          <cell r="D154" t="str">
            <v>Desgaste y uso mensual por unidad</v>
          </cell>
          <cell r="E154" t="str">
            <v>I2023004856</v>
          </cell>
          <cell r="F154">
            <v>44974</v>
          </cell>
          <cell r="G154">
            <v>39735</v>
          </cell>
          <cell r="H154">
            <v>40152</v>
          </cell>
          <cell r="I154">
            <v>40465</v>
          </cell>
          <cell r="J154">
            <v>40638</v>
          </cell>
          <cell r="K154">
            <v>40759</v>
          </cell>
          <cell r="L154">
            <v>40962</v>
          </cell>
          <cell r="M154">
            <v>41248</v>
          </cell>
          <cell r="N154">
            <v>41470</v>
          </cell>
          <cell r="O154">
            <v>41573</v>
          </cell>
          <cell r="P154">
            <v>41768</v>
          </cell>
          <cell r="Q154">
            <v>41955</v>
          </cell>
          <cell r="R154">
            <v>42340</v>
          </cell>
          <cell r="S154">
            <v>42801</v>
          </cell>
          <cell r="T154">
            <v>43100</v>
          </cell>
          <cell r="U154">
            <v>43354</v>
          </cell>
          <cell r="V154">
            <v>3619</v>
          </cell>
          <cell r="W154">
            <v>9.1078394362652568E-2</v>
          </cell>
        </row>
        <row r="155">
          <cell r="B155" t="str">
            <v>TIJERAS PARA COCINA</v>
          </cell>
          <cell r="C155" t="str">
            <v>Tijeras para cocina largo mínimo 20 cm, con mango en polipropileno</v>
          </cell>
          <cell r="D155" t="str">
            <v>Desgaste y uso mensual por unidad</v>
          </cell>
          <cell r="E155" t="str">
            <v>I2023004856</v>
          </cell>
          <cell r="F155">
            <v>44974</v>
          </cell>
          <cell r="G155">
            <v>17093</v>
          </cell>
          <cell r="H155">
            <v>17272</v>
          </cell>
          <cell r="I155">
            <v>17406</v>
          </cell>
          <cell r="J155">
            <v>17480</v>
          </cell>
          <cell r="K155">
            <v>17532</v>
          </cell>
          <cell r="L155">
            <v>17619</v>
          </cell>
          <cell r="M155">
            <v>17742</v>
          </cell>
          <cell r="N155">
            <v>17837</v>
          </cell>
          <cell r="O155">
            <v>17881</v>
          </cell>
          <cell r="P155">
            <v>17965</v>
          </cell>
          <cell r="Q155">
            <v>18045</v>
          </cell>
          <cell r="R155">
            <v>18211</v>
          </cell>
          <cell r="S155">
            <v>18409</v>
          </cell>
          <cell r="T155">
            <v>18537</v>
          </cell>
          <cell r="U155">
            <v>18646</v>
          </cell>
          <cell r="V155">
            <v>1553</v>
          </cell>
          <cell r="W155">
            <v>9.0855905926402622E-2</v>
          </cell>
        </row>
        <row r="156">
          <cell r="B156" t="str">
            <v>TOALLA DE BAÑO</v>
          </cell>
          <cell r="C156" t="str">
            <v>Toalla de felpa para el cuerpo en colores oscuros, medidas 60 cms de ancho por 120 cms de largo_x000D_</v>
          </cell>
          <cell r="D156" t="str">
            <v>Unidad</v>
          </cell>
          <cell r="E156" t="str">
            <v>I2023031011</v>
          </cell>
          <cell r="F156">
            <v>45210</v>
          </cell>
          <cell r="G156">
            <v>54469</v>
          </cell>
          <cell r="H156">
            <v>54469</v>
          </cell>
          <cell r="I156">
            <v>54469</v>
          </cell>
          <cell r="J156">
            <v>54469</v>
          </cell>
          <cell r="K156">
            <v>54469</v>
          </cell>
          <cell r="L156">
            <v>54469</v>
          </cell>
          <cell r="M156">
            <v>54469</v>
          </cell>
          <cell r="N156">
            <v>54469</v>
          </cell>
          <cell r="O156">
            <v>54469</v>
          </cell>
          <cell r="P156">
            <v>54725</v>
          </cell>
          <cell r="Q156">
            <v>54971</v>
          </cell>
          <cell r="R156">
            <v>55476</v>
          </cell>
          <cell r="S156">
            <v>56080</v>
          </cell>
          <cell r="T156">
            <v>56472</v>
          </cell>
          <cell r="U156">
            <v>56805</v>
          </cell>
          <cell r="V156">
            <v>2336</v>
          </cell>
          <cell r="W156">
            <v>4.28867796361233E-2</v>
          </cell>
        </row>
        <row r="157">
          <cell r="B157" t="str">
            <v>VASO MEDIDOR</v>
          </cell>
          <cell r="C157" t="str">
            <v>Vaso medidor con sensibilidad 10cc</v>
          </cell>
          <cell r="D157" t="str">
            <v>Desgaste y uso mensual por unidad</v>
          </cell>
          <cell r="E157" t="str">
            <v>I2023004856</v>
          </cell>
          <cell r="F157">
            <v>44974</v>
          </cell>
          <cell r="G157">
            <v>15950</v>
          </cell>
          <cell r="H157">
            <v>16117</v>
          </cell>
          <cell r="I157">
            <v>16242</v>
          </cell>
          <cell r="J157">
            <v>16311</v>
          </cell>
          <cell r="K157">
            <v>16359</v>
          </cell>
          <cell r="L157">
            <v>16440</v>
          </cell>
          <cell r="M157">
            <v>16555</v>
          </cell>
          <cell r="N157">
            <v>16644</v>
          </cell>
          <cell r="O157">
            <v>16685</v>
          </cell>
          <cell r="P157">
            <v>16763</v>
          </cell>
          <cell r="Q157">
            <v>16838</v>
          </cell>
          <cell r="R157">
            <v>16992</v>
          </cell>
          <cell r="S157">
            <v>17177</v>
          </cell>
          <cell r="T157">
            <v>17297</v>
          </cell>
          <cell r="U157">
            <v>17399</v>
          </cell>
          <cell r="V157">
            <v>1449</v>
          </cell>
          <cell r="W157">
            <v>9.084639498432602E-2</v>
          </cell>
        </row>
        <row r="158">
          <cell r="B158" t="str">
            <v>VASO METÁLICO PARA JUGO</v>
          </cell>
          <cell r="C158" t="str">
            <v xml:space="preserve">VASO PARA JUGO 3 - Vaso para jugo en material de Acero Inoxidable resistente a impactos, apto para el contacto humano y con alimentos.  Capacidad 250 m </v>
          </cell>
          <cell r="D158" t="str">
            <v>Desgaste y uso mensual por unidad</v>
          </cell>
          <cell r="E158" t="str">
            <v>I2023018072</v>
          </cell>
          <cell r="F158">
            <v>45100</v>
          </cell>
          <cell r="G158">
            <v>6546</v>
          </cell>
          <cell r="H158">
            <v>6546</v>
          </cell>
          <cell r="I158">
            <v>6546</v>
          </cell>
          <cell r="J158">
            <v>6546</v>
          </cell>
          <cell r="K158">
            <v>6546</v>
          </cell>
          <cell r="L158">
            <v>6578</v>
          </cell>
          <cell r="M158">
            <v>6624</v>
          </cell>
          <cell r="N158">
            <v>6659</v>
          </cell>
          <cell r="O158">
            <v>6675</v>
          </cell>
          <cell r="P158">
            <v>6706</v>
          </cell>
          <cell r="Q158">
            <v>6736</v>
          </cell>
          <cell r="R158">
            <v>6797</v>
          </cell>
          <cell r="S158">
            <v>6871</v>
          </cell>
          <cell r="T158">
            <v>6919</v>
          </cell>
          <cell r="U158">
            <v>6959</v>
          </cell>
          <cell r="V158">
            <v>413</v>
          </cell>
          <cell r="W158">
            <v>6.3091964558509017E-2</v>
          </cell>
        </row>
        <row r="159">
          <cell r="B159" t="str">
            <v>VIDEO BEAM</v>
          </cell>
          <cell r="C159" t="str">
            <v xml:space="preserve">Video Beam 3000 Tecnología LCD 1280X800 MEGAPIXELES CONTRASTE 15,000:1 Ciclo de reemplazo de lámpara modo normal lámpara 200WUEH conectividad HDMI X1 VIDEO DE COMPUTADORA COMPONENTE D SUB 15PIN Entrada de audio RCAx2 proyecta audio y video compatible con PC Y Mac. Con cables y estuche.  </v>
          </cell>
          <cell r="D159" t="str">
            <v>Desgaste y uso mensual por unidad</v>
          </cell>
          <cell r="E159" t="str">
            <v>I2023004856</v>
          </cell>
          <cell r="F159">
            <v>44974</v>
          </cell>
          <cell r="G159">
            <v>2655500</v>
          </cell>
          <cell r="H159">
            <v>2683382</v>
          </cell>
          <cell r="I159">
            <v>2704312</v>
          </cell>
          <cell r="J159">
            <v>2715940</v>
          </cell>
          <cell r="K159">
            <v>2724087</v>
          </cell>
          <cell r="L159">
            <v>2737707</v>
          </cell>
          <cell r="M159">
            <v>2756870</v>
          </cell>
          <cell r="N159">
            <v>2771757</v>
          </cell>
          <cell r="O159">
            <v>2778686</v>
          </cell>
          <cell r="P159">
            <v>2791745</v>
          </cell>
          <cell r="Q159">
            <v>2804307</v>
          </cell>
          <cell r="R159">
            <v>2830106</v>
          </cell>
          <cell r="S159">
            <v>2860954</v>
          </cell>
          <cell r="T159">
            <v>2880980</v>
          </cell>
          <cell r="U159">
            <v>2897977</v>
          </cell>
          <cell r="V159">
            <v>242477</v>
          </cell>
          <cell r="W159">
            <v>9.1311240820937681E-2</v>
          </cell>
        </row>
        <row r="160">
          <cell r="B160" t="str">
            <v>VITRINA MOSTRADOR</v>
          </cell>
          <cell r="C160" t="str">
            <v xml:space="preserve">Vitrina mostrador en aluminio de 120 cm - con entrepaños variables para almacenamiento de medicamentos, que permita el almacenamiento bajo llave de los medicamentos de control. </v>
          </cell>
          <cell r="D160" t="str">
            <v>Desgaste y uso mensual por unidad</v>
          </cell>
          <cell r="E160" t="str">
            <v>I2023008278</v>
          </cell>
          <cell r="F160">
            <v>45002</v>
          </cell>
          <cell r="G160">
            <v>1261678</v>
          </cell>
          <cell r="H160">
            <v>1261678</v>
          </cell>
          <cell r="I160">
            <v>1271519</v>
          </cell>
          <cell r="J160">
            <v>1276986</v>
          </cell>
          <cell r="K160">
            <v>1280816</v>
          </cell>
          <cell r="L160">
            <v>1287220</v>
          </cell>
          <cell r="M160">
            <v>1296230</v>
          </cell>
          <cell r="N160">
            <v>1303229</v>
          </cell>
          <cell r="O160">
            <v>1306487</v>
          </cell>
          <cell r="P160">
            <v>1312627</v>
          </cell>
          <cell r="Q160">
            <v>1318533</v>
          </cell>
          <cell r="R160">
            <v>1330663</v>
          </cell>
          <cell r="S160">
            <v>1345167</v>
          </cell>
          <cell r="T160">
            <v>1354583</v>
          </cell>
          <cell r="U160">
            <v>1362575</v>
          </cell>
          <cell r="V160">
            <v>100897</v>
          </cell>
          <cell r="W160">
            <v>7.9970483752589805E-2</v>
          </cell>
        </row>
        <row r="161">
          <cell r="B161" t="str">
            <v>ZONA DE PICADO</v>
          </cell>
          <cell r="C161" t="str">
            <v>Zona de picado en acero inoxidable </v>
          </cell>
          <cell r="D161" t="str">
            <v>Desgaste y uso mensual por unidad</v>
          </cell>
          <cell r="E161" t="str">
            <v>I2024014734</v>
          </cell>
          <cell r="F161" t="str">
            <v>0</v>
          </cell>
          <cell r="G161">
            <v>3063900</v>
          </cell>
          <cell r="H161">
            <v>3063900</v>
          </cell>
          <cell r="I161">
            <v>3063900</v>
          </cell>
          <cell r="J161">
            <v>3063900</v>
          </cell>
          <cell r="K161">
            <v>3063900</v>
          </cell>
          <cell r="L161">
            <v>3063900</v>
          </cell>
          <cell r="M161">
            <v>3063900</v>
          </cell>
          <cell r="N161">
            <v>3063900</v>
          </cell>
          <cell r="O161">
            <v>3063900</v>
          </cell>
          <cell r="P161">
            <v>3063900</v>
          </cell>
          <cell r="Q161">
            <v>3063900</v>
          </cell>
          <cell r="R161">
            <v>3063900</v>
          </cell>
          <cell r="S161">
            <v>3063900</v>
          </cell>
          <cell r="T161">
            <v>3063900</v>
          </cell>
          <cell r="U161">
            <v>3063900</v>
          </cell>
          <cell r="V161">
            <v>0</v>
          </cell>
          <cell r="W161">
            <v>0</v>
          </cell>
        </row>
        <row r="162">
          <cell r="B162" t="str">
            <v>DESINFECTANTE HIPOCLORITO</v>
          </cell>
          <cell r="C162" t="str">
            <v>Desinfectante hipoclorito, concentración 5.25%, Bidón de 20 litros,  Cantidad suficiente de acuerdo con las necesidades.</v>
          </cell>
          <cell r="D162" t="str">
            <v>Lts</v>
          </cell>
          <cell r="E162" t="str">
            <v>I2023004856</v>
          </cell>
          <cell r="F162">
            <v>44974</v>
          </cell>
          <cell r="G162">
            <v>81599</v>
          </cell>
          <cell r="H162">
            <v>82455</v>
          </cell>
          <cell r="I162">
            <v>83098</v>
          </cell>
          <cell r="J162">
            <v>83455</v>
          </cell>
          <cell r="K162">
            <v>83705</v>
          </cell>
          <cell r="L162">
            <v>84123</v>
          </cell>
          <cell r="M162">
            <v>84711</v>
          </cell>
          <cell r="N162">
            <v>85168</v>
          </cell>
          <cell r="O162">
            <v>85380</v>
          </cell>
          <cell r="P162">
            <v>85781</v>
          </cell>
          <cell r="Q162">
            <v>86167</v>
          </cell>
          <cell r="R162">
            <v>86959</v>
          </cell>
          <cell r="S162">
            <v>87906</v>
          </cell>
          <cell r="T162">
            <v>88521</v>
          </cell>
          <cell r="U162">
            <v>89043</v>
          </cell>
          <cell r="V162">
            <v>7444</v>
          </cell>
          <cell r="W162">
            <v>9.1226608169217765E-2</v>
          </cell>
        </row>
        <row r="163">
          <cell r="B163" t="str">
            <v>VARSOL SIN OLOR</v>
          </cell>
          <cell r="C163" t="str">
            <v>Varsol sin olor,  Cantidad suficiente de acuerdo con las necesidades.</v>
          </cell>
          <cell r="D163" t="str">
            <v>Lts</v>
          </cell>
          <cell r="E163" t="str">
            <v>I2023004856</v>
          </cell>
          <cell r="F163">
            <v>44974</v>
          </cell>
          <cell r="G163">
            <v>19996</v>
          </cell>
          <cell r="H163">
            <v>20205</v>
          </cell>
          <cell r="I163">
            <v>20362</v>
          </cell>
          <cell r="J163">
            <v>20449</v>
          </cell>
          <cell r="K163">
            <v>20510</v>
          </cell>
          <cell r="L163">
            <v>20612</v>
          </cell>
          <cell r="M163">
            <v>20756</v>
          </cell>
          <cell r="N163">
            <v>20868</v>
          </cell>
          <cell r="O163">
            <v>20920</v>
          </cell>
          <cell r="P163">
            <v>21018</v>
          </cell>
          <cell r="Q163">
            <v>21112</v>
          </cell>
          <cell r="R163">
            <v>21306</v>
          </cell>
          <cell r="S163">
            <v>21538</v>
          </cell>
          <cell r="T163">
            <v>21688</v>
          </cell>
          <cell r="U163">
            <v>21815</v>
          </cell>
          <cell r="V163">
            <v>1819</v>
          </cell>
          <cell r="W163">
            <v>9.096819363872774E-2</v>
          </cell>
        </row>
        <row r="164">
          <cell r="B164" t="str">
            <v>DETERGENTE LÍQUIDO</v>
          </cell>
          <cell r="C164" t="str">
            <v>Jabón detergente liquido biodegradable, Bidón mínimo por 20 litros; Cantidad suficiente de acuerdo con las necesidades.</v>
          </cell>
          <cell r="D164" t="str">
            <v>Lts</v>
          </cell>
          <cell r="E164" t="str">
            <v>I2023019873</v>
          </cell>
          <cell r="F164">
            <v>45117</v>
          </cell>
          <cell r="G164">
            <v>108695</v>
          </cell>
          <cell r="H164">
            <v>108695</v>
          </cell>
          <cell r="I164">
            <v>108695</v>
          </cell>
          <cell r="J164">
            <v>108695</v>
          </cell>
          <cell r="K164">
            <v>108695</v>
          </cell>
          <cell r="L164">
            <v>108695</v>
          </cell>
          <cell r="M164">
            <v>109455</v>
          </cell>
          <cell r="N164">
            <v>110046</v>
          </cell>
          <cell r="O164">
            <v>110321</v>
          </cell>
          <cell r="P164">
            <v>110839</v>
          </cell>
          <cell r="Q164">
            <v>111337</v>
          </cell>
          <cell r="R164">
            <v>112361</v>
          </cell>
          <cell r="S164">
            <v>113585</v>
          </cell>
          <cell r="T164">
            <v>114380</v>
          </cell>
          <cell r="U164">
            <v>115054</v>
          </cell>
          <cell r="V164">
            <v>6359</v>
          </cell>
          <cell r="W164">
            <v>5.8503151018906116E-2</v>
          </cell>
        </row>
        <row r="165">
          <cell r="B165" t="str">
            <v>DESENGRASANTE</v>
          </cell>
          <cell r="C165" t="str">
            <v>Desengrasante Bidón de 20 litros</v>
          </cell>
          <cell r="D165" t="str">
            <v>Lts</v>
          </cell>
          <cell r="E165" t="str">
            <v>I2023004856</v>
          </cell>
          <cell r="F165">
            <v>44974</v>
          </cell>
          <cell r="G165">
            <v>76037</v>
          </cell>
          <cell r="H165">
            <v>76835</v>
          </cell>
          <cell r="I165">
            <v>77434</v>
          </cell>
          <cell r="J165">
            <v>77766</v>
          </cell>
          <cell r="K165">
            <v>77999</v>
          </cell>
          <cell r="L165">
            <v>78388</v>
          </cell>
          <cell r="M165">
            <v>78936</v>
          </cell>
          <cell r="N165">
            <v>79362</v>
          </cell>
          <cell r="O165">
            <v>79560</v>
          </cell>
          <cell r="P165">
            <v>79933</v>
          </cell>
          <cell r="Q165">
            <v>80292</v>
          </cell>
          <cell r="R165">
            <v>81030</v>
          </cell>
          <cell r="S165">
            <v>81913</v>
          </cell>
          <cell r="T165">
            <v>82486</v>
          </cell>
          <cell r="U165">
            <v>82972</v>
          </cell>
          <cell r="V165">
            <v>6935</v>
          </cell>
          <cell r="W165">
            <v>9.1205597275010847E-2</v>
          </cell>
        </row>
        <row r="166">
          <cell r="B166" t="str">
            <v>JABÓN EN BARRA AZUL</v>
          </cell>
          <cell r="C166" t="str">
            <v xml:space="preserve">Barra Jabon azul </v>
          </cell>
          <cell r="D166" t="str">
            <v>Unidad</v>
          </cell>
          <cell r="E166" t="str">
            <v>I2023004856</v>
          </cell>
          <cell r="F166">
            <v>44974</v>
          </cell>
          <cell r="G166">
            <v>3997</v>
          </cell>
          <cell r="H166">
            <v>4038</v>
          </cell>
          <cell r="I166">
            <v>4069</v>
          </cell>
          <cell r="J166">
            <v>4086</v>
          </cell>
          <cell r="K166">
            <v>4098</v>
          </cell>
          <cell r="L166">
            <v>4118</v>
          </cell>
          <cell r="M166">
            <v>4146</v>
          </cell>
          <cell r="N166">
            <v>4168</v>
          </cell>
          <cell r="O166">
            <v>4178</v>
          </cell>
          <cell r="P166">
            <v>4197</v>
          </cell>
          <cell r="Q166">
            <v>4215</v>
          </cell>
          <cell r="R166">
            <v>4253</v>
          </cell>
          <cell r="S166">
            <v>4299</v>
          </cell>
          <cell r="T166">
            <v>4329</v>
          </cell>
          <cell r="U166">
            <v>4354</v>
          </cell>
          <cell r="V166">
            <v>357</v>
          </cell>
          <cell r="W166">
            <v>8.9316987740805598E-2</v>
          </cell>
        </row>
        <row r="167">
          <cell r="B167" t="str">
            <v>ALCOHOL ANTICEPTICO</v>
          </cell>
          <cell r="C167" t="str">
            <v>Alcohol anticeptico tipo 1  frasco por 3.5 ml AlcOHol etilico solucion topica (Rrgistro Invima)</v>
          </cell>
          <cell r="D167" t="str">
            <v>Unidad</v>
          </cell>
          <cell r="E167" t="str">
            <v>I2023024745</v>
          </cell>
          <cell r="F167">
            <v>45161</v>
          </cell>
          <cell r="G167">
            <v>4174</v>
          </cell>
          <cell r="H167">
            <v>4174</v>
          </cell>
          <cell r="I167">
            <v>4174</v>
          </cell>
          <cell r="J167">
            <v>4174</v>
          </cell>
          <cell r="K167">
            <v>4174</v>
          </cell>
          <cell r="L167">
            <v>4174</v>
          </cell>
          <cell r="M167">
            <v>4174</v>
          </cell>
          <cell r="N167">
            <v>4196</v>
          </cell>
          <cell r="O167">
            <v>4206</v>
          </cell>
          <cell r="P167">
            <v>4225</v>
          </cell>
          <cell r="Q167">
            <v>4244</v>
          </cell>
          <cell r="R167">
            <v>4283</v>
          </cell>
          <cell r="S167">
            <v>4329</v>
          </cell>
          <cell r="T167">
            <v>4359</v>
          </cell>
          <cell r="U167">
            <v>4384</v>
          </cell>
          <cell r="V167">
            <v>210</v>
          </cell>
          <cell r="W167">
            <v>5.0311451844753233E-2</v>
          </cell>
        </row>
        <row r="168">
          <cell r="B168" t="str">
            <v>AMBIENTADOR DESINFECTANTE</v>
          </cell>
          <cell r="C168" t="str">
            <v>cuñete (galón) x 4. lts</v>
          </cell>
          <cell r="D168" t="str">
            <v>Galon 4 Lts</v>
          </cell>
          <cell r="E168" t="str">
            <v>I2023008278</v>
          </cell>
          <cell r="F168">
            <v>45002</v>
          </cell>
          <cell r="G168">
            <v>40609</v>
          </cell>
          <cell r="H168">
            <v>40609</v>
          </cell>
          <cell r="I168">
            <v>40925</v>
          </cell>
          <cell r="J168">
            <v>41100</v>
          </cell>
          <cell r="K168">
            <v>41223</v>
          </cell>
          <cell r="L168">
            <v>41429</v>
          </cell>
          <cell r="M168">
            <v>41719</v>
          </cell>
          <cell r="N168">
            <v>41944</v>
          </cell>
          <cell r="O168">
            <v>42048</v>
          </cell>
          <cell r="P168">
            <v>42245</v>
          </cell>
          <cell r="Q168">
            <v>42435</v>
          </cell>
          <cell r="R168">
            <v>42825</v>
          </cell>
          <cell r="S168">
            <v>43291</v>
          </cell>
          <cell r="T168">
            <v>43594</v>
          </cell>
          <cell r="U168">
            <v>43851</v>
          </cell>
          <cell r="V168">
            <v>3242</v>
          </cell>
          <cell r="W168">
            <v>7.9834519441503118E-2</v>
          </cell>
        </row>
        <row r="169">
          <cell r="B169" t="str">
            <v>AMONIO CUATERNIO</v>
          </cell>
          <cell r="C169" t="str">
            <v>Bidón 5 lts </v>
          </cell>
          <cell r="D169" t="str">
            <v>Galón 3,8 lts</v>
          </cell>
          <cell r="E169" t="str">
            <v>I2023008278</v>
          </cell>
          <cell r="F169">
            <v>45002</v>
          </cell>
          <cell r="G169">
            <v>40132</v>
          </cell>
          <cell r="H169">
            <v>40132</v>
          </cell>
          <cell r="I169">
            <v>40445</v>
          </cell>
          <cell r="J169">
            <v>40618</v>
          </cell>
          <cell r="K169">
            <v>40739</v>
          </cell>
          <cell r="L169">
            <v>40942</v>
          </cell>
          <cell r="M169">
            <v>41228</v>
          </cell>
          <cell r="N169">
            <v>41450</v>
          </cell>
          <cell r="O169">
            <v>41553</v>
          </cell>
          <cell r="P169">
            <v>41748</v>
          </cell>
          <cell r="Q169">
            <v>41935</v>
          </cell>
          <cell r="R169">
            <v>42320</v>
          </cell>
          <cell r="S169">
            <v>42781</v>
          </cell>
          <cell r="T169">
            <v>43080</v>
          </cell>
          <cell r="U169">
            <v>43334</v>
          </cell>
          <cell r="V169">
            <v>3202</v>
          </cell>
          <cell r="W169">
            <v>7.9786703877205226E-2</v>
          </cell>
        </row>
        <row r="170">
          <cell r="B170" t="str">
            <v>BLANQUEADOR</v>
          </cell>
          <cell r="C170" t="str">
            <v>3 bidones de 20 litros mensuales por 50 personas mayores, concentración 5.25%</v>
          </cell>
          <cell r="D170" t="str">
            <v>Bidón por 20 litros</v>
          </cell>
          <cell r="E170" t="str">
            <v>I2023019873</v>
          </cell>
          <cell r="F170">
            <v>45117</v>
          </cell>
          <cell r="G170">
            <v>106033</v>
          </cell>
          <cell r="H170">
            <v>106033</v>
          </cell>
          <cell r="I170">
            <v>106033</v>
          </cell>
          <cell r="J170">
            <v>106033</v>
          </cell>
          <cell r="K170">
            <v>106033</v>
          </cell>
          <cell r="L170">
            <v>106033</v>
          </cell>
          <cell r="M170">
            <v>106775</v>
          </cell>
          <cell r="N170">
            <v>107351</v>
          </cell>
          <cell r="O170">
            <v>107619</v>
          </cell>
          <cell r="P170">
            <v>108124</v>
          </cell>
          <cell r="Q170">
            <v>108610</v>
          </cell>
          <cell r="R170">
            <v>109609</v>
          </cell>
          <cell r="S170">
            <v>110803</v>
          </cell>
          <cell r="T170">
            <v>111578</v>
          </cell>
          <cell r="U170">
            <v>112236</v>
          </cell>
          <cell r="V170">
            <v>6203</v>
          </cell>
          <cell r="W170">
            <v>5.8500655456320202E-2</v>
          </cell>
        </row>
        <row r="171">
          <cell r="B171" t="str">
            <v>BOLSA BLANCA</v>
          </cell>
          <cell r="C171" t="str">
            <v>paquete de 90x120</v>
          </cell>
          <cell r="D171" t="str">
            <v>Unidad</v>
          </cell>
          <cell r="E171" t="str">
            <v>I2023004856</v>
          </cell>
          <cell r="F171">
            <v>44974</v>
          </cell>
          <cell r="G171">
            <v>952</v>
          </cell>
          <cell r="H171">
            <v>961</v>
          </cell>
          <cell r="I171">
            <v>968</v>
          </cell>
          <cell r="J171">
            <v>972</v>
          </cell>
          <cell r="K171">
            <v>974</v>
          </cell>
          <cell r="L171">
            <v>978</v>
          </cell>
          <cell r="M171">
            <v>984</v>
          </cell>
          <cell r="N171">
            <v>989</v>
          </cell>
          <cell r="O171">
            <v>991</v>
          </cell>
          <cell r="P171">
            <v>995</v>
          </cell>
          <cell r="Q171">
            <v>999</v>
          </cell>
          <cell r="R171">
            <v>1008</v>
          </cell>
          <cell r="S171">
            <v>1018</v>
          </cell>
          <cell r="T171">
            <v>1025</v>
          </cell>
          <cell r="U171">
            <v>1031</v>
          </cell>
          <cell r="V171">
            <v>79</v>
          </cell>
          <cell r="W171">
            <v>8.2983193277310921E-2</v>
          </cell>
        </row>
        <row r="172">
          <cell r="B172" t="str">
            <v>BOLSAS PARA MANEJO DE RESIDUOS 1</v>
          </cell>
          <cell r="C172" t="str">
            <v>Bolsa color negro, Rojo 55x40 Calibre 1.4  (De acuerdo con el PGIRS de cada centro)</v>
          </cell>
          <cell r="D172" t="str">
            <v>Unidad</v>
          </cell>
          <cell r="E172" t="str">
            <v>I2023004856</v>
          </cell>
          <cell r="F172">
            <v>44974</v>
          </cell>
          <cell r="G172">
            <v>744</v>
          </cell>
          <cell r="H172">
            <v>751</v>
          </cell>
          <cell r="I172">
            <v>756</v>
          </cell>
          <cell r="J172">
            <v>759</v>
          </cell>
          <cell r="K172">
            <v>761</v>
          </cell>
          <cell r="L172">
            <v>764</v>
          </cell>
          <cell r="M172">
            <v>769</v>
          </cell>
          <cell r="N172">
            <v>773</v>
          </cell>
          <cell r="O172">
            <v>774</v>
          </cell>
          <cell r="P172">
            <v>777</v>
          </cell>
          <cell r="Q172">
            <v>780</v>
          </cell>
          <cell r="R172">
            <v>787</v>
          </cell>
          <cell r="S172">
            <v>795</v>
          </cell>
          <cell r="T172">
            <v>800</v>
          </cell>
          <cell r="U172">
            <v>804</v>
          </cell>
          <cell r="V172">
            <v>60</v>
          </cell>
          <cell r="W172">
            <v>8.0645161290322578E-2</v>
          </cell>
        </row>
        <row r="173">
          <cell r="B173" t="str">
            <v>BOLSAS PARA MANEJO DE RESIDUOS 2</v>
          </cell>
          <cell r="C173" t="str">
            <v>Bolsa color negro 90x60 Calibre 1.4  (De acuerdo con el PGIRS de cada centro)</v>
          </cell>
          <cell r="D173" t="str">
            <v>Unidad</v>
          </cell>
          <cell r="E173" t="str">
            <v>I2023004856</v>
          </cell>
          <cell r="F173">
            <v>44974</v>
          </cell>
          <cell r="G173">
            <v>952</v>
          </cell>
          <cell r="H173">
            <v>961</v>
          </cell>
          <cell r="I173">
            <v>968</v>
          </cell>
          <cell r="J173">
            <v>972</v>
          </cell>
          <cell r="K173">
            <v>974</v>
          </cell>
          <cell r="L173">
            <v>978</v>
          </cell>
          <cell r="M173">
            <v>984</v>
          </cell>
          <cell r="N173">
            <v>989</v>
          </cell>
          <cell r="O173">
            <v>991</v>
          </cell>
          <cell r="P173">
            <v>995</v>
          </cell>
          <cell r="Q173">
            <v>999</v>
          </cell>
          <cell r="R173">
            <v>1008</v>
          </cell>
          <cell r="S173">
            <v>1018</v>
          </cell>
          <cell r="T173">
            <v>1025</v>
          </cell>
          <cell r="U173">
            <v>1031</v>
          </cell>
          <cell r="V173">
            <v>79</v>
          </cell>
          <cell r="W173">
            <v>8.2983193277310921E-2</v>
          </cell>
        </row>
        <row r="174">
          <cell r="B174" t="str">
            <v>BOLSAS PARA MANEJO DE RESIDUOS 3</v>
          </cell>
          <cell r="C174" t="str">
            <v>Bolsa color negro, blanco  80x110 Calibre 1.4  (De acuerdo con el PGIRS de cada centro)</v>
          </cell>
          <cell r="D174" t="str">
            <v>Unidad</v>
          </cell>
          <cell r="E174" t="str">
            <v>I2023004856</v>
          </cell>
          <cell r="F174">
            <v>44974</v>
          </cell>
          <cell r="G174">
            <v>952</v>
          </cell>
          <cell r="H174">
            <v>961</v>
          </cell>
          <cell r="I174">
            <v>968</v>
          </cell>
          <cell r="J174">
            <v>972</v>
          </cell>
          <cell r="K174">
            <v>974</v>
          </cell>
          <cell r="L174">
            <v>978</v>
          </cell>
          <cell r="M174">
            <v>984</v>
          </cell>
          <cell r="N174">
            <v>989</v>
          </cell>
          <cell r="O174">
            <v>991</v>
          </cell>
          <cell r="P174">
            <v>995</v>
          </cell>
          <cell r="Q174">
            <v>999</v>
          </cell>
          <cell r="R174">
            <v>1008</v>
          </cell>
          <cell r="S174">
            <v>1018</v>
          </cell>
          <cell r="T174">
            <v>1025</v>
          </cell>
          <cell r="U174">
            <v>1031</v>
          </cell>
          <cell r="V174">
            <v>79</v>
          </cell>
          <cell r="W174">
            <v>8.2983193277310921E-2</v>
          </cell>
        </row>
        <row r="175">
          <cell r="B175" t="str">
            <v>BOLSAS PARA MANEJO DE RESIDUOS 4</v>
          </cell>
          <cell r="C175" t="str">
            <v>Bolsa color, blanca, roja  60x80 Calibre 1.4  (De acuerdo con el PGIRS de cada centro)</v>
          </cell>
          <cell r="D175" t="str">
            <v>Unidad</v>
          </cell>
          <cell r="E175" t="str">
            <v>I2023004856</v>
          </cell>
          <cell r="F175">
            <v>44974</v>
          </cell>
          <cell r="G175">
            <v>952</v>
          </cell>
          <cell r="H175">
            <v>961</v>
          </cell>
          <cell r="I175">
            <v>968</v>
          </cell>
          <cell r="J175">
            <v>972</v>
          </cell>
          <cell r="K175">
            <v>974</v>
          </cell>
          <cell r="L175">
            <v>978</v>
          </cell>
          <cell r="M175">
            <v>984</v>
          </cell>
          <cell r="N175">
            <v>989</v>
          </cell>
          <cell r="O175">
            <v>991</v>
          </cell>
          <cell r="P175">
            <v>995</v>
          </cell>
          <cell r="Q175">
            <v>999</v>
          </cell>
          <cell r="R175">
            <v>1008</v>
          </cell>
          <cell r="S175">
            <v>1018</v>
          </cell>
          <cell r="T175">
            <v>1025</v>
          </cell>
          <cell r="U175">
            <v>1031</v>
          </cell>
          <cell r="V175">
            <v>79</v>
          </cell>
          <cell r="W175">
            <v>8.2983193277310921E-2</v>
          </cell>
        </row>
        <row r="176">
          <cell r="B176" t="str">
            <v>BOLSAS PARA MANEJO DE RESIDUOS 5</v>
          </cell>
          <cell r="C176" t="str">
            <v>Bolsa color negra 60x80 Calibre 1.4  (De acuerdo con el PGIRS de cada centro)</v>
          </cell>
          <cell r="D176" t="str">
            <v>Unidad</v>
          </cell>
          <cell r="E176" t="str">
            <v>I2023004856</v>
          </cell>
          <cell r="F176">
            <v>44974</v>
          </cell>
          <cell r="G176">
            <v>952</v>
          </cell>
          <cell r="H176">
            <v>961</v>
          </cell>
          <cell r="I176">
            <v>968</v>
          </cell>
          <cell r="J176">
            <v>972</v>
          </cell>
          <cell r="K176">
            <v>974</v>
          </cell>
          <cell r="L176">
            <v>978</v>
          </cell>
          <cell r="M176">
            <v>984</v>
          </cell>
          <cell r="N176">
            <v>989</v>
          </cell>
          <cell r="O176">
            <v>991</v>
          </cell>
          <cell r="P176">
            <v>995</v>
          </cell>
          <cell r="Q176">
            <v>999</v>
          </cell>
          <cell r="R176">
            <v>1008</v>
          </cell>
          <cell r="S176">
            <v>1018</v>
          </cell>
          <cell r="T176">
            <v>1025</v>
          </cell>
          <cell r="U176">
            <v>1031</v>
          </cell>
          <cell r="V176">
            <v>79</v>
          </cell>
          <cell r="W176">
            <v>8.2983193277310921E-2</v>
          </cell>
        </row>
        <row r="177">
          <cell r="B177" t="str">
            <v>BOLSAS PARA MANEJO DE RESIDUOS 6</v>
          </cell>
          <cell r="C177" t="str">
            <v>Bolsas verde, negra y blanca 45 x 60</v>
          </cell>
          <cell r="D177" t="str">
            <v>Unidad</v>
          </cell>
          <cell r="E177" t="str">
            <v>I2023004856</v>
          </cell>
          <cell r="F177">
            <v>44974</v>
          </cell>
          <cell r="G177">
            <v>952</v>
          </cell>
          <cell r="H177">
            <v>961</v>
          </cell>
          <cell r="I177">
            <v>968</v>
          </cell>
          <cell r="J177">
            <v>972</v>
          </cell>
          <cell r="K177">
            <v>974</v>
          </cell>
          <cell r="L177">
            <v>978</v>
          </cell>
          <cell r="M177">
            <v>984</v>
          </cell>
          <cell r="N177">
            <v>989</v>
          </cell>
          <cell r="O177">
            <v>991</v>
          </cell>
          <cell r="P177">
            <v>995</v>
          </cell>
          <cell r="Q177">
            <v>999</v>
          </cell>
          <cell r="R177">
            <v>1008</v>
          </cell>
          <cell r="S177">
            <v>1018</v>
          </cell>
          <cell r="T177">
            <v>1025</v>
          </cell>
          <cell r="U177">
            <v>1031</v>
          </cell>
          <cell r="V177">
            <v>79</v>
          </cell>
          <cell r="W177">
            <v>8.2983193277310921E-2</v>
          </cell>
        </row>
        <row r="178">
          <cell r="B178" t="str">
            <v>CEPILLO PARA ROPA</v>
          </cell>
          <cell r="C178" t="str">
            <v>unidas</v>
          </cell>
          <cell r="D178" t="str">
            <v>Unidad</v>
          </cell>
          <cell r="E178" t="str">
            <v>I2023004856</v>
          </cell>
          <cell r="F178">
            <v>44974</v>
          </cell>
          <cell r="G178">
            <v>8749</v>
          </cell>
          <cell r="H178">
            <v>8840</v>
          </cell>
          <cell r="I178">
            <v>8908</v>
          </cell>
          <cell r="J178">
            <v>8946</v>
          </cell>
          <cell r="K178">
            <v>8972</v>
          </cell>
          <cell r="L178">
            <v>9016</v>
          </cell>
          <cell r="M178">
            <v>9079</v>
          </cell>
          <cell r="N178">
            <v>9128</v>
          </cell>
          <cell r="O178">
            <v>9150</v>
          </cell>
          <cell r="P178">
            <v>9193</v>
          </cell>
          <cell r="Q178">
            <v>9234</v>
          </cell>
          <cell r="R178">
            <v>9318</v>
          </cell>
          <cell r="S178">
            <v>9419</v>
          </cell>
          <cell r="T178">
            <v>9484</v>
          </cell>
          <cell r="U178">
            <v>9539</v>
          </cell>
          <cell r="V178">
            <v>790</v>
          </cell>
          <cell r="W178">
            <v>9.0296033832437991E-2</v>
          </cell>
        </row>
        <row r="179">
          <cell r="B179" t="str">
            <v>CEPILLO SANITARIO</v>
          </cell>
          <cell r="C179" t="str">
            <v>Unidad</v>
          </cell>
          <cell r="D179" t="str">
            <v>Unidad</v>
          </cell>
          <cell r="E179" t="str">
            <v>I2023004856</v>
          </cell>
          <cell r="F179">
            <v>44974</v>
          </cell>
          <cell r="G179">
            <v>13963</v>
          </cell>
          <cell r="H179">
            <v>14109</v>
          </cell>
          <cell r="I179">
            <v>14219</v>
          </cell>
          <cell r="J179">
            <v>14280</v>
          </cell>
          <cell r="K179">
            <v>14322</v>
          </cell>
          <cell r="L179">
            <v>14393</v>
          </cell>
          <cell r="M179">
            <v>14493</v>
          </cell>
          <cell r="N179">
            <v>14571</v>
          </cell>
          <cell r="O179">
            <v>14607</v>
          </cell>
          <cell r="P179">
            <v>14675</v>
          </cell>
          <cell r="Q179">
            <v>14741</v>
          </cell>
          <cell r="R179">
            <v>14876</v>
          </cell>
          <cell r="S179">
            <v>15038</v>
          </cell>
          <cell r="T179">
            <v>15143</v>
          </cell>
          <cell r="U179">
            <v>15232</v>
          </cell>
          <cell r="V179">
            <v>1269</v>
          </cell>
          <cell r="W179">
            <v>9.0883048055575455E-2</v>
          </cell>
        </row>
        <row r="180">
          <cell r="B180" t="str">
            <v>DESENGRASANTE</v>
          </cell>
          <cell r="C180" t="str">
            <v>Frasco x 700 ml</v>
          </cell>
          <cell r="D180" t="str">
            <v>Bidón por 20 litros</v>
          </cell>
          <cell r="E180" t="str">
            <v>I2023004856</v>
          </cell>
          <cell r="F180">
            <v>44974</v>
          </cell>
          <cell r="G180">
            <v>76037</v>
          </cell>
          <cell r="H180">
            <v>76835</v>
          </cell>
          <cell r="I180">
            <v>77434</v>
          </cell>
          <cell r="J180">
            <v>77766</v>
          </cell>
          <cell r="K180">
            <v>77999</v>
          </cell>
          <cell r="L180">
            <v>78388</v>
          </cell>
          <cell r="M180">
            <v>78936</v>
          </cell>
          <cell r="N180">
            <v>79362</v>
          </cell>
          <cell r="O180">
            <v>79560</v>
          </cell>
          <cell r="P180">
            <v>79933</v>
          </cell>
          <cell r="Q180">
            <v>80292</v>
          </cell>
          <cell r="R180">
            <v>81030</v>
          </cell>
          <cell r="S180">
            <v>81913</v>
          </cell>
          <cell r="T180">
            <v>82486</v>
          </cell>
          <cell r="U180">
            <v>82972</v>
          </cell>
          <cell r="V180">
            <v>6935</v>
          </cell>
          <cell r="W180">
            <v>9.1205597275010847E-2</v>
          </cell>
        </row>
        <row r="181">
          <cell r="B181" t="str">
            <v>DETERGENTE EN POLVO</v>
          </cell>
          <cell r="C181" t="str">
            <v>2 bolsas de detergente en polvo en presentación de 1.000 gr cada mes</v>
          </cell>
          <cell r="D181" t="str">
            <v>unidad</v>
          </cell>
          <cell r="E181" t="str">
            <v>I2024004413</v>
          </cell>
          <cell r="F181" t="str">
            <v>0</v>
          </cell>
          <cell r="G181">
            <v>15791</v>
          </cell>
          <cell r="H181">
            <v>15791</v>
          </cell>
          <cell r="I181">
            <v>15791</v>
          </cell>
          <cell r="J181">
            <v>15791</v>
          </cell>
          <cell r="K181">
            <v>15791</v>
          </cell>
          <cell r="L181">
            <v>15791</v>
          </cell>
          <cell r="M181">
            <v>15791</v>
          </cell>
          <cell r="N181">
            <v>15791</v>
          </cell>
          <cell r="O181">
            <v>15791</v>
          </cell>
          <cell r="P181">
            <v>15791</v>
          </cell>
          <cell r="Q181">
            <v>15791</v>
          </cell>
          <cell r="R181">
            <v>15791</v>
          </cell>
          <cell r="S181">
            <v>15791</v>
          </cell>
          <cell r="T181">
            <v>15791</v>
          </cell>
          <cell r="U181">
            <v>15791</v>
          </cell>
          <cell r="V181">
            <v>0</v>
          </cell>
          <cell r="W181">
            <v>0</v>
          </cell>
        </row>
        <row r="182">
          <cell r="B182" t="str">
            <v>ESCOBA</v>
          </cell>
          <cell r="C182" t="str">
            <v>10 escobas cada 2 meses</v>
          </cell>
          <cell r="D182" t="str">
            <v>Unidad</v>
          </cell>
          <cell r="E182" t="str">
            <v>I2023004856</v>
          </cell>
          <cell r="F182">
            <v>44974</v>
          </cell>
          <cell r="G182">
            <v>14465</v>
          </cell>
          <cell r="H182">
            <v>14616</v>
          </cell>
          <cell r="I182">
            <v>14730</v>
          </cell>
          <cell r="J182">
            <v>14793</v>
          </cell>
          <cell r="K182">
            <v>14837</v>
          </cell>
          <cell r="L182">
            <v>14911</v>
          </cell>
          <cell r="M182">
            <v>15015</v>
          </cell>
          <cell r="N182">
            <v>15096</v>
          </cell>
          <cell r="O182">
            <v>15133</v>
          </cell>
          <cell r="P182">
            <v>15204</v>
          </cell>
          <cell r="Q182">
            <v>15272</v>
          </cell>
          <cell r="R182">
            <v>15412</v>
          </cell>
          <cell r="S182">
            <v>15579</v>
          </cell>
          <cell r="T182">
            <v>15688</v>
          </cell>
          <cell r="U182">
            <v>15780</v>
          </cell>
          <cell r="V182">
            <v>1315</v>
          </cell>
          <cell r="W182">
            <v>9.0909090909090912E-2</v>
          </cell>
        </row>
        <row r="183">
          <cell r="B183" t="str">
            <v>ESPONJILLA DE BRILLO</v>
          </cell>
          <cell r="C183" t="str">
            <v>Paquete x 24 unidades </v>
          </cell>
          <cell r="D183" t="str">
            <v>Unidad</v>
          </cell>
          <cell r="E183" t="str">
            <v>I2023004856</v>
          </cell>
          <cell r="F183">
            <v>44974</v>
          </cell>
          <cell r="G183">
            <v>621</v>
          </cell>
          <cell r="H183">
            <v>627</v>
          </cell>
          <cell r="I183">
            <v>631</v>
          </cell>
          <cell r="J183">
            <v>633</v>
          </cell>
          <cell r="K183">
            <v>634</v>
          </cell>
          <cell r="L183">
            <v>637</v>
          </cell>
          <cell r="M183">
            <v>641</v>
          </cell>
          <cell r="N183">
            <v>644</v>
          </cell>
          <cell r="O183">
            <v>645</v>
          </cell>
          <cell r="P183">
            <v>648</v>
          </cell>
          <cell r="Q183">
            <v>650</v>
          </cell>
          <cell r="R183">
            <v>655</v>
          </cell>
          <cell r="S183">
            <v>662</v>
          </cell>
          <cell r="T183">
            <v>666</v>
          </cell>
          <cell r="U183">
            <v>669</v>
          </cell>
          <cell r="V183">
            <v>48</v>
          </cell>
          <cell r="W183">
            <v>7.7294685990338161E-2</v>
          </cell>
        </row>
        <row r="184">
          <cell r="B184" t="str">
            <v>ESPONJILLA MULTIUSO</v>
          </cell>
          <cell r="C184" t="str">
            <v>Paquete x 12 unidades </v>
          </cell>
          <cell r="D184" t="str">
            <v>Unidad</v>
          </cell>
          <cell r="E184" t="str">
            <v>I2023004856</v>
          </cell>
          <cell r="F184">
            <v>44974</v>
          </cell>
          <cell r="G184">
            <v>2636</v>
          </cell>
          <cell r="H184">
            <v>2663</v>
          </cell>
          <cell r="I184">
            <v>2683</v>
          </cell>
          <cell r="J184">
            <v>2694</v>
          </cell>
          <cell r="K184">
            <v>2702</v>
          </cell>
          <cell r="L184">
            <v>2715</v>
          </cell>
          <cell r="M184">
            <v>2734</v>
          </cell>
          <cell r="N184">
            <v>2748</v>
          </cell>
          <cell r="O184">
            <v>2754</v>
          </cell>
          <cell r="P184">
            <v>2766</v>
          </cell>
          <cell r="Q184">
            <v>2778</v>
          </cell>
          <cell r="R184">
            <v>2803</v>
          </cell>
          <cell r="S184">
            <v>2833</v>
          </cell>
          <cell r="T184">
            <v>2852</v>
          </cell>
          <cell r="U184">
            <v>2868</v>
          </cell>
          <cell r="V184">
            <v>232</v>
          </cell>
          <cell r="W184">
            <v>8.8012139605462822E-2</v>
          </cell>
        </row>
        <row r="185">
          <cell r="B185" t="str">
            <v>JABÓN DE MANOS</v>
          </cell>
          <cell r="C185" t="str">
            <v>Frasco x 300 ml</v>
          </cell>
          <cell r="D185" t="str">
            <v>Unidad</v>
          </cell>
          <cell r="E185" t="str">
            <v>I2023008278</v>
          </cell>
          <cell r="F185">
            <v>45002</v>
          </cell>
          <cell r="G185">
            <v>6684</v>
          </cell>
          <cell r="H185">
            <v>6754</v>
          </cell>
          <cell r="I185">
            <v>6806</v>
          </cell>
          <cell r="J185">
            <v>6835</v>
          </cell>
          <cell r="K185">
            <v>6855</v>
          </cell>
          <cell r="L185">
            <v>6889</v>
          </cell>
          <cell r="M185">
            <v>6937</v>
          </cell>
          <cell r="N185">
            <v>6974</v>
          </cell>
          <cell r="O185">
            <v>6991</v>
          </cell>
          <cell r="P185">
            <v>7023</v>
          </cell>
          <cell r="Q185">
            <v>7054</v>
          </cell>
          <cell r="R185">
            <v>7118</v>
          </cell>
          <cell r="S185">
            <v>7195</v>
          </cell>
          <cell r="T185">
            <v>7245</v>
          </cell>
          <cell r="U185">
            <v>7287</v>
          </cell>
          <cell r="V185">
            <v>603</v>
          </cell>
          <cell r="W185">
            <v>9.0215439856373425E-2</v>
          </cell>
        </row>
        <row r="186">
          <cell r="B186" t="str">
            <v>JABÓN EN BARRA AZUL</v>
          </cell>
          <cell r="C186" t="str">
            <v>Unidad</v>
          </cell>
          <cell r="D186" t="str">
            <v>Unidad</v>
          </cell>
          <cell r="E186" t="str">
            <v>I2023004856</v>
          </cell>
          <cell r="F186">
            <v>44974</v>
          </cell>
          <cell r="G186">
            <v>3997</v>
          </cell>
          <cell r="H186">
            <v>4038</v>
          </cell>
          <cell r="I186">
            <v>4069</v>
          </cell>
          <cell r="J186">
            <v>4086</v>
          </cell>
          <cell r="K186">
            <v>4098</v>
          </cell>
          <cell r="L186">
            <v>4118</v>
          </cell>
          <cell r="M186">
            <v>4146</v>
          </cell>
          <cell r="N186">
            <v>4168</v>
          </cell>
          <cell r="O186">
            <v>4178</v>
          </cell>
          <cell r="P186">
            <v>4197</v>
          </cell>
          <cell r="Q186">
            <v>4215</v>
          </cell>
          <cell r="R186">
            <v>4253</v>
          </cell>
          <cell r="S186">
            <v>4299</v>
          </cell>
          <cell r="T186">
            <v>4329</v>
          </cell>
          <cell r="U186">
            <v>4354</v>
          </cell>
          <cell r="V186">
            <v>357</v>
          </cell>
          <cell r="W186">
            <v>8.9316987740805598E-2</v>
          </cell>
        </row>
        <row r="187">
          <cell r="B187" t="str">
            <v>JABÓN LAVAPLATOS</v>
          </cell>
          <cell r="C187" t="str">
            <v>(lava loza) galón </v>
          </cell>
          <cell r="D187" t="str">
            <v>Bidón por 20 litros</v>
          </cell>
          <cell r="E187" t="str">
            <v>I2023008278</v>
          </cell>
          <cell r="F187">
            <v>45002</v>
          </cell>
          <cell r="G187">
            <v>173018</v>
          </cell>
          <cell r="H187">
            <v>173018</v>
          </cell>
          <cell r="I187">
            <v>174367</v>
          </cell>
          <cell r="J187">
            <v>175116</v>
          </cell>
          <cell r="K187">
            <v>175641</v>
          </cell>
          <cell r="L187">
            <v>176519</v>
          </cell>
          <cell r="M187">
            <v>177754</v>
          </cell>
          <cell r="N187">
            <v>178713</v>
          </cell>
          <cell r="O187">
            <v>179159</v>
          </cell>
          <cell r="P187">
            <v>180001</v>
          </cell>
          <cell r="Q187">
            <v>180811</v>
          </cell>
          <cell r="R187">
            <v>182474</v>
          </cell>
          <cell r="S187">
            <v>184462</v>
          </cell>
          <cell r="T187">
            <v>185753</v>
          </cell>
          <cell r="U187">
            <v>186848</v>
          </cell>
          <cell r="V187">
            <v>13830</v>
          </cell>
          <cell r="W187">
            <v>7.9933879711937481E-2</v>
          </cell>
        </row>
        <row r="188">
          <cell r="B188" t="str">
            <v>LIMPIONES EN TELA TOALLA GRUESA Y ESTAMPADA</v>
          </cell>
          <cell r="C188" t="str">
            <v>medidas 70*50 1:25 </v>
          </cell>
          <cell r="D188" t="str">
            <v>Unidad</v>
          </cell>
          <cell r="E188" t="str">
            <v>I2023004856</v>
          </cell>
          <cell r="F188">
            <v>44974</v>
          </cell>
          <cell r="G188">
            <v>6979</v>
          </cell>
          <cell r="H188">
            <v>7052</v>
          </cell>
          <cell r="I188">
            <v>7107</v>
          </cell>
          <cell r="J188">
            <v>7137</v>
          </cell>
          <cell r="K188">
            <v>7158</v>
          </cell>
          <cell r="L188">
            <v>7193</v>
          </cell>
          <cell r="M188">
            <v>7243</v>
          </cell>
          <cell r="N188">
            <v>7282</v>
          </cell>
          <cell r="O188">
            <v>7300</v>
          </cell>
          <cell r="P188">
            <v>7334</v>
          </cell>
          <cell r="Q188">
            <v>7367</v>
          </cell>
          <cell r="R188">
            <v>7434</v>
          </cell>
          <cell r="S188">
            <v>7515</v>
          </cell>
          <cell r="T188">
            <v>7567</v>
          </cell>
          <cell r="U188">
            <v>7611</v>
          </cell>
          <cell r="V188">
            <v>632</v>
          </cell>
          <cell r="W188">
            <v>9.0557386445049431E-2</v>
          </cell>
        </row>
        <row r="189">
          <cell r="B189" t="str">
            <v>PAÑOS ABSORBENTES</v>
          </cell>
          <cell r="C189" t="str">
            <v>10 rollos de paños absorbentes reutilizables cada mes</v>
          </cell>
          <cell r="D189" t="str">
            <v>rollo</v>
          </cell>
          <cell r="E189" t="str">
            <v>I2024004413</v>
          </cell>
          <cell r="F189" t="str">
            <v>0</v>
          </cell>
          <cell r="G189">
            <v>15791</v>
          </cell>
          <cell r="H189">
            <v>15791</v>
          </cell>
          <cell r="I189">
            <v>15791</v>
          </cell>
          <cell r="J189">
            <v>15791</v>
          </cell>
          <cell r="K189">
            <v>15791</v>
          </cell>
          <cell r="L189">
            <v>15791</v>
          </cell>
          <cell r="M189">
            <v>15791</v>
          </cell>
          <cell r="N189">
            <v>15791</v>
          </cell>
          <cell r="O189">
            <v>15791</v>
          </cell>
          <cell r="P189">
            <v>15791</v>
          </cell>
          <cell r="Q189">
            <v>15791</v>
          </cell>
          <cell r="R189">
            <v>15791</v>
          </cell>
          <cell r="S189">
            <v>15791</v>
          </cell>
          <cell r="T189">
            <v>15791</v>
          </cell>
          <cell r="U189">
            <v>15791</v>
          </cell>
          <cell r="V189">
            <v>0</v>
          </cell>
          <cell r="W189">
            <v>0</v>
          </cell>
        </row>
        <row r="190">
          <cell r="B190" t="str">
            <v>PAPEL HIGIÉNICO</v>
          </cell>
          <cell r="C190" t="str">
            <v>Paquete x 12 unidades</v>
          </cell>
          <cell r="D190" t="str">
            <v>paca x 48</v>
          </cell>
          <cell r="E190" t="str">
            <v>I2023004856</v>
          </cell>
          <cell r="F190">
            <v>44974</v>
          </cell>
          <cell r="G190">
            <v>2730</v>
          </cell>
          <cell r="H190">
            <v>2758</v>
          </cell>
          <cell r="I190">
            <v>2779</v>
          </cell>
          <cell r="J190">
            <v>2790</v>
          </cell>
          <cell r="K190">
            <v>2798</v>
          </cell>
          <cell r="L190">
            <v>2811</v>
          </cell>
          <cell r="M190">
            <v>2830</v>
          </cell>
          <cell r="N190">
            <v>2845</v>
          </cell>
          <cell r="O190">
            <v>2852</v>
          </cell>
          <cell r="P190">
            <v>2865</v>
          </cell>
          <cell r="Q190">
            <v>2877</v>
          </cell>
          <cell r="R190">
            <v>2903</v>
          </cell>
          <cell r="S190">
            <v>2934</v>
          </cell>
          <cell r="T190">
            <v>2954</v>
          </cell>
          <cell r="U190">
            <v>2971</v>
          </cell>
          <cell r="V190">
            <v>241</v>
          </cell>
          <cell r="W190">
            <v>8.8278388278388284E-2</v>
          </cell>
        </row>
        <row r="191">
          <cell r="B191" t="str">
            <v>RECOGEDOR BASURA</v>
          </cell>
          <cell r="C191" t="str">
            <v>10 recogedores cada 3    meses</v>
          </cell>
          <cell r="D191" t="str">
            <v>Unidad</v>
          </cell>
          <cell r="E191" t="str">
            <v>I2023004856</v>
          </cell>
          <cell r="F191">
            <v>44974</v>
          </cell>
          <cell r="G191">
            <v>10337</v>
          </cell>
          <cell r="H191">
            <v>10445</v>
          </cell>
          <cell r="I191">
            <v>10526</v>
          </cell>
          <cell r="J191">
            <v>10571</v>
          </cell>
          <cell r="K191">
            <v>10602</v>
          </cell>
          <cell r="L191">
            <v>10655</v>
          </cell>
          <cell r="M191">
            <v>10729</v>
          </cell>
          <cell r="N191">
            <v>10786</v>
          </cell>
          <cell r="O191">
            <v>10812</v>
          </cell>
          <cell r="P191">
            <v>10862</v>
          </cell>
          <cell r="Q191">
            <v>10910</v>
          </cell>
          <cell r="R191">
            <v>11010</v>
          </cell>
          <cell r="S191">
            <v>11130</v>
          </cell>
          <cell r="T191">
            <v>11207</v>
          </cell>
          <cell r="U191">
            <v>11273</v>
          </cell>
          <cell r="V191">
            <v>936</v>
          </cell>
          <cell r="W191">
            <v>9.0548515043049241E-2</v>
          </cell>
        </row>
        <row r="192">
          <cell r="B192" t="str">
            <v>SERVILLETA</v>
          </cell>
          <cell r="C192" t="str">
            <v>Dobladas en 2 paquete x 200</v>
          </cell>
          <cell r="D192" t="str">
            <v>Paquete x 200</v>
          </cell>
          <cell r="E192" t="str">
            <v>I2023004856</v>
          </cell>
          <cell r="F192">
            <v>44974</v>
          </cell>
          <cell r="G192">
            <v>5465</v>
          </cell>
          <cell r="H192">
            <v>5522</v>
          </cell>
          <cell r="I192">
            <v>5565</v>
          </cell>
          <cell r="J192">
            <v>5588</v>
          </cell>
          <cell r="K192">
            <v>5604</v>
          </cell>
          <cell r="L192">
            <v>5632</v>
          </cell>
          <cell r="M192">
            <v>5671</v>
          </cell>
          <cell r="N192">
            <v>5701</v>
          </cell>
          <cell r="O192">
            <v>5715</v>
          </cell>
          <cell r="P192">
            <v>5741</v>
          </cell>
          <cell r="Q192">
            <v>5766</v>
          </cell>
          <cell r="R192">
            <v>5819</v>
          </cell>
          <cell r="S192">
            <v>5882</v>
          </cell>
          <cell r="T192">
            <v>5923</v>
          </cell>
          <cell r="U192">
            <v>5957</v>
          </cell>
          <cell r="V192">
            <v>492</v>
          </cell>
          <cell r="W192">
            <v>9.0027447392497711E-2</v>
          </cell>
        </row>
        <row r="193">
          <cell r="B193" t="str">
            <v>TOALLAS DE COCINA</v>
          </cell>
          <cell r="C193" t="str">
            <v>aBOSRBENTES DE PAPEL TIPO DESECHABLE MULTIUSO DE 22.5X49 X57.5</v>
          </cell>
          <cell r="D193" t="str">
            <v>rollo</v>
          </cell>
          <cell r="E193" t="str">
            <v>I2024004413</v>
          </cell>
          <cell r="F193" t="str">
            <v>0</v>
          </cell>
          <cell r="G193">
            <v>10731</v>
          </cell>
          <cell r="H193">
            <v>10731</v>
          </cell>
          <cell r="I193">
            <v>10731</v>
          </cell>
          <cell r="J193">
            <v>10731</v>
          </cell>
          <cell r="K193">
            <v>10731</v>
          </cell>
          <cell r="L193">
            <v>10731</v>
          </cell>
          <cell r="M193">
            <v>10731</v>
          </cell>
          <cell r="N193">
            <v>10731</v>
          </cell>
          <cell r="O193">
            <v>10731</v>
          </cell>
          <cell r="P193">
            <v>10731</v>
          </cell>
          <cell r="Q193">
            <v>10731</v>
          </cell>
          <cell r="R193">
            <v>10731</v>
          </cell>
          <cell r="S193">
            <v>10731</v>
          </cell>
          <cell r="T193">
            <v>10731</v>
          </cell>
          <cell r="U193">
            <v>10731</v>
          </cell>
          <cell r="V193">
            <v>0</v>
          </cell>
          <cell r="W193">
            <v>0</v>
          </cell>
        </row>
        <row r="194">
          <cell r="B194" t="str">
            <v>TRAPERO MEDIANO</v>
          </cell>
          <cell r="C194" t="str">
            <v>10 traperos de 500 gr cada - 2 meses</v>
          </cell>
          <cell r="D194" t="str">
            <v>Unidad</v>
          </cell>
          <cell r="E194" t="str">
            <v>I2023004856</v>
          </cell>
          <cell r="F194">
            <v>44974</v>
          </cell>
          <cell r="G194">
            <v>16866</v>
          </cell>
          <cell r="H194">
            <v>17043</v>
          </cell>
          <cell r="I194">
            <v>17175</v>
          </cell>
          <cell r="J194">
            <v>17248</v>
          </cell>
          <cell r="K194">
            <v>17299</v>
          </cell>
          <cell r="L194">
            <v>17385</v>
          </cell>
          <cell r="M194">
            <v>17506</v>
          </cell>
          <cell r="N194">
            <v>17600</v>
          </cell>
          <cell r="O194">
            <v>17644</v>
          </cell>
          <cell r="P194">
            <v>17726</v>
          </cell>
          <cell r="Q194">
            <v>17805</v>
          </cell>
          <cell r="R194">
            <v>17968</v>
          </cell>
          <cell r="S194">
            <v>18163</v>
          </cell>
          <cell r="T194">
            <v>18290</v>
          </cell>
          <cell r="U194">
            <v>18397</v>
          </cell>
          <cell r="V194">
            <v>1531</v>
          </cell>
          <cell r="W194">
            <v>9.0774338906676147E-2</v>
          </cell>
        </row>
        <row r="195">
          <cell r="B195" t="str">
            <v>ACEITE ESENCIAL DE CEDRO</v>
          </cell>
          <cell r="C195" t="str">
            <v>Aceite Esencial x 500 ml de fragancias variadas: de jazmín 1 -de rosas 1 - de cedro 1- de lavanda 1- eucalipto 1, limón 1.</v>
          </cell>
          <cell r="D195" t="str">
            <v>Unidad</v>
          </cell>
          <cell r="E195" t="str">
            <v>I2023008278</v>
          </cell>
          <cell r="F195">
            <v>45002</v>
          </cell>
          <cell r="G195">
            <v>17775</v>
          </cell>
          <cell r="H195">
            <v>17775</v>
          </cell>
          <cell r="I195">
            <v>17913</v>
          </cell>
          <cell r="J195">
            <v>17990</v>
          </cell>
          <cell r="K195">
            <v>18043</v>
          </cell>
          <cell r="L195">
            <v>18133</v>
          </cell>
          <cell r="M195">
            <v>18259</v>
          </cell>
          <cell r="N195">
            <v>18357</v>
          </cell>
          <cell r="O195">
            <v>18402</v>
          </cell>
          <cell r="P195">
            <v>18488</v>
          </cell>
          <cell r="Q195">
            <v>18571</v>
          </cell>
          <cell r="R195">
            <v>18741</v>
          </cell>
          <cell r="S195">
            <v>18945</v>
          </cell>
          <cell r="T195">
            <v>19077</v>
          </cell>
          <cell r="U195">
            <v>19189</v>
          </cell>
          <cell r="V195">
            <v>1414</v>
          </cell>
          <cell r="W195">
            <v>7.9549929676511949E-2</v>
          </cell>
        </row>
        <row r="196">
          <cell r="B196" t="str">
            <v>ACEITE ESENCIAL DE CIPRÉS</v>
          </cell>
          <cell r="C196" t="str">
            <v>Aceite Esencial x 500 ml de fragancias variadas: de jazmín 1 -de rosas 1 - de cedro 1- de lavanda 1- eucalipto 1, limón 1.</v>
          </cell>
          <cell r="D196" t="str">
            <v>unidad</v>
          </cell>
          <cell r="E196" t="str">
            <v>I2023008278</v>
          </cell>
          <cell r="F196">
            <v>45002</v>
          </cell>
          <cell r="G196">
            <v>17775</v>
          </cell>
          <cell r="H196">
            <v>17775</v>
          </cell>
          <cell r="I196">
            <v>17913</v>
          </cell>
          <cell r="J196">
            <v>17990</v>
          </cell>
          <cell r="K196">
            <v>18043</v>
          </cell>
          <cell r="L196">
            <v>18133</v>
          </cell>
          <cell r="M196">
            <v>18259</v>
          </cell>
          <cell r="N196">
            <v>18357</v>
          </cell>
          <cell r="O196">
            <v>18402</v>
          </cell>
          <cell r="P196">
            <v>18488</v>
          </cell>
          <cell r="Q196">
            <v>18571</v>
          </cell>
          <cell r="R196">
            <v>18741</v>
          </cell>
          <cell r="S196">
            <v>18945</v>
          </cell>
          <cell r="T196">
            <v>19077</v>
          </cell>
          <cell r="U196">
            <v>19189</v>
          </cell>
          <cell r="V196">
            <v>1414</v>
          </cell>
          <cell r="W196">
            <v>7.9549929676511949E-2</v>
          </cell>
        </row>
        <row r="197">
          <cell r="B197" t="str">
            <v>ACEITE ESENCIAL DE ENEBRO</v>
          </cell>
          <cell r="C197" t="str">
            <v>Aceite Esencial x 500 ml de fragancias variadas: de jazmín 1 -de rosas 1 - de cedro 1- de lavanda 1- eucalipto 1, limón 1.</v>
          </cell>
          <cell r="D197" t="str">
            <v>Unidad</v>
          </cell>
          <cell r="E197" t="str">
            <v>I2023008278</v>
          </cell>
          <cell r="F197">
            <v>45002</v>
          </cell>
          <cell r="G197">
            <v>17775</v>
          </cell>
          <cell r="H197">
            <v>17775</v>
          </cell>
          <cell r="I197">
            <v>17913</v>
          </cell>
          <cell r="J197">
            <v>17990</v>
          </cell>
          <cell r="K197">
            <v>18043</v>
          </cell>
          <cell r="L197">
            <v>18133</v>
          </cell>
          <cell r="M197">
            <v>18259</v>
          </cell>
          <cell r="N197">
            <v>18357</v>
          </cell>
          <cell r="O197">
            <v>18402</v>
          </cell>
          <cell r="P197">
            <v>18488</v>
          </cell>
          <cell r="Q197">
            <v>18571</v>
          </cell>
          <cell r="R197">
            <v>18741</v>
          </cell>
          <cell r="S197">
            <v>18945</v>
          </cell>
          <cell r="T197">
            <v>19077</v>
          </cell>
          <cell r="U197">
            <v>19189</v>
          </cell>
          <cell r="V197">
            <v>1414</v>
          </cell>
          <cell r="W197">
            <v>7.9549929676511949E-2</v>
          </cell>
        </row>
        <row r="198">
          <cell r="B198" t="str">
            <v>ACEITE ESENCIAL DE JAZMÍN</v>
          </cell>
          <cell r="C198" t="str">
            <v>Aceite Esencial x 500 ml de fragancias variadas: de jazmín 1 -de rosas 1 - de cedro 1- de lavanda 1- eucalipto 1, limón 1.</v>
          </cell>
          <cell r="D198" t="str">
            <v>Unidad</v>
          </cell>
          <cell r="E198" t="str">
            <v>I2023008278</v>
          </cell>
          <cell r="F198">
            <v>45002</v>
          </cell>
          <cell r="G198">
            <v>17775</v>
          </cell>
          <cell r="H198">
            <v>17775</v>
          </cell>
          <cell r="I198">
            <v>17913</v>
          </cell>
          <cell r="J198">
            <v>17990</v>
          </cell>
          <cell r="K198">
            <v>18043</v>
          </cell>
          <cell r="L198">
            <v>18133</v>
          </cell>
          <cell r="M198">
            <v>18259</v>
          </cell>
          <cell r="N198">
            <v>18357</v>
          </cell>
          <cell r="O198">
            <v>18402</v>
          </cell>
          <cell r="P198">
            <v>18488</v>
          </cell>
          <cell r="Q198">
            <v>18571</v>
          </cell>
          <cell r="R198">
            <v>18741</v>
          </cell>
          <cell r="S198">
            <v>18945</v>
          </cell>
          <cell r="T198">
            <v>19077</v>
          </cell>
          <cell r="U198">
            <v>19189</v>
          </cell>
          <cell r="V198">
            <v>1414</v>
          </cell>
          <cell r="W198">
            <v>7.9549929676511949E-2</v>
          </cell>
        </row>
        <row r="199">
          <cell r="B199" t="str">
            <v>ACEITE ESENCIAL DE LAVANDA</v>
          </cell>
          <cell r="C199" t="str">
            <v>Aceite Esencial x 500 ml de fragancias variadas: de jazmín 1 -de rosas 1 - de cedro 1- de lavanda 1- eucalipto 1, limón 1.</v>
          </cell>
          <cell r="D199" t="str">
            <v>Unidad</v>
          </cell>
          <cell r="E199" t="str">
            <v>I2023008278</v>
          </cell>
          <cell r="F199">
            <v>45002</v>
          </cell>
          <cell r="G199">
            <v>17775</v>
          </cell>
          <cell r="H199">
            <v>17775</v>
          </cell>
          <cell r="I199">
            <v>17913</v>
          </cell>
          <cell r="J199">
            <v>17990</v>
          </cell>
          <cell r="K199">
            <v>18043</v>
          </cell>
          <cell r="L199">
            <v>18133</v>
          </cell>
          <cell r="M199">
            <v>18259</v>
          </cell>
          <cell r="N199">
            <v>18357</v>
          </cell>
          <cell r="O199">
            <v>18402</v>
          </cell>
          <cell r="P199">
            <v>18488</v>
          </cell>
          <cell r="Q199">
            <v>18571</v>
          </cell>
          <cell r="R199">
            <v>18741</v>
          </cell>
          <cell r="S199">
            <v>18945</v>
          </cell>
          <cell r="T199">
            <v>19077</v>
          </cell>
          <cell r="U199">
            <v>19189</v>
          </cell>
          <cell r="V199">
            <v>1414</v>
          </cell>
          <cell r="W199">
            <v>7.9549929676511949E-2</v>
          </cell>
        </row>
        <row r="200">
          <cell r="B200" t="str">
            <v>ACEITE ESENCIAL DE MANZANILLA</v>
          </cell>
          <cell r="C200" t="str">
            <v>Aceite Esencial x 500 ml de fragancias variadas: de jazmín 1 -de rosas 1 - de cedro 1- de lavanda 1- eucalipto 1, limón 1.</v>
          </cell>
          <cell r="D200" t="str">
            <v>Unidad</v>
          </cell>
          <cell r="E200" t="str">
            <v>I2023008278</v>
          </cell>
          <cell r="F200">
            <v>45002</v>
          </cell>
          <cell r="G200">
            <v>17775</v>
          </cell>
          <cell r="H200">
            <v>17775</v>
          </cell>
          <cell r="I200">
            <v>17913</v>
          </cell>
          <cell r="J200">
            <v>17990</v>
          </cell>
          <cell r="K200">
            <v>18043</v>
          </cell>
          <cell r="L200">
            <v>18133</v>
          </cell>
          <cell r="M200">
            <v>18259</v>
          </cell>
          <cell r="N200">
            <v>18357</v>
          </cell>
          <cell r="O200">
            <v>18402</v>
          </cell>
          <cell r="P200">
            <v>18488</v>
          </cell>
          <cell r="Q200">
            <v>18571</v>
          </cell>
          <cell r="R200">
            <v>18741</v>
          </cell>
          <cell r="S200">
            <v>18945</v>
          </cell>
          <cell r="T200">
            <v>19077</v>
          </cell>
          <cell r="U200">
            <v>19189</v>
          </cell>
          <cell r="V200">
            <v>1414</v>
          </cell>
          <cell r="W200">
            <v>7.9549929676511949E-2</v>
          </cell>
        </row>
        <row r="201">
          <cell r="B201" t="str">
            <v>ACEITE ESENCIAL DE ORÉGANO</v>
          </cell>
          <cell r="C201" t="str">
            <v>Aceite Esencial x 500 ml de fragancias variadas: de jazmín 1 -de rosas 1 - de cedro 1- de lavanda 1- eucalipto 1, limón 1.</v>
          </cell>
          <cell r="D201" t="str">
            <v>Unidad</v>
          </cell>
          <cell r="E201" t="str">
            <v>I2023008278</v>
          </cell>
          <cell r="F201">
            <v>45002</v>
          </cell>
          <cell r="G201">
            <v>17775</v>
          </cell>
          <cell r="H201">
            <v>17775</v>
          </cell>
          <cell r="I201">
            <v>17913</v>
          </cell>
          <cell r="J201">
            <v>17990</v>
          </cell>
          <cell r="K201">
            <v>18043</v>
          </cell>
          <cell r="L201">
            <v>18133</v>
          </cell>
          <cell r="M201">
            <v>18259</v>
          </cell>
          <cell r="N201">
            <v>18357</v>
          </cell>
          <cell r="O201">
            <v>18402</v>
          </cell>
          <cell r="P201">
            <v>18488</v>
          </cell>
          <cell r="Q201">
            <v>18571</v>
          </cell>
          <cell r="R201">
            <v>18741</v>
          </cell>
          <cell r="S201">
            <v>18945</v>
          </cell>
          <cell r="T201">
            <v>19077</v>
          </cell>
          <cell r="U201">
            <v>19189</v>
          </cell>
          <cell r="V201">
            <v>1414</v>
          </cell>
          <cell r="W201">
            <v>7.9549929676511949E-2</v>
          </cell>
        </row>
        <row r="202">
          <cell r="B202" t="str">
            <v>AEROSOLES PARA GRAFITIS</v>
          </cell>
          <cell r="C202" t="str">
            <v>Pintura en aeropsol x 400 ml</v>
          </cell>
          <cell r="D202" t="str">
            <v>unidad</v>
          </cell>
          <cell r="E202" t="str">
            <v>I2024014734</v>
          </cell>
          <cell r="F202" t="str">
            <v>0</v>
          </cell>
          <cell r="G202">
            <v>36951</v>
          </cell>
          <cell r="H202">
            <v>36951</v>
          </cell>
          <cell r="I202">
            <v>36951</v>
          </cell>
          <cell r="J202">
            <v>36951</v>
          </cell>
          <cell r="K202">
            <v>36951</v>
          </cell>
          <cell r="L202">
            <v>36951</v>
          </cell>
          <cell r="M202">
            <v>36951</v>
          </cell>
          <cell r="N202">
            <v>36951</v>
          </cell>
          <cell r="O202">
            <v>36951</v>
          </cell>
          <cell r="P202">
            <v>36951</v>
          </cell>
          <cell r="Q202">
            <v>36951</v>
          </cell>
          <cell r="R202">
            <v>36951</v>
          </cell>
          <cell r="S202">
            <v>36951</v>
          </cell>
          <cell r="T202">
            <v>36951</v>
          </cell>
          <cell r="U202">
            <v>36951</v>
          </cell>
          <cell r="V202">
            <v>0</v>
          </cell>
          <cell r="W202">
            <v>0</v>
          </cell>
        </row>
        <row r="203">
          <cell r="B203" t="str">
            <v>ALGODÓN EN BOLAS</v>
          </cell>
          <cell r="C203" t="str">
            <v>Paquete de Bolas de Algodón x 100</v>
          </cell>
          <cell r="D203" t="str">
            <v>Unidad</v>
          </cell>
          <cell r="E203" t="str">
            <v>I2024014734</v>
          </cell>
          <cell r="F203" t="str">
            <v>0</v>
          </cell>
          <cell r="G203">
            <v>11369</v>
          </cell>
          <cell r="H203">
            <v>11369</v>
          </cell>
          <cell r="I203">
            <v>11369</v>
          </cell>
          <cell r="J203">
            <v>11369</v>
          </cell>
          <cell r="K203">
            <v>11369</v>
          </cell>
          <cell r="L203">
            <v>11369</v>
          </cell>
          <cell r="M203">
            <v>11369</v>
          </cell>
          <cell r="N203">
            <v>11369</v>
          </cell>
          <cell r="O203">
            <v>11369</v>
          </cell>
          <cell r="P203">
            <v>11369</v>
          </cell>
          <cell r="Q203">
            <v>11369</v>
          </cell>
          <cell r="R203">
            <v>11369</v>
          </cell>
          <cell r="S203">
            <v>11369</v>
          </cell>
          <cell r="T203">
            <v>11369</v>
          </cell>
          <cell r="U203">
            <v>11369</v>
          </cell>
          <cell r="V203">
            <v>0</v>
          </cell>
          <cell r="W203">
            <v>0</v>
          </cell>
        </row>
        <row r="204">
          <cell r="B204" t="str">
            <v>ARCILLA</v>
          </cell>
          <cell r="C204" t="str">
            <v>Arcilla bolsas por libras</v>
          </cell>
          <cell r="D204" t="str">
            <v>Libra</v>
          </cell>
          <cell r="E204" t="str">
            <v>I2023004856</v>
          </cell>
          <cell r="F204">
            <v>44974</v>
          </cell>
          <cell r="G204">
            <v>14821</v>
          </cell>
          <cell r="H204">
            <v>14976</v>
          </cell>
          <cell r="I204">
            <v>15092</v>
          </cell>
          <cell r="J204">
            <v>15156</v>
          </cell>
          <cell r="K204">
            <v>15201</v>
          </cell>
          <cell r="L204">
            <v>15277</v>
          </cell>
          <cell r="M204">
            <v>15383</v>
          </cell>
          <cell r="N204">
            <v>15466</v>
          </cell>
          <cell r="O204">
            <v>15504</v>
          </cell>
          <cell r="P204">
            <v>15576</v>
          </cell>
          <cell r="Q204">
            <v>15646</v>
          </cell>
          <cell r="R204">
            <v>15789</v>
          </cell>
          <cell r="S204">
            <v>15961</v>
          </cell>
          <cell r="T204">
            <v>16072</v>
          </cell>
          <cell r="U204">
            <v>16166</v>
          </cell>
          <cell r="V204">
            <v>1345</v>
          </cell>
          <cell r="W204">
            <v>9.074961203697457E-2</v>
          </cell>
        </row>
        <row r="205">
          <cell r="B205" t="str">
            <v xml:space="preserve">AROS PLÁSTICOS </v>
          </cell>
          <cell r="C205" t="str">
            <v>Aros p´lasticos de diferentes colores para adulto</v>
          </cell>
          <cell r="D205" t="str">
            <v>Unidad</v>
          </cell>
          <cell r="E205" t="str">
            <v>I2023008278</v>
          </cell>
          <cell r="F205">
            <v>45002</v>
          </cell>
          <cell r="G205">
            <v>12839</v>
          </cell>
          <cell r="H205">
            <v>12839</v>
          </cell>
          <cell r="I205">
            <v>12939</v>
          </cell>
          <cell r="J205">
            <v>12994</v>
          </cell>
          <cell r="K205">
            <v>13032</v>
          </cell>
          <cell r="L205">
            <v>13097</v>
          </cell>
          <cell r="M205">
            <v>13188</v>
          </cell>
          <cell r="N205">
            <v>13259</v>
          </cell>
          <cell r="O205">
            <v>13292</v>
          </cell>
          <cell r="P205">
            <v>13354</v>
          </cell>
          <cell r="Q205">
            <v>13414</v>
          </cell>
          <cell r="R205">
            <v>13537</v>
          </cell>
          <cell r="S205">
            <v>13684</v>
          </cell>
          <cell r="T205">
            <v>13779</v>
          </cell>
          <cell r="U205">
            <v>13860</v>
          </cell>
          <cell r="V205">
            <v>1021</v>
          </cell>
          <cell r="W205">
            <v>7.9523327361944077E-2</v>
          </cell>
        </row>
        <row r="206">
          <cell r="B206" t="str">
            <v>BALON DE PILATES - YOGA</v>
          </cell>
          <cell r="C206" t="str">
            <v>Balones terapéuticos de diferentes diámetros (65, 75, 80, 85 cm)</v>
          </cell>
          <cell r="D206" t="str">
            <v>Unidad</v>
          </cell>
          <cell r="E206" t="str">
            <v>I2023004856</v>
          </cell>
          <cell r="F206">
            <v>44974</v>
          </cell>
          <cell r="G206">
            <v>69100</v>
          </cell>
          <cell r="H206">
            <v>69825</v>
          </cell>
          <cell r="I206">
            <v>70369</v>
          </cell>
          <cell r="J206">
            <v>70671</v>
          </cell>
          <cell r="K206">
            <v>70883</v>
          </cell>
          <cell r="L206">
            <v>71237</v>
          </cell>
          <cell r="M206">
            <v>71735</v>
          </cell>
          <cell r="N206">
            <v>72122</v>
          </cell>
          <cell r="O206">
            <v>72302</v>
          </cell>
          <cell r="P206">
            <v>72641</v>
          </cell>
          <cell r="Q206">
            <v>72967</v>
          </cell>
          <cell r="R206">
            <v>73638</v>
          </cell>
          <cell r="S206">
            <v>74440</v>
          </cell>
          <cell r="T206">
            <v>74961</v>
          </cell>
          <cell r="U206">
            <v>75403</v>
          </cell>
          <cell r="V206">
            <v>6303</v>
          </cell>
          <cell r="W206">
            <v>9.1215629522431257E-2</v>
          </cell>
        </row>
        <row r="207">
          <cell r="B207" t="str">
            <v>BALON MEDICINAL</v>
          </cell>
          <cell r="C207" t="str">
            <v>Balón medicinal 4 kg diámetro 70 cm s, esférico de cuero, goma o plástico.</v>
          </cell>
          <cell r="D207" t="str">
            <v>Unidad</v>
          </cell>
          <cell r="E207" t="str">
            <v>I2024014734</v>
          </cell>
          <cell r="F207" t="str">
            <v>0</v>
          </cell>
          <cell r="G207">
            <v>108764</v>
          </cell>
          <cell r="H207">
            <v>108764</v>
          </cell>
          <cell r="I207">
            <v>108764</v>
          </cell>
          <cell r="J207">
            <v>108764</v>
          </cell>
          <cell r="K207">
            <v>108764</v>
          </cell>
          <cell r="L207">
            <v>108764</v>
          </cell>
          <cell r="M207">
            <v>108764</v>
          </cell>
          <cell r="N207">
            <v>108764</v>
          </cell>
          <cell r="O207">
            <v>108764</v>
          </cell>
          <cell r="P207">
            <v>108764</v>
          </cell>
          <cell r="Q207">
            <v>108764</v>
          </cell>
          <cell r="R207">
            <v>108764</v>
          </cell>
          <cell r="S207">
            <v>108764</v>
          </cell>
          <cell r="T207">
            <v>108764</v>
          </cell>
          <cell r="U207">
            <v>108764</v>
          </cell>
          <cell r="V207">
            <v>0</v>
          </cell>
          <cell r="W207">
            <v>0</v>
          </cell>
        </row>
        <row r="208">
          <cell r="B208" t="str">
            <v>BISTURÍ</v>
          </cell>
          <cell r="C208" t="str">
            <v>Bisturí Grande</v>
          </cell>
          <cell r="D208" t="str">
            <v>Desgaste y uso mensual por unidad</v>
          </cell>
          <cell r="E208" t="str">
            <v>I2023015628</v>
          </cell>
          <cell r="F208">
            <v>45076</v>
          </cell>
          <cell r="G208">
            <v>1511</v>
          </cell>
          <cell r="H208">
            <v>1511</v>
          </cell>
          <cell r="I208">
            <v>1511</v>
          </cell>
          <cell r="J208">
            <v>1511</v>
          </cell>
          <cell r="K208">
            <v>1515</v>
          </cell>
          <cell r="L208">
            <v>1522</v>
          </cell>
          <cell r="M208">
            <v>1532</v>
          </cell>
          <cell r="N208">
            <v>1540</v>
          </cell>
          <cell r="O208">
            <v>1543</v>
          </cell>
          <cell r="P208">
            <v>1550</v>
          </cell>
          <cell r="Q208">
            <v>1556</v>
          </cell>
          <cell r="R208">
            <v>1570</v>
          </cell>
          <cell r="S208">
            <v>1587</v>
          </cell>
          <cell r="T208">
            <v>1598</v>
          </cell>
          <cell r="U208">
            <v>1607</v>
          </cell>
          <cell r="V208">
            <v>96</v>
          </cell>
          <cell r="W208">
            <v>6.3534083388484444E-2</v>
          </cell>
        </row>
        <row r="209">
          <cell r="B209" t="str">
            <v>BORRADO DE NATA</v>
          </cell>
          <cell r="C209" t="str">
            <v>Borrador Para Lápiz, Nata, Tamaño 5.5 Cm X 2cm. Caja de 24 unidades</v>
          </cell>
          <cell r="D209" t="str">
            <v>caja x 20</v>
          </cell>
          <cell r="E209" t="str">
            <v>I2023004856</v>
          </cell>
          <cell r="F209">
            <v>44974</v>
          </cell>
          <cell r="G209">
            <v>18298</v>
          </cell>
          <cell r="H209">
            <v>18490</v>
          </cell>
          <cell r="I209">
            <v>18634</v>
          </cell>
          <cell r="J209">
            <v>18714</v>
          </cell>
          <cell r="K209">
            <v>18770</v>
          </cell>
          <cell r="L209">
            <v>18863</v>
          </cell>
          <cell r="M209">
            <v>18995</v>
          </cell>
          <cell r="N209">
            <v>19097</v>
          </cell>
          <cell r="O209">
            <v>19144</v>
          </cell>
          <cell r="P209">
            <v>19233</v>
          </cell>
          <cell r="Q209">
            <v>19319</v>
          </cell>
          <cell r="R209">
            <v>19496</v>
          </cell>
          <cell r="S209">
            <v>19708</v>
          </cell>
          <cell r="T209">
            <v>19845</v>
          </cell>
          <cell r="U209">
            <v>19962</v>
          </cell>
          <cell r="V209">
            <v>1664</v>
          </cell>
          <cell r="W209">
            <v>9.0938900426276101E-2</v>
          </cell>
        </row>
        <row r="210">
          <cell r="B210" t="str">
            <v>BROCHAS 1</v>
          </cell>
          <cell r="C210" t="str">
            <v>pequeña 1 Pulgada</v>
          </cell>
          <cell r="D210" t="str">
            <v>unidad</v>
          </cell>
          <cell r="E210" t="str">
            <v>I2023008278</v>
          </cell>
          <cell r="F210">
            <v>45002</v>
          </cell>
          <cell r="G210">
            <v>7667</v>
          </cell>
          <cell r="H210">
            <v>7667</v>
          </cell>
          <cell r="I210">
            <v>7726</v>
          </cell>
          <cell r="J210">
            <v>7759</v>
          </cell>
          <cell r="K210">
            <v>7782</v>
          </cell>
          <cell r="L210">
            <v>7820</v>
          </cell>
          <cell r="M210">
            <v>7874</v>
          </cell>
          <cell r="N210">
            <v>7916</v>
          </cell>
          <cell r="O210">
            <v>7935</v>
          </cell>
          <cell r="P210">
            <v>7972</v>
          </cell>
          <cell r="Q210">
            <v>8007</v>
          </cell>
          <cell r="R210">
            <v>8080</v>
          </cell>
          <cell r="S210">
            <v>8168</v>
          </cell>
          <cell r="T210">
            <v>8225</v>
          </cell>
          <cell r="U210">
            <v>8273</v>
          </cell>
          <cell r="V210">
            <v>606</v>
          </cell>
          <cell r="W210">
            <v>7.9040041737315769E-2</v>
          </cell>
        </row>
        <row r="211">
          <cell r="B211" t="str">
            <v>BROCHAS 2</v>
          </cell>
          <cell r="C211" t="str">
            <v>Mediana 2 Pulgadas</v>
          </cell>
          <cell r="D211" t="str">
            <v>unidad</v>
          </cell>
          <cell r="E211" t="str">
            <v>I2023004856</v>
          </cell>
          <cell r="F211">
            <v>44974</v>
          </cell>
          <cell r="G211">
            <v>9943</v>
          </cell>
          <cell r="H211">
            <v>10047</v>
          </cell>
          <cell r="I211">
            <v>10125</v>
          </cell>
          <cell r="J211">
            <v>10168</v>
          </cell>
          <cell r="K211">
            <v>10198</v>
          </cell>
          <cell r="L211">
            <v>10248</v>
          </cell>
          <cell r="M211">
            <v>10319</v>
          </cell>
          <cell r="N211">
            <v>10374</v>
          </cell>
          <cell r="O211">
            <v>10399</v>
          </cell>
          <cell r="P211">
            <v>10447</v>
          </cell>
          <cell r="Q211">
            <v>10494</v>
          </cell>
          <cell r="R211">
            <v>10590</v>
          </cell>
          <cell r="S211">
            <v>10705</v>
          </cell>
          <cell r="T211">
            <v>10779</v>
          </cell>
          <cell r="U211">
            <v>10842</v>
          </cell>
          <cell r="V211">
            <v>899</v>
          </cell>
          <cell r="W211">
            <v>9.0415367595293172E-2</v>
          </cell>
        </row>
        <row r="212">
          <cell r="B212" t="str">
            <v>CAJAS DE MARCADORES PERMANENTES</v>
          </cell>
          <cell r="C212" t="str">
            <v>Marcadores Gruesos Secos Para Tablero Acrílico Diferentes Colores De Alto Rendimiento</v>
          </cell>
          <cell r="D212" t="str">
            <v>Estuche por 4 unidades</v>
          </cell>
          <cell r="E212" t="str">
            <v>I2023004856</v>
          </cell>
          <cell r="F212">
            <v>44974</v>
          </cell>
          <cell r="G212">
            <v>41873</v>
          </cell>
          <cell r="H212">
            <v>42312</v>
          </cell>
          <cell r="I212">
            <v>42642</v>
          </cell>
          <cell r="J212">
            <v>42825</v>
          </cell>
          <cell r="K212">
            <v>42953</v>
          </cell>
          <cell r="L212">
            <v>43167</v>
          </cell>
          <cell r="M212">
            <v>43469</v>
          </cell>
          <cell r="N212">
            <v>43703</v>
          </cell>
          <cell r="O212">
            <v>43812</v>
          </cell>
          <cell r="P212">
            <v>44017</v>
          </cell>
          <cell r="Q212">
            <v>44215</v>
          </cell>
          <cell r="R212">
            <v>44621</v>
          </cell>
          <cell r="S212">
            <v>45107</v>
          </cell>
          <cell r="T212">
            <v>45422</v>
          </cell>
          <cell r="U212">
            <v>45689</v>
          </cell>
          <cell r="V212">
            <v>3816</v>
          </cell>
          <cell r="W212">
            <v>9.1132710816038978E-2</v>
          </cell>
        </row>
        <row r="213">
          <cell r="B213" t="str">
            <v>CARTÓN CARTULINA</v>
          </cell>
          <cell r="C213" t="str">
            <v>Pliego</v>
          </cell>
          <cell r="D213" t="str">
            <v>Pliego</v>
          </cell>
          <cell r="E213" t="str">
            <v>I2023015628</v>
          </cell>
          <cell r="F213">
            <v>45076</v>
          </cell>
          <cell r="G213">
            <v>4836</v>
          </cell>
          <cell r="H213">
            <v>4836</v>
          </cell>
          <cell r="I213">
            <v>4836</v>
          </cell>
          <cell r="J213">
            <v>4836</v>
          </cell>
          <cell r="K213">
            <v>4850</v>
          </cell>
          <cell r="L213">
            <v>4874</v>
          </cell>
          <cell r="M213">
            <v>4908</v>
          </cell>
          <cell r="N213">
            <v>4934</v>
          </cell>
          <cell r="O213">
            <v>4946</v>
          </cell>
          <cell r="P213">
            <v>4969</v>
          </cell>
          <cell r="Q213">
            <v>4991</v>
          </cell>
          <cell r="R213">
            <v>5036</v>
          </cell>
          <cell r="S213">
            <v>5090</v>
          </cell>
          <cell r="T213">
            <v>5125</v>
          </cell>
          <cell r="U213">
            <v>5155</v>
          </cell>
          <cell r="V213">
            <v>319</v>
          </cell>
          <cell r="W213">
            <v>6.5963606286186929E-2</v>
          </cell>
        </row>
        <row r="214">
          <cell r="B214" t="str">
            <v>CARTÓN PAJA</v>
          </cell>
          <cell r="C214" t="str">
            <v>Pliego</v>
          </cell>
          <cell r="D214" t="str">
            <v>Pliego</v>
          </cell>
          <cell r="E214" t="str">
            <v>I2023015628</v>
          </cell>
          <cell r="F214">
            <v>45076</v>
          </cell>
          <cell r="G214">
            <v>7437</v>
          </cell>
          <cell r="H214">
            <v>7437</v>
          </cell>
          <cell r="I214">
            <v>7437</v>
          </cell>
          <cell r="J214">
            <v>7437</v>
          </cell>
          <cell r="K214">
            <v>7459</v>
          </cell>
          <cell r="L214">
            <v>7496</v>
          </cell>
          <cell r="M214">
            <v>7548</v>
          </cell>
          <cell r="N214">
            <v>7588</v>
          </cell>
          <cell r="O214">
            <v>7606</v>
          </cell>
          <cell r="P214">
            <v>7641</v>
          </cell>
          <cell r="Q214">
            <v>7675</v>
          </cell>
          <cell r="R214">
            <v>7745</v>
          </cell>
          <cell r="S214">
            <v>7829</v>
          </cell>
          <cell r="T214">
            <v>7883</v>
          </cell>
          <cell r="U214">
            <v>7929</v>
          </cell>
          <cell r="V214">
            <v>492</v>
          </cell>
          <cell r="W214">
            <v>6.6155707946752726E-2</v>
          </cell>
        </row>
        <row r="215">
          <cell r="B215" t="str">
            <v>CARTULINA BLANCA</v>
          </cell>
          <cell r="C215" t="str">
            <v>Octavos</v>
          </cell>
          <cell r="D215" t="str">
            <v>OCTAVOS
PAQUETE X 100</v>
          </cell>
          <cell r="E215" t="str">
            <v>I2023015628</v>
          </cell>
          <cell r="F215">
            <v>45076</v>
          </cell>
          <cell r="G215">
            <v>4836</v>
          </cell>
          <cell r="H215">
            <v>4836</v>
          </cell>
          <cell r="I215">
            <v>4836</v>
          </cell>
          <cell r="J215">
            <v>4836</v>
          </cell>
          <cell r="K215">
            <v>4850</v>
          </cell>
          <cell r="L215">
            <v>4874</v>
          </cell>
          <cell r="M215">
            <v>4908</v>
          </cell>
          <cell r="N215">
            <v>4934</v>
          </cell>
          <cell r="O215">
            <v>4946</v>
          </cell>
          <cell r="P215">
            <v>4969</v>
          </cell>
          <cell r="Q215">
            <v>4991</v>
          </cell>
          <cell r="R215">
            <v>5036</v>
          </cell>
          <cell r="S215">
            <v>5090</v>
          </cell>
          <cell r="T215">
            <v>5125</v>
          </cell>
          <cell r="U215">
            <v>5155</v>
          </cell>
          <cell r="V215">
            <v>319</v>
          </cell>
          <cell r="W215">
            <v>6.5963606286186929E-2</v>
          </cell>
        </row>
        <row r="216">
          <cell r="B216" t="str">
            <v>CARTULINA DE COLORES SURTIDOS</v>
          </cell>
          <cell r="C216" t="str">
            <v>Pliego</v>
          </cell>
          <cell r="D216" t="str">
            <v>unidad</v>
          </cell>
          <cell r="E216" t="str">
            <v>I2023015628</v>
          </cell>
          <cell r="F216">
            <v>45076</v>
          </cell>
          <cell r="G216">
            <v>3471</v>
          </cell>
          <cell r="H216">
            <v>3471</v>
          </cell>
          <cell r="I216">
            <v>3471</v>
          </cell>
          <cell r="J216">
            <v>3471</v>
          </cell>
          <cell r="K216">
            <v>3481</v>
          </cell>
          <cell r="L216">
            <v>3498</v>
          </cell>
          <cell r="M216">
            <v>3522</v>
          </cell>
          <cell r="N216">
            <v>3541</v>
          </cell>
          <cell r="O216">
            <v>3549</v>
          </cell>
          <cell r="P216">
            <v>3565</v>
          </cell>
          <cell r="Q216">
            <v>3581</v>
          </cell>
          <cell r="R216">
            <v>3613</v>
          </cell>
          <cell r="S216">
            <v>3652</v>
          </cell>
          <cell r="T216">
            <v>3677</v>
          </cell>
          <cell r="U216">
            <v>3698</v>
          </cell>
          <cell r="V216">
            <v>227</v>
          </cell>
          <cell r="W216">
            <v>6.5399020455200227E-2</v>
          </cell>
        </row>
        <row r="217">
          <cell r="B217" t="str">
            <v>CINTA DE ENMASCARAR</v>
          </cell>
          <cell r="C217" t="str">
            <v>Rollo x 40 mts</v>
          </cell>
          <cell r="D217" t="str">
            <v xml:space="preserve">Rollo </v>
          </cell>
          <cell r="E217" t="str">
            <v>I2023015628</v>
          </cell>
          <cell r="F217">
            <v>45076</v>
          </cell>
          <cell r="G217">
            <v>13672</v>
          </cell>
          <cell r="H217">
            <v>13672</v>
          </cell>
          <cell r="I217">
            <v>13672</v>
          </cell>
          <cell r="J217">
            <v>13672</v>
          </cell>
          <cell r="K217">
            <v>13713</v>
          </cell>
          <cell r="L217">
            <v>13781</v>
          </cell>
          <cell r="M217">
            <v>13877</v>
          </cell>
          <cell r="N217">
            <v>13951</v>
          </cell>
          <cell r="O217">
            <v>13985</v>
          </cell>
          <cell r="P217">
            <v>14050</v>
          </cell>
          <cell r="Q217">
            <v>14113</v>
          </cell>
          <cell r="R217">
            <v>14242</v>
          </cell>
          <cell r="S217">
            <v>14397</v>
          </cell>
          <cell r="T217">
            <v>14497</v>
          </cell>
          <cell r="U217">
            <v>14582</v>
          </cell>
          <cell r="V217">
            <v>910</v>
          </cell>
          <cell r="W217">
            <v>6.6559391456992398E-2</v>
          </cell>
        </row>
        <row r="218">
          <cell r="B218" t="str">
            <v>CINTA TRANSPARENTE 48MM</v>
          </cell>
          <cell r="C218" t="str">
            <v>Rollo x 40 mts</v>
          </cell>
          <cell r="D218" t="str">
            <v>Rollo</v>
          </cell>
          <cell r="E218" t="str">
            <v>I2023015628</v>
          </cell>
          <cell r="F218">
            <v>45076</v>
          </cell>
          <cell r="G218">
            <v>8230</v>
          </cell>
          <cell r="H218">
            <v>8230</v>
          </cell>
          <cell r="I218">
            <v>8230</v>
          </cell>
          <cell r="J218">
            <v>8230</v>
          </cell>
          <cell r="K218">
            <v>8254</v>
          </cell>
          <cell r="L218">
            <v>8295</v>
          </cell>
          <cell r="M218">
            <v>8353</v>
          </cell>
          <cell r="N218">
            <v>8398</v>
          </cell>
          <cell r="O218">
            <v>8418</v>
          </cell>
          <cell r="P218">
            <v>8457</v>
          </cell>
          <cell r="Q218">
            <v>8495</v>
          </cell>
          <cell r="R218">
            <v>8573</v>
          </cell>
          <cell r="S218">
            <v>8666</v>
          </cell>
          <cell r="T218">
            <v>8726</v>
          </cell>
          <cell r="U218">
            <v>8777</v>
          </cell>
          <cell r="V218">
            <v>547</v>
          </cell>
          <cell r="W218">
            <v>6.6464155528554072E-2</v>
          </cell>
        </row>
        <row r="219">
          <cell r="B219" t="str">
            <v>COJÍN</v>
          </cell>
          <cell r="C219" t="str">
            <v>"Cojín antiescaras para silla de ruedas, con forro 
antifluido 100% impermeable con cierre para fácil 
limpieza, material tela antifluido largo 40 cm, ancho 
40 cm y altura de 4,5 cm"</v>
          </cell>
          <cell r="D219" t="str">
            <v>Desgaste y uso mensual por unidad</v>
          </cell>
          <cell r="E219" t="str">
            <v>I2023001433</v>
          </cell>
          <cell r="F219" t="str">
            <v>0</v>
          </cell>
          <cell r="G219">
            <v>50763</v>
          </cell>
          <cell r="H219">
            <v>50763</v>
          </cell>
          <cell r="I219">
            <v>50763</v>
          </cell>
          <cell r="J219">
            <v>50763</v>
          </cell>
          <cell r="K219">
            <v>50763</v>
          </cell>
          <cell r="L219">
            <v>50763</v>
          </cell>
          <cell r="M219">
            <v>50763</v>
          </cell>
          <cell r="N219">
            <v>50763</v>
          </cell>
          <cell r="O219">
            <v>50763</v>
          </cell>
          <cell r="P219">
            <v>50763</v>
          </cell>
          <cell r="Q219">
            <v>50763</v>
          </cell>
          <cell r="R219">
            <v>50763</v>
          </cell>
          <cell r="S219">
            <v>50763</v>
          </cell>
          <cell r="T219">
            <v>50763</v>
          </cell>
          <cell r="U219">
            <v>50763</v>
          </cell>
          <cell r="V219">
            <v>0</v>
          </cell>
          <cell r="W219">
            <v>0</v>
          </cell>
        </row>
        <row r="220">
          <cell r="B220" t="str">
            <v>COLCHONETA 8MM YOGA</v>
          </cell>
          <cell r="C220" t="str">
            <v>Colchoneta de Yoga. Material: TPE. Espesor: 6mm. Medidas: 181 x 61 x 0.6 cm. Peso: 1.3 kg</v>
          </cell>
          <cell r="D220" t="str">
            <v>unidad</v>
          </cell>
          <cell r="E220" t="str">
            <v>I2023032069</v>
          </cell>
          <cell r="F220">
            <v>45220</v>
          </cell>
          <cell r="G220">
            <v>65028</v>
          </cell>
          <cell r="H220">
            <v>65028</v>
          </cell>
          <cell r="I220">
            <v>65028</v>
          </cell>
          <cell r="J220">
            <v>65028</v>
          </cell>
          <cell r="K220">
            <v>65028</v>
          </cell>
          <cell r="L220">
            <v>65028</v>
          </cell>
          <cell r="M220">
            <v>65028</v>
          </cell>
          <cell r="N220">
            <v>65028</v>
          </cell>
          <cell r="O220">
            <v>65028</v>
          </cell>
          <cell r="P220">
            <v>65333</v>
          </cell>
          <cell r="Q220">
            <v>65626</v>
          </cell>
          <cell r="R220">
            <v>66229</v>
          </cell>
          <cell r="S220">
            <v>66950</v>
          </cell>
          <cell r="T220">
            <v>67418</v>
          </cell>
          <cell r="U220">
            <v>67815</v>
          </cell>
          <cell r="V220">
            <v>2787</v>
          </cell>
          <cell r="W220">
            <v>4.285846097065879E-2</v>
          </cell>
        </row>
        <row r="221">
          <cell r="B221" t="str">
            <v>CRAYOLAS</v>
          </cell>
          <cell r="C221" t="str">
            <v>Caja * 10</v>
          </cell>
          <cell r="D221" t="str">
            <v>Caja x 10 unidades</v>
          </cell>
          <cell r="E221" t="str">
            <v>I2023015628</v>
          </cell>
          <cell r="F221">
            <v>45076</v>
          </cell>
          <cell r="G221">
            <v>10073</v>
          </cell>
          <cell r="H221">
            <v>10073</v>
          </cell>
          <cell r="I221">
            <v>10073</v>
          </cell>
          <cell r="J221">
            <v>10073</v>
          </cell>
          <cell r="K221">
            <v>10103</v>
          </cell>
          <cell r="L221">
            <v>10153</v>
          </cell>
          <cell r="M221">
            <v>10224</v>
          </cell>
          <cell r="N221">
            <v>10279</v>
          </cell>
          <cell r="O221">
            <v>10304</v>
          </cell>
          <cell r="P221">
            <v>10352</v>
          </cell>
          <cell r="Q221">
            <v>10398</v>
          </cell>
          <cell r="R221">
            <v>10493</v>
          </cell>
          <cell r="S221">
            <v>10607</v>
          </cell>
          <cell r="T221">
            <v>10681</v>
          </cell>
          <cell r="U221">
            <v>10744</v>
          </cell>
          <cell r="V221">
            <v>671</v>
          </cell>
          <cell r="W221">
            <v>6.6613719845130551E-2</v>
          </cell>
        </row>
        <row r="222">
          <cell r="B222" t="str">
            <v>CUERDA DE FIQUE</v>
          </cell>
          <cell r="C222" t="str">
            <v>Rollo cabuya de fique de colores  x200 m</v>
          </cell>
          <cell r="D222" t="str">
            <v>Desgaste y uso mensual por unidad</v>
          </cell>
          <cell r="E222" t="str">
            <v>I2023008278</v>
          </cell>
          <cell r="F222">
            <v>45002</v>
          </cell>
          <cell r="G222">
            <v>25728</v>
          </cell>
          <cell r="H222">
            <v>25728</v>
          </cell>
          <cell r="I222">
            <v>25928</v>
          </cell>
          <cell r="J222">
            <v>26039</v>
          </cell>
          <cell r="K222">
            <v>26117</v>
          </cell>
          <cell r="L222">
            <v>26247</v>
          </cell>
          <cell r="M222">
            <v>26430</v>
          </cell>
          <cell r="N222">
            <v>26572</v>
          </cell>
          <cell r="O222">
            <v>26638</v>
          </cell>
          <cell r="P222">
            <v>26763</v>
          </cell>
          <cell r="Q222">
            <v>26883</v>
          </cell>
          <cell r="R222">
            <v>27130</v>
          </cell>
          <cell r="S222">
            <v>27425</v>
          </cell>
          <cell r="T222">
            <v>27616</v>
          </cell>
          <cell r="U222">
            <v>27778</v>
          </cell>
          <cell r="V222">
            <v>2050</v>
          </cell>
          <cell r="W222">
            <v>7.9679726368159204E-2</v>
          </cell>
        </row>
        <row r="223">
          <cell r="B223" t="str">
            <v>ESPONJAS</v>
          </cell>
          <cell r="C223" t="str">
            <v>Espuma de poliuretano</v>
          </cell>
          <cell r="D223">
            <v>0</v>
          </cell>
          <cell r="E223" t="str">
            <v>I2024014734</v>
          </cell>
          <cell r="F223" t="str">
            <v>0</v>
          </cell>
          <cell r="G223">
            <v>20173</v>
          </cell>
          <cell r="H223">
            <v>20173</v>
          </cell>
          <cell r="I223">
            <v>20173</v>
          </cell>
          <cell r="J223">
            <v>20173</v>
          </cell>
          <cell r="K223">
            <v>20173</v>
          </cell>
          <cell r="L223">
            <v>20173</v>
          </cell>
          <cell r="M223">
            <v>20173</v>
          </cell>
          <cell r="N223">
            <v>20173</v>
          </cell>
          <cell r="O223">
            <v>20173</v>
          </cell>
          <cell r="P223">
            <v>20173</v>
          </cell>
          <cell r="Q223">
            <v>20173</v>
          </cell>
          <cell r="R223">
            <v>20173</v>
          </cell>
          <cell r="S223">
            <v>20173</v>
          </cell>
          <cell r="T223">
            <v>20173</v>
          </cell>
          <cell r="U223">
            <v>20173</v>
          </cell>
          <cell r="V223">
            <v>0</v>
          </cell>
          <cell r="W223">
            <v>0</v>
          </cell>
        </row>
        <row r="224">
          <cell r="B224" t="str">
            <v>ESTROPAJO</v>
          </cell>
          <cell r="C224" t="str">
            <v>DIMENSIONES APROXIMADAS (10%+/-) MINIMO 20 CMS DE LARGO 15 CM DE ANCHO, ESPECIFICACIONES CON BORDE POR UN LADO TELA, POR EL OTRO ESTROPAJO. DATOS EN EL EMPAQUE QUE INCLUYA NOMBRE DEL PRODUCTO Y NOMBRE DEL FABRICANTE.</v>
          </cell>
          <cell r="D224" t="str">
            <v>Unidad</v>
          </cell>
          <cell r="E224" t="str">
            <v>I2023010652</v>
          </cell>
          <cell r="F224">
            <v>45030</v>
          </cell>
          <cell r="G224">
            <v>9132</v>
          </cell>
          <cell r="H224">
            <v>9132</v>
          </cell>
          <cell r="I224">
            <v>9132</v>
          </cell>
          <cell r="J224">
            <v>9171</v>
          </cell>
          <cell r="K224">
            <v>9198</v>
          </cell>
          <cell r="L224">
            <v>9243</v>
          </cell>
          <cell r="M224">
            <v>9307</v>
          </cell>
          <cell r="N224">
            <v>9357</v>
          </cell>
          <cell r="O224">
            <v>9380</v>
          </cell>
          <cell r="P224">
            <v>9424</v>
          </cell>
          <cell r="Q224">
            <v>9466</v>
          </cell>
          <cell r="R224">
            <v>9553</v>
          </cell>
          <cell r="S224">
            <v>9657</v>
          </cell>
          <cell r="T224">
            <v>9724</v>
          </cell>
          <cell r="U224">
            <v>9781</v>
          </cell>
          <cell r="V224">
            <v>649</v>
          </cell>
          <cell r="W224">
            <v>7.1068769163381521E-2</v>
          </cell>
        </row>
        <row r="225">
          <cell r="B225" t="str">
            <v>GLOBOS</v>
          </cell>
          <cell r="C225" t="str">
            <v>Bombas R12 colores surtidos paquete x 24 unidades</v>
          </cell>
          <cell r="D225" t="str">
            <v>Paquete</v>
          </cell>
          <cell r="E225" t="str">
            <v>I2023015628</v>
          </cell>
          <cell r="F225">
            <v>45076</v>
          </cell>
          <cell r="G225">
            <v>27032</v>
          </cell>
          <cell r="H225">
            <v>27032</v>
          </cell>
          <cell r="I225">
            <v>27032</v>
          </cell>
          <cell r="J225">
            <v>27032</v>
          </cell>
          <cell r="K225">
            <v>27113</v>
          </cell>
          <cell r="L225">
            <v>27248</v>
          </cell>
          <cell r="M225">
            <v>27438</v>
          </cell>
          <cell r="N225">
            <v>27586</v>
          </cell>
          <cell r="O225">
            <v>27654</v>
          </cell>
          <cell r="P225">
            <v>27783</v>
          </cell>
          <cell r="Q225">
            <v>27908</v>
          </cell>
          <cell r="R225">
            <v>28164</v>
          </cell>
          <cell r="S225">
            <v>28470</v>
          </cell>
          <cell r="T225">
            <v>28669</v>
          </cell>
          <cell r="U225">
            <v>28838</v>
          </cell>
          <cell r="V225">
            <v>1806</v>
          </cell>
          <cell r="W225">
            <v>6.6809707013909439E-2</v>
          </cell>
        </row>
        <row r="226">
          <cell r="B226" t="str">
            <v>GUITARRA</v>
          </cell>
          <cell r="C226" t="str">
            <v>Guitarra Clásica</v>
          </cell>
          <cell r="D226" t="str">
            <v>unidad</v>
          </cell>
          <cell r="E226" t="str">
            <v>I2024014734</v>
          </cell>
          <cell r="F226" t="str">
            <v>0</v>
          </cell>
          <cell r="G226">
            <v>395460</v>
          </cell>
          <cell r="H226">
            <v>395460</v>
          </cell>
          <cell r="I226">
            <v>395460</v>
          </cell>
          <cell r="J226">
            <v>395460</v>
          </cell>
          <cell r="K226">
            <v>395460</v>
          </cell>
          <cell r="L226">
            <v>395460</v>
          </cell>
          <cell r="M226">
            <v>395460</v>
          </cell>
          <cell r="N226">
            <v>395460</v>
          </cell>
          <cell r="O226">
            <v>395460</v>
          </cell>
          <cell r="P226">
            <v>395460</v>
          </cell>
          <cell r="Q226">
            <v>395460</v>
          </cell>
          <cell r="R226">
            <v>395460</v>
          </cell>
          <cell r="S226">
            <v>395460</v>
          </cell>
          <cell r="T226">
            <v>395460</v>
          </cell>
          <cell r="U226">
            <v>395460</v>
          </cell>
          <cell r="V226">
            <v>0</v>
          </cell>
          <cell r="W226">
            <v>0</v>
          </cell>
        </row>
        <row r="227">
          <cell r="B227" t="str">
            <v>HOJAS BLANCAS TAMAÑO CARTA</v>
          </cell>
          <cell r="C227" t="str">
            <v>Resma de papel tamaño carta ecológico x 500 hojas</v>
          </cell>
          <cell r="D227" t="str">
            <v>Desgaste y uso mensual por unidad</v>
          </cell>
          <cell r="E227" t="str">
            <v>I2023008278</v>
          </cell>
          <cell r="F227">
            <v>45002</v>
          </cell>
          <cell r="G227">
            <v>19558</v>
          </cell>
          <cell r="H227">
            <v>19558</v>
          </cell>
          <cell r="I227">
            <v>19710</v>
          </cell>
          <cell r="J227">
            <v>19794</v>
          </cell>
          <cell r="K227">
            <v>19853</v>
          </cell>
          <cell r="L227">
            <v>19952</v>
          </cell>
          <cell r="M227">
            <v>20091</v>
          </cell>
          <cell r="N227">
            <v>20199</v>
          </cell>
          <cell r="O227">
            <v>20249</v>
          </cell>
          <cell r="P227">
            <v>20344</v>
          </cell>
          <cell r="Q227">
            <v>20435</v>
          </cell>
          <cell r="R227">
            <v>20623</v>
          </cell>
          <cell r="S227">
            <v>20847</v>
          </cell>
          <cell r="T227">
            <v>20992</v>
          </cell>
          <cell r="U227">
            <v>21115</v>
          </cell>
          <cell r="V227">
            <v>1557</v>
          </cell>
          <cell r="W227">
            <v>7.9609367010941817E-2</v>
          </cell>
        </row>
        <row r="228">
          <cell r="B228" t="str">
            <v>LAMPARA COLORES</v>
          </cell>
          <cell r="C228" t="str">
            <v>Lámpara mediana con proyección de luces de colores</v>
          </cell>
          <cell r="D228" t="str">
            <v>Unidad</v>
          </cell>
          <cell r="E228" t="str">
            <v>I2024014734</v>
          </cell>
          <cell r="F228" t="str">
            <v>0</v>
          </cell>
          <cell r="G228">
            <v>171074</v>
          </cell>
          <cell r="H228">
            <v>171074</v>
          </cell>
          <cell r="I228">
            <v>171074</v>
          </cell>
          <cell r="J228">
            <v>171074</v>
          </cell>
          <cell r="K228">
            <v>171074</v>
          </cell>
          <cell r="L228">
            <v>171074</v>
          </cell>
          <cell r="M228">
            <v>171074</v>
          </cell>
          <cell r="N228">
            <v>171074</v>
          </cell>
          <cell r="O228">
            <v>171074</v>
          </cell>
          <cell r="P228">
            <v>171074</v>
          </cell>
          <cell r="Q228">
            <v>171074</v>
          </cell>
          <cell r="R228">
            <v>171074</v>
          </cell>
          <cell r="S228">
            <v>171074</v>
          </cell>
          <cell r="T228">
            <v>171074</v>
          </cell>
          <cell r="U228">
            <v>171074</v>
          </cell>
          <cell r="V228">
            <v>0</v>
          </cell>
          <cell r="W228">
            <v>0</v>
          </cell>
        </row>
        <row r="229">
          <cell r="B229" t="str">
            <v>LANA (COLORES SURTIDOS)</v>
          </cell>
          <cell r="C229" t="str">
            <v>Madeja x 50 mts</v>
          </cell>
          <cell r="D229" t="str">
            <v>Unidad</v>
          </cell>
          <cell r="E229" t="str">
            <v>I2024014734</v>
          </cell>
          <cell r="F229" t="str">
            <v>0</v>
          </cell>
          <cell r="G229">
            <v>12788</v>
          </cell>
          <cell r="H229">
            <v>12788</v>
          </cell>
          <cell r="I229">
            <v>12788</v>
          </cell>
          <cell r="J229">
            <v>12788</v>
          </cell>
          <cell r="K229">
            <v>12788</v>
          </cell>
          <cell r="L229">
            <v>12788</v>
          </cell>
          <cell r="M229">
            <v>12788</v>
          </cell>
          <cell r="N229">
            <v>12788</v>
          </cell>
          <cell r="O229">
            <v>12788</v>
          </cell>
          <cell r="P229">
            <v>12788</v>
          </cell>
          <cell r="Q229">
            <v>12788</v>
          </cell>
          <cell r="R229">
            <v>12788</v>
          </cell>
          <cell r="S229">
            <v>12788</v>
          </cell>
          <cell r="T229">
            <v>12788</v>
          </cell>
          <cell r="U229">
            <v>12788</v>
          </cell>
          <cell r="V229">
            <v>0</v>
          </cell>
          <cell r="W229">
            <v>0</v>
          </cell>
        </row>
        <row r="230">
          <cell r="B230" t="str">
            <v>LAPICEROS NEGROS</v>
          </cell>
          <cell r="C230" t="str">
            <v>Esfero Tipo Bic Rojo, azul o negro. cajas por 12 unidades</v>
          </cell>
          <cell r="D230" t="str">
            <v>Caja x 12 unidades</v>
          </cell>
          <cell r="E230" t="str">
            <v>I2023004856</v>
          </cell>
          <cell r="F230">
            <v>44974</v>
          </cell>
          <cell r="G230">
            <v>16106</v>
          </cell>
          <cell r="H230">
            <v>16275</v>
          </cell>
          <cell r="I230">
            <v>16401</v>
          </cell>
          <cell r="J230">
            <v>16471</v>
          </cell>
          <cell r="K230">
            <v>16520</v>
          </cell>
          <cell r="L230">
            <v>16602</v>
          </cell>
          <cell r="M230">
            <v>16718</v>
          </cell>
          <cell r="N230">
            <v>16808</v>
          </cell>
          <cell r="O230">
            <v>16850</v>
          </cell>
          <cell r="P230">
            <v>16929</v>
          </cell>
          <cell r="Q230">
            <v>17005</v>
          </cell>
          <cell r="R230">
            <v>17161</v>
          </cell>
          <cell r="S230">
            <v>17348</v>
          </cell>
          <cell r="T230">
            <v>17469</v>
          </cell>
          <cell r="U230">
            <v>17572</v>
          </cell>
          <cell r="V230">
            <v>1466</v>
          </cell>
          <cell r="W230">
            <v>9.102197938656402E-2</v>
          </cell>
        </row>
        <row r="231">
          <cell r="B231" t="str">
            <v>LÁPICES NEGROS</v>
          </cell>
          <cell r="C231" t="str">
            <v>Lapiz negro HB Nro 2</v>
          </cell>
          <cell r="D231" t="str">
            <v>caja x 12</v>
          </cell>
          <cell r="E231" t="str">
            <v>I2023015628</v>
          </cell>
          <cell r="F231">
            <v>45076</v>
          </cell>
          <cell r="G231">
            <v>17836</v>
          </cell>
          <cell r="H231">
            <v>17836</v>
          </cell>
          <cell r="I231">
            <v>17836</v>
          </cell>
          <cell r="J231">
            <v>17836</v>
          </cell>
          <cell r="K231">
            <v>17889</v>
          </cell>
          <cell r="L231">
            <v>17978</v>
          </cell>
          <cell r="M231">
            <v>18103</v>
          </cell>
          <cell r="N231">
            <v>18200</v>
          </cell>
          <cell r="O231">
            <v>18245</v>
          </cell>
          <cell r="P231">
            <v>18330</v>
          </cell>
          <cell r="Q231">
            <v>18412</v>
          </cell>
          <cell r="R231">
            <v>18581</v>
          </cell>
          <cell r="S231">
            <v>18783</v>
          </cell>
          <cell r="T231">
            <v>18914</v>
          </cell>
          <cell r="U231">
            <v>19025</v>
          </cell>
          <cell r="V231">
            <v>1189</v>
          </cell>
          <cell r="W231">
            <v>6.6662928907826866E-2</v>
          </cell>
        </row>
        <row r="232">
          <cell r="B232" t="str">
            <v>LIJAS</v>
          </cell>
          <cell r="C232" t="str">
            <v>Lijas para pulir madera en seco: Lijas medias de 150 mímino granos. Presentación Hojas. Texturas diferentes</v>
          </cell>
          <cell r="D232" t="str">
            <v>Unidad</v>
          </cell>
          <cell r="E232" t="str">
            <v>I2023008278</v>
          </cell>
          <cell r="F232">
            <v>45002</v>
          </cell>
          <cell r="G232">
            <v>2773</v>
          </cell>
          <cell r="H232">
            <v>2773</v>
          </cell>
          <cell r="I232">
            <v>2794</v>
          </cell>
          <cell r="J232">
            <v>2806</v>
          </cell>
          <cell r="K232">
            <v>2814</v>
          </cell>
          <cell r="L232">
            <v>2828</v>
          </cell>
          <cell r="M232">
            <v>2847</v>
          </cell>
          <cell r="N232">
            <v>2862</v>
          </cell>
          <cell r="O232">
            <v>2869</v>
          </cell>
          <cell r="P232">
            <v>2882</v>
          </cell>
          <cell r="Q232">
            <v>2894</v>
          </cell>
          <cell r="R232">
            <v>2920</v>
          </cell>
          <cell r="S232">
            <v>2951</v>
          </cell>
          <cell r="T232">
            <v>2971</v>
          </cell>
          <cell r="U232">
            <v>2988</v>
          </cell>
          <cell r="V232">
            <v>215</v>
          </cell>
          <cell r="W232">
            <v>7.7533357374684461E-2</v>
          </cell>
        </row>
        <row r="233">
          <cell r="B233" t="str">
            <v>MARACAS</v>
          </cell>
          <cell r="C233" t="str">
            <v>par de maracas en totumo, semillas y
mango natural. medidas 6 cm de
diámetro x 18 cm de largo. excelente
pegado y terminados de alta calidad</v>
          </cell>
          <cell r="D233" t="str">
            <v>par</v>
          </cell>
          <cell r="E233" t="str">
            <v>I2024004413</v>
          </cell>
          <cell r="F233" t="str">
            <v>0</v>
          </cell>
          <cell r="G233">
            <v>24009</v>
          </cell>
          <cell r="H233">
            <v>24009</v>
          </cell>
          <cell r="I233">
            <v>24009</v>
          </cell>
          <cell r="J233">
            <v>24009</v>
          </cell>
          <cell r="K233">
            <v>24009</v>
          </cell>
          <cell r="L233">
            <v>24009</v>
          </cell>
          <cell r="M233">
            <v>24009</v>
          </cell>
          <cell r="N233">
            <v>24009</v>
          </cell>
          <cell r="O233">
            <v>24009</v>
          </cell>
          <cell r="P233">
            <v>24009</v>
          </cell>
          <cell r="Q233">
            <v>24009</v>
          </cell>
          <cell r="R233">
            <v>24009</v>
          </cell>
          <cell r="S233">
            <v>24009</v>
          </cell>
          <cell r="T233">
            <v>24009</v>
          </cell>
          <cell r="U233">
            <v>24009</v>
          </cell>
          <cell r="V233">
            <v>0</v>
          </cell>
          <cell r="W233">
            <v>0</v>
          </cell>
        </row>
        <row r="234">
          <cell r="B234" t="str">
            <v>PALOS DE PINCHO</v>
          </cell>
          <cell r="C234" t="str">
            <v>Paquete de palos de pincho por 100 unidades</v>
          </cell>
          <cell r="D234" t="str">
            <v>Paquete por 100 unidades</v>
          </cell>
          <cell r="E234" t="str">
            <v>I2023008278</v>
          </cell>
          <cell r="F234">
            <v>45002</v>
          </cell>
          <cell r="G234">
            <v>9142</v>
          </cell>
          <cell r="H234">
            <v>9142</v>
          </cell>
          <cell r="I234">
            <v>9213</v>
          </cell>
          <cell r="J234">
            <v>9252</v>
          </cell>
          <cell r="K234">
            <v>9279</v>
          </cell>
          <cell r="L234">
            <v>9325</v>
          </cell>
          <cell r="M234">
            <v>9390</v>
          </cell>
          <cell r="N234">
            <v>9440</v>
          </cell>
          <cell r="O234">
            <v>9463</v>
          </cell>
          <cell r="P234">
            <v>9507</v>
          </cell>
          <cell r="Q234">
            <v>9549</v>
          </cell>
          <cell r="R234">
            <v>9636</v>
          </cell>
          <cell r="S234">
            <v>9741</v>
          </cell>
          <cell r="T234">
            <v>9809</v>
          </cell>
          <cell r="U234">
            <v>9866</v>
          </cell>
          <cell r="V234">
            <v>724</v>
          </cell>
          <cell r="W234">
            <v>7.9194924524174135E-2</v>
          </cell>
        </row>
        <row r="235">
          <cell r="B235" t="str">
            <v>PANDERETA</v>
          </cell>
          <cell r="C235" t="str">
            <v xml:space="preserve">Panderetas - ELABORADA EN MADERA CON CUERO TEMPLADO Y SONAJAS DE LATA, MEDIDAS APROX. 15 CMS DE DIÁMETRO. </v>
          </cell>
          <cell r="D235" t="str">
            <v>Desgaste y uso mensual por unidad</v>
          </cell>
          <cell r="E235" t="str">
            <v>I2024004413</v>
          </cell>
          <cell r="F235" t="str">
            <v>0</v>
          </cell>
          <cell r="G235">
            <v>26654</v>
          </cell>
          <cell r="H235">
            <v>26654</v>
          </cell>
          <cell r="I235">
            <v>26654</v>
          </cell>
          <cell r="J235">
            <v>26654</v>
          </cell>
          <cell r="K235">
            <v>26654</v>
          </cell>
          <cell r="L235">
            <v>26654</v>
          </cell>
          <cell r="M235">
            <v>26654</v>
          </cell>
          <cell r="N235">
            <v>26654</v>
          </cell>
          <cell r="O235">
            <v>26654</v>
          </cell>
          <cell r="P235">
            <v>26654</v>
          </cell>
          <cell r="Q235">
            <v>26654</v>
          </cell>
          <cell r="R235">
            <v>26654</v>
          </cell>
          <cell r="S235">
            <v>26654</v>
          </cell>
          <cell r="T235">
            <v>26654</v>
          </cell>
          <cell r="U235">
            <v>26654</v>
          </cell>
          <cell r="V235">
            <v>0</v>
          </cell>
          <cell r="W235">
            <v>0</v>
          </cell>
        </row>
        <row r="236">
          <cell r="B236" t="str">
            <v>PAPEL CONTACT, DIFERENTES COLORES</v>
          </cell>
          <cell r="C236" t="str">
            <v>Rollo por 20 metrosx 50 cm</v>
          </cell>
          <cell r="D236" t="str">
            <v>Rollo por 20 metros</v>
          </cell>
          <cell r="E236" t="str">
            <v>I2023015628</v>
          </cell>
          <cell r="F236">
            <v>45076</v>
          </cell>
          <cell r="G236">
            <v>75956</v>
          </cell>
          <cell r="H236">
            <v>75956</v>
          </cell>
          <cell r="I236">
            <v>75956</v>
          </cell>
          <cell r="J236">
            <v>75956</v>
          </cell>
          <cell r="K236">
            <v>76183</v>
          </cell>
          <cell r="L236">
            <v>76563</v>
          </cell>
          <cell r="M236">
            <v>77098</v>
          </cell>
          <cell r="N236">
            <v>77514</v>
          </cell>
          <cell r="O236">
            <v>77707</v>
          </cell>
          <cell r="P236">
            <v>78072</v>
          </cell>
          <cell r="Q236">
            <v>78423</v>
          </cell>
          <cell r="R236">
            <v>79144</v>
          </cell>
          <cell r="S236">
            <v>80006</v>
          </cell>
          <cell r="T236">
            <v>80566</v>
          </cell>
          <cell r="U236">
            <v>81041</v>
          </cell>
          <cell r="V236">
            <v>5085</v>
          </cell>
          <cell r="W236">
            <v>6.6946653325609562E-2</v>
          </cell>
        </row>
        <row r="237">
          <cell r="B237" t="str">
            <v>PAPEL IRIS</v>
          </cell>
          <cell r="C237" t="str">
            <v>Block</v>
          </cell>
          <cell r="D237" t="str">
            <v>paquete x 20</v>
          </cell>
          <cell r="E237" t="str">
            <v>I2023015628</v>
          </cell>
          <cell r="F237">
            <v>45076</v>
          </cell>
          <cell r="G237">
            <v>4620</v>
          </cell>
          <cell r="H237">
            <v>4620</v>
          </cell>
          <cell r="I237">
            <v>4620</v>
          </cell>
          <cell r="J237">
            <v>4620</v>
          </cell>
          <cell r="K237">
            <v>4633</v>
          </cell>
          <cell r="L237">
            <v>4656</v>
          </cell>
          <cell r="M237">
            <v>4688</v>
          </cell>
          <cell r="N237">
            <v>4713</v>
          </cell>
          <cell r="O237">
            <v>4724</v>
          </cell>
          <cell r="P237">
            <v>4746</v>
          </cell>
          <cell r="Q237">
            <v>4767</v>
          </cell>
          <cell r="R237">
            <v>4810</v>
          </cell>
          <cell r="S237">
            <v>4862</v>
          </cell>
          <cell r="T237">
            <v>4896</v>
          </cell>
          <cell r="U237">
            <v>4924</v>
          </cell>
          <cell r="V237">
            <v>304</v>
          </cell>
          <cell r="W237">
            <v>6.5800865800865804E-2</v>
          </cell>
        </row>
        <row r="238">
          <cell r="B238" t="str">
            <v>PAPEL KRAFT</v>
          </cell>
          <cell r="C238" t="str">
            <v>Rollo de 60 GMS. De 61 cms por 7,2 kilos</v>
          </cell>
          <cell r="D238" t="str">
            <v>Rollo</v>
          </cell>
          <cell r="E238" t="str">
            <v>I2023015628</v>
          </cell>
          <cell r="F238">
            <v>45076</v>
          </cell>
          <cell r="G238">
            <v>69478</v>
          </cell>
          <cell r="H238">
            <v>69478</v>
          </cell>
          <cell r="I238">
            <v>69478</v>
          </cell>
          <cell r="J238">
            <v>69478</v>
          </cell>
          <cell r="K238">
            <v>69686</v>
          </cell>
          <cell r="L238">
            <v>70034</v>
          </cell>
          <cell r="M238">
            <v>70524</v>
          </cell>
          <cell r="N238">
            <v>70904</v>
          </cell>
          <cell r="O238">
            <v>71081</v>
          </cell>
          <cell r="P238">
            <v>71415</v>
          </cell>
          <cell r="Q238">
            <v>71736</v>
          </cell>
          <cell r="R238">
            <v>72395</v>
          </cell>
          <cell r="S238">
            <v>73184</v>
          </cell>
          <cell r="T238">
            <v>73696</v>
          </cell>
          <cell r="U238">
            <v>74130</v>
          </cell>
          <cell r="V238">
            <v>4652</v>
          </cell>
          <cell r="W238">
            <v>6.6956446644981141E-2</v>
          </cell>
        </row>
        <row r="239">
          <cell r="B239" t="str">
            <v>PAPEL PERIÓDICO</v>
          </cell>
          <cell r="C239" t="str">
            <v>Pliego</v>
          </cell>
          <cell r="D239" t="str">
            <v>Pliego</v>
          </cell>
          <cell r="E239" t="str">
            <v>I2023015628</v>
          </cell>
          <cell r="F239">
            <v>45076</v>
          </cell>
          <cell r="G239">
            <v>732</v>
          </cell>
          <cell r="H239">
            <v>732</v>
          </cell>
          <cell r="I239">
            <v>732</v>
          </cell>
          <cell r="J239">
            <v>732</v>
          </cell>
          <cell r="K239">
            <v>734</v>
          </cell>
          <cell r="L239">
            <v>737</v>
          </cell>
          <cell r="M239">
            <v>742</v>
          </cell>
          <cell r="N239">
            <v>746</v>
          </cell>
          <cell r="O239">
            <v>747</v>
          </cell>
          <cell r="P239">
            <v>750</v>
          </cell>
          <cell r="Q239">
            <v>753</v>
          </cell>
          <cell r="R239">
            <v>759</v>
          </cell>
          <cell r="S239">
            <v>767</v>
          </cell>
          <cell r="T239">
            <v>772</v>
          </cell>
          <cell r="U239">
            <v>776</v>
          </cell>
          <cell r="V239">
            <v>44</v>
          </cell>
          <cell r="W239">
            <v>6.0109289617486336E-2</v>
          </cell>
        </row>
        <row r="240">
          <cell r="B240" t="str">
            <v>PEGANTE LÍQUIDO</v>
          </cell>
          <cell r="C240" t="str">
            <v>Silicona Liquida 500 Ml</v>
          </cell>
          <cell r="D240" t="str">
            <v>Unidad</v>
          </cell>
          <cell r="E240" t="str">
            <v>I2023004856</v>
          </cell>
          <cell r="F240">
            <v>44974</v>
          </cell>
          <cell r="G240">
            <v>36444</v>
          </cell>
          <cell r="H240">
            <v>36826</v>
          </cell>
          <cell r="I240">
            <v>37113</v>
          </cell>
          <cell r="J240">
            <v>37272</v>
          </cell>
          <cell r="K240">
            <v>37383</v>
          </cell>
          <cell r="L240">
            <v>37569</v>
          </cell>
          <cell r="M240">
            <v>37831</v>
          </cell>
          <cell r="N240">
            <v>38035</v>
          </cell>
          <cell r="O240">
            <v>38130</v>
          </cell>
          <cell r="P240">
            <v>38309</v>
          </cell>
          <cell r="Q240">
            <v>38481</v>
          </cell>
          <cell r="R240">
            <v>38835</v>
          </cell>
          <cell r="S240">
            <v>39258</v>
          </cell>
          <cell r="T240">
            <v>39532</v>
          </cell>
          <cell r="U240">
            <v>39765</v>
          </cell>
          <cell r="V240">
            <v>3321</v>
          </cell>
          <cell r="W240">
            <v>9.1126111294040177E-2</v>
          </cell>
        </row>
        <row r="241">
          <cell r="B241" t="str">
            <v>PIMPÓN</v>
          </cell>
          <cell r="C241" t="str">
            <v>Pelota pimpón paquete x 20</v>
          </cell>
          <cell r="D241" t="str">
            <v>Paquete x 20</v>
          </cell>
          <cell r="E241" t="str">
            <v>I2024014734</v>
          </cell>
          <cell r="F241" t="str">
            <v>0</v>
          </cell>
          <cell r="G241">
            <v>23666</v>
          </cell>
          <cell r="H241">
            <v>23666</v>
          </cell>
          <cell r="I241">
            <v>23666</v>
          </cell>
          <cell r="J241">
            <v>23666</v>
          </cell>
          <cell r="K241">
            <v>23666</v>
          </cell>
          <cell r="L241">
            <v>23666</v>
          </cell>
          <cell r="M241">
            <v>23666</v>
          </cell>
          <cell r="N241">
            <v>23666</v>
          </cell>
          <cell r="O241">
            <v>23666</v>
          </cell>
          <cell r="P241">
            <v>23666</v>
          </cell>
          <cell r="Q241">
            <v>23666</v>
          </cell>
          <cell r="R241">
            <v>23666</v>
          </cell>
          <cell r="S241">
            <v>23666</v>
          </cell>
          <cell r="T241">
            <v>23666</v>
          </cell>
          <cell r="U241">
            <v>23666</v>
          </cell>
          <cell r="V241">
            <v>0</v>
          </cell>
          <cell r="W241">
            <v>0</v>
          </cell>
        </row>
        <row r="242">
          <cell r="B242" t="str">
            <v>PINCELES PELO DE CERDA REDONDO Y PLANO</v>
          </cell>
          <cell r="C242" t="str">
            <v>Set de pinceles planos x 6 Unidades</v>
          </cell>
          <cell r="D242" t="str">
            <v>Desgaste y uso mensual por unidad</v>
          </cell>
          <cell r="E242" t="str">
            <v>I2023008278</v>
          </cell>
          <cell r="F242">
            <v>45002</v>
          </cell>
          <cell r="G242">
            <v>19558</v>
          </cell>
          <cell r="H242">
            <v>19558</v>
          </cell>
          <cell r="I242">
            <v>19710</v>
          </cell>
          <cell r="J242">
            <v>19794</v>
          </cell>
          <cell r="K242">
            <v>19853</v>
          </cell>
          <cell r="L242">
            <v>19952</v>
          </cell>
          <cell r="M242">
            <v>20091</v>
          </cell>
          <cell r="N242">
            <v>20199</v>
          </cell>
          <cell r="O242">
            <v>20249</v>
          </cell>
          <cell r="P242">
            <v>20344</v>
          </cell>
          <cell r="Q242">
            <v>20435</v>
          </cell>
          <cell r="R242">
            <v>20623</v>
          </cell>
          <cell r="S242">
            <v>20847</v>
          </cell>
          <cell r="T242">
            <v>20992</v>
          </cell>
          <cell r="U242">
            <v>21115</v>
          </cell>
          <cell r="V242">
            <v>1557</v>
          </cell>
          <cell r="W242">
            <v>7.9609367010941817E-2</v>
          </cell>
        </row>
        <row r="243">
          <cell r="B243" t="str">
            <v>PISTÓLA DE SILICONA</v>
          </cell>
          <cell r="C243" t="str">
            <v>Pistóla de Silicona Gruesa</v>
          </cell>
          <cell r="D243" t="str">
            <v>unidad</v>
          </cell>
          <cell r="E243" t="str">
            <v>I2023015628</v>
          </cell>
          <cell r="F243">
            <v>45076</v>
          </cell>
          <cell r="G243">
            <v>32311</v>
          </cell>
          <cell r="H243">
            <v>32311</v>
          </cell>
          <cell r="I243">
            <v>32311</v>
          </cell>
          <cell r="J243">
            <v>32311</v>
          </cell>
          <cell r="K243">
            <v>32407</v>
          </cell>
          <cell r="L243">
            <v>32569</v>
          </cell>
          <cell r="M243">
            <v>32796</v>
          </cell>
          <cell r="N243">
            <v>32973</v>
          </cell>
          <cell r="O243">
            <v>33055</v>
          </cell>
          <cell r="P243">
            <v>33210</v>
          </cell>
          <cell r="Q243">
            <v>33359</v>
          </cell>
          <cell r="R243">
            <v>33665</v>
          </cell>
          <cell r="S243">
            <v>34031</v>
          </cell>
          <cell r="T243">
            <v>34269</v>
          </cell>
          <cell r="U243">
            <v>34471</v>
          </cell>
          <cell r="V243">
            <v>2160</v>
          </cell>
          <cell r="W243">
            <v>6.685029865989911E-2</v>
          </cell>
        </row>
        <row r="244">
          <cell r="B244" t="str">
            <v>PLUMONES DE DIFERENTES COLORES</v>
          </cell>
          <cell r="C244" t="str">
            <v>Plumones caja x 12 unidades</v>
          </cell>
          <cell r="D244" t="str">
            <v>Caja por 12 unidades</v>
          </cell>
          <cell r="E244" t="str">
            <v>I2023019873</v>
          </cell>
          <cell r="F244">
            <v>45117</v>
          </cell>
          <cell r="G244">
            <v>13551</v>
          </cell>
          <cell r="H244">
            <v>13551</v>
          </cell>
          <cell r="I244">
            <v>13551</v>
          </cell>
          <cell r="J244">
            <v>13551</v>
          </cell>
          <cell r="K244">
            <v>13551</v>
          </cell>
          <cell r="L244">
            <v>13551</v>
          </cell>
          <cell r="M244">
            <v>13645</v>
          </cell>
          <cell r="N244">
            <v>13718</v>
          </cell>
          <cell r="O244">
            <v>13752</v>
          </cell>
          <cell r="P244">
            <v>13816</v>
          </cell>
          <cell r="Q244">
            <v>13878</v>
          </cell>
          <cell r="R244">
            <v>14005</v>
          </cell>
          <cell r="S244">
            <v>14157</v>
          </cell>
          <cell r="T244">
            <v>14256</v>
          </cell>
          <cell r="U244">
            <v>14340</v>
          </cell>
          <cell r="V244">
            <v>789</v>
          </cell>
          <cell r="W244">
            <v>5.8224485277839272E-2</v>
          </cell>
        </row>
        <row r="245">
          <cell r="B245" t="str">
            <v>REGLAS PLÁSTICAS RÍGIDAS EN T</v>
          </cell>
          <cell r="C245" t="str">
            <v>50 cm</v>
          </cell>
          <cell r="D245" t="str">
            <v>Desgaste y uso mensual por unidad</v>
          </cell>
          <cell r="E245" t="str">
            <v>I2023015628</v>
          </cell>
          <cell r="F245">
            <v>45076</v>
          </cell>
          <cell r="G245">
            <v>6628</v>
          </cell>
          <cell r="H245">
            <v>6628</v>
          </cell>
          <cell r="I245">
            <v>6628</v>
          </cell>
          <cell r="J245">
            <v>6628</v>
          </cell>
          <cell r="K245">
            <v>6647</v>
          </cell>
          <cell r="L245">
            <v>6680</v>
          </cell>
          <cell r="M245">
            <v>6726</v>
          </cell>
          <cell r="N245">
            <v>6762</v>
          </cell>
          <cell r="O245">
            <v>6778</v>
          </cell>
          <cell r="P245">
            <v>6809</v>
          </cell>
          <cell r="Q245">
            <v>6839</v>
          </cell>
          <cell r="R245">
            <v>6901</v>
          </cell>
          <cell r="S245">
            <v>6976</v>
          </cell>
          <cell r="T245">
            <v>7024</v>
          </cell>
          <cell r="U245">
            <v>7065</v>
          </cell>
          <cell r="V245">
            <v>437</v>
          </cell>
          <cell r="W245">
            <v>6.5932407966203976E-2</v>
          </cell>
        </row>
        <row r="246">
          <cell r="B246" t="str">
            <v>SILICONA</v>
          </cell>
          <cell r="C246" t="str">
            <v>Silicona gruesa</v>
          </cell>
          <cell r="D246" t="str">
            <v>Kilos</v>
          </cell>
          <cell r="E246" t="str">
            <v>I2023015628</v>
          </cell>
          <cell r="F246">
            <v>45076</v>
          </cell>
          <cell r="G246">
            <v>29500</v>
          </cell>
          <cell r="H246">
            <v>29500</v>
          </cell>
          <cell r="I246">
            <v>29500</v>
          </cell>
          <cell r="J246">
            <v>29500</v>
          </cell>
          <cell r="K246">
            <v>29588</v>
          </cell>
          <cell r="L246">
            <v>29735</v>
          </cell>
          <cell r="M246">
            <v>29943</v>
          </cell>
          <cell r="N246">
            <v>30104</v>
          </cell>
          <cell r="O246">
            <v>30179</v>
          </cell>
          <cell r="P246">
            <v>30320</v>
          </cell>
          <cell r="Q246">
            <v>30456</v>
          </cell>
          <cell r="R246">
            <v>30736</v>
          </cell>
          <cell r="S246">
            <v>31071</v>
          </cell>
          <cell r="T246">
            <v>31288</v>
          </cell>
          <cell r="U246">
            <v>31472</v>
          </cell>
          <cell r="V246">
            <v>1972</v>
          </cell>
          <cell r="W246">
            <v>6.6847457627118648E-2</v>
          </cell>
        </row>
        <row r="247">
          <cell r="B247" t="str">
            <v>TABLEROS DE CORCHO</v>
          </cell>
          <cell r="C247" t="str">
            <v>80 x 1.20 mts</v>
          </cell>
          <cell r="D247" t="str">
            <v>Desgaste y uso mensual por unidad</v>
          </cell>
          <cell r="E247" t="str">
            <v>I2023008278</v>
          </cell>
          <cell r="F247">
            <v>45002</v>
          </cell>
          <cell r="G247">
            <v>143813</v>
          </cell>
          <cell r="H247">
            <v>143813</v>
          </cell>
          <cell r="I247">
            <v>144934</v>
          </cell>
          <cell r="J247">
            <v>145557</v>
          </cell>
          <cell r="K247">
            <v>145993</v>
          </cell>
          <cell r="L247">
            <v>146722</v>
          </cell>
          <cell r="M247">
            <v>147749</v>
          </cell>
          <cell r="N247">
            <v>148546</v>
          </cell>
          <cell r="O247">
            <v>148917</v>
          </cell>
          <cell r="P247">
            <v>149616</v>
          </cell>
          <cell r="Q247">
            <v>150289</v>
          </cell>
          <cell r="R247">
            <v>151671</v>
          </cell>
          <cell r="S247">
            <v>153324</v>
          </cell>
          <cell r="T247">
            <v>154397</v>
          </cell>
          <cell r="U247">
            <v>155307</v>
          </cell>
          <cell r="V247">
            <v>11494</v>
          </cell>
          <cell r="W247">
            <v>7.992323364369007E-2</v>
          </cell>
        </row>
        <row r="248">
          <cell r="B248" t="str">
            <v>TAJALAPIZ</v>
          </cell>
          <cell r="C248" t="str">
            <v>Tajalapiz medida estandar</v>
          </cell>
          <cell r="D248" t="str">
            <v>Caja por 24 unidades</v>
          </cell>
          <cell r="E248" t="str">
            <v>I2023004856</v>
          </cell>
          <cell r="F248">
            <v>44974</v>
          </cell>
          <cell r="G248">
            <v>17457</v>
          </cell>
          <cell r="H248">
            <v>17640</v>
          </cell>
          <cell r="I248">
            <v>17777</v>
          </cell>
          <cell r="J248">
            <v>17853</v>
          </cell>
          <cell r="K248">
            <v>17906</v>
          </cell>
          <cell r="L248">
            <v>17995</v>
          </cell>
          <cell r="M248">
            <v>18120</v>
          </cell>
          <cell r="N248">
            <v>18217</v>
          </cell>
          <cell r="O248">
            <v>18262</v>
          </cell>
          <cell r="P248">
            <v>18347</v>
          </cell>
          <cell r="Q248">
            <v>18429</v>
          </cell>
          <cell r="R248">
            <v>18598</v>
          </cell>
          <cell r="S248">
            <v>18800</v>
          </cell>
          <cell r="T248">
            <v>18931</v>
          </cell>
          <cell r="U248">
            <v>19042</v>
          </cell>
          <cell r="V248">
            <v>1585</v>
          </cell>
          <cell r="W248">
            <v>9.079452368677321E-2</v>
          </cell>
        </row>
        <row r="249">
          <cell r="B249" t="str">
            <v>TAMBORES</v>
          </cell>
          <cell r="C249" t="str">
            <v>Tambores Medianos</v>
          </cell>
          <cell r="D249" t="str">
            <v>Unidad</v>
          </cell>
          <cell r="E249" t="str">
            <v>I2023008278</v>
          </cell>
          <cell r="F249">
            <v>45002</v>
          </cell>
          <cell r="G249">
            <v>18954</v>
          </cell>
          <cell r="H249">
            <v>18954</v>
          </cell>
          <cell r="I249">
            <v>19101</v>
          </cell>
          <cell r="J249">
            <v>19183</v>
          </cell>
          <cell r="K249">
            <v>19240</v>
          </cell>
          <cell r="L249">
            <v>19336</v>
          </cell>
          <cell r="M249">
            <v>19471</v>
          </cell>
          <cell r="N249">
            <v>19576</v>
          </cell>
          <cell r="O249">
            <v>19624</v>
          </cell>
          <cell r="P249">
            <v>19716</v>
          </cell>
          <cell r="Q249">
            <v>19804</v>
          </cell>
          <cell r="R249">
            <v>19986</v>
          </cell>
          <cell r="S249">
            <v>20203</v>
          </cell>
          <cell r="T249">
            <v>20344</v>
          </cell>
          <cell r="U249">
            <v>20464</v>
          </cell>
          <cell r="V249">
            <v>1510</v>
          </cell>
          <cell r="W249">
            <v>7.9666561148042631E-2</v>
          </cell>
        </row>
        <row r="250">
          <cell r="B250" t="str">
            <v>TAPETE DE YOGA</v>
          </cell>
          <cell r="C250" t="str">
            <v xml:space="preserve">Medidas 173 x 61 x 0.4 cm,  
material espuma, de diferentes  
colores </v>
          </cell>
          <cell r="D250" t="str">
            <v>unidad</v>
          </cell>
          <cell r="E250" t="str">
            <v>I2023032069</v>
          </cell>
          <cell r="F250">
            <v>45220</v>
          </cell>
          <cell r="G250">
            <v>65028</v>
          </cell>
          <cell r="H250">
            <v>65028</v>
          </cell>
          <cell r="I250">
            <v>65028</v>
          </cell>
          <cell r="J250">
            <v>65028</v>
          </cell>
          <cell r="K250">
            <v>65028</v>
          </cell>
          <cell r="L250">
            <v>65028</v>
          </cell>
          <cell r="M250">
            <v>65028</v>
          </cell>
          <cell r="N250">
            <v>65028</v>
          </cell>
          <cell r="O250">
            <v>65028</v>
          </cell>
          <cell r="P250">
            <v>65333</v>
          </cell>
          <cell r="Q250">
            <v>65626</v>
          </cell>
          <cell r="R250">
            <v>66229</v>
          </cell>
          <cell r="S250">
            <v>66950</v>
          </cell>
          <cell r="T250">
            <v>67418</v>
          </cell>
          <cell r="U250">
            <v>67815</v>
          </cell>
          <cell r="V250">
            <v>2787</v>
          </cell>
          <cell r="W250">
            <v>4.285846097065879E-2</v>
          </cell>
        </row>
        <row r="251">
          <cell r="B251" t="str">
            <v>TIJERAS PUNTA ROMA</v>
          </cell>
          <cell r="C251" t="str">
            <v>tijeras punta roma Medianas</v>
          </cell>
          <cell r="D251" t="str">
            <v>Desgaste y uso mensual por unidad</v>
          </cell>
          <cell r="E251" t="str">
            <v>I2023015628</v>
          </cell>
          <cell r="F251">
            <v>45076</v>
          </cell>
          <cell r="G251">
            <v>1860</v>
          </cell>
          <cell r="H251">
            <v>1860</v>
          </cell>
          <cell r="I251">
            <v>1860</v>
          </cell>
          <cell r="J251">
            <v>1860</v>
          </cell>
          <cell r="K251">
            <v>1865</v>
          </cell>
          <cell r="L251">
            <v>1874</v>
          </cell>
          <cell r="M251">
            <v>1887</v>
          </cell>
          <cell r="N251">
            <v>1897</v>
          </cell>
          <cell r="O251">
            <v>1901</v>
          </cell>
          <cell r="P251">
            <v>1909</v>
          </cell>
          <cell r="Q251">
            <v>1917</v>
          </cell>
          <cell r="R251">
            <v>1934</v>
          </cell>
          <cell r="S251">
            <v>1955</v>
          </cell>
          <cell r="T251">
            <v>1968</v>
          </cell>
          <cell r="U251">
            <v>1979</v>
          </cell>
          <cell r="V251">
            <v>119</v>
          </cell>
          <cell r="W251">
            <v>6.3978494623655915E-2</v>
          </cell>
        </row>
        <row r="252">
          <cell r="B252" t="str">
            <v>VINILO AMARILLO</v>
          </cell>
          <cell r="C252" t="str">
            <v>Temperas o vinilos  colores   variados   vinilos   de   colores básicos, frascos de 250 ml  - por color 140</v>
          </cell>
          <cell r="D252" t="str">
            <v>Unidad</v>
          </cell>
          <cell r="E252" t="str">
            <v>I2023004856</v>
          </cell>
          <cell r="F252">
            <v>44974</v>
          </cell>
          <cell r="G252">
            <v>13200</v>
          </cell>
          <cell r="H252">
            <v>13338</v>
          </cell>
          <cell r="I252">
            <v>13442</v>
          </cell>
          <cell r="J252">
            <v>13499</v>
          </cell>
          <cell r="K252">
            <v>13539</v>
          </cell>
          <cell r="L252">
            <v>13606</v>
          </cell>
          <cell r="M252">
            <v>13701</v>
          </cell>
          <cell r="N252">
            <v>13774</v>
          </cell>
          <cell r="O252">
            <v>13808</v>
          </cell>
          <cell r="P252">
            <v>13872</v>
          </cell>
          <cell r="Q252">
            <v>13934</v>
          </cell>
          <cell r="R252">
            <v>14062</v>
          </cell>
          <cell r="S252">
            <v>14215</v>
          </cell>
          <cell r="T252">
            <v>14314</v>
          </cell>
          <cell r="U252">
            <v>14398</v>
          </cell>
          <cell r="V252">
            <v>1198</v>
          </cell>
          <cell r="W252">
            <v>9.0757575757575759E-2</v>
          </cell>
        </row>
        <row r="253">
          <cell r="B253" t="str">
            <v>VINILO AZUL</v>
          </cell>
          <cell r="C253" t="str">
            <v>Temperas o vinilos  colores   variados   vinilos   de   colores básicos, frascos de 250 ml  - por color 140</v>
          </cell>
          <cell r="D253" t="str">
            <v>Unidad</v>
          </cell>
          <cell r="E253" t="str">
            <v>I2023004856</v>
          </cell>
          <cell r="F253">
            <v>44974</v>
          </cell>
          <cell r="G253">
            <v>13200</v>
          </cell>
          <cell r="H253">
            <v>13338</v>
          </cell>
          <cell r="I253">
            <v>13442</v>
          </cell>
          <cell r="J253">
            <v>13499</v>
          </cell>
          <cell r="K253">
            <v>13539</v>
          </cell>
          <cell r="L253">
            <v>13606</v>
          </cell>
          <cell r="M253">
            <v>13701</v>
          </cell>
          <cell r="N253">
            <v>13774</v>
          </cell>
          <cell r="O253">
            <v>13808</v>
          </cell>
          <cell r="P253">
            <v>13872</v>
          </cell>
          <cell r="Q253">
            <v>13934</v>
          </cell>
          <cell r="R253">
            <v>14062</v>
          </cell>
          <cell r="S253">
            <v>14215</v>
          </cell>
          <cell r="T253">
            <v>14314</v>
          </cell>
          <cell r="U253">
            <v>14398</v>
          </cell>
          <cell r="V253">
            <v>1198</v>
          </cell>
          <cell r="W253">
            <v>9.0757575757575759E-2</v>
          </cell>
        </row>
        <row r="254">
          <cell r="B254" t="str">
            <v>VINILO BLANCO</v>
          </cell>
          <cell r="C254" t="str">
            <v>Temperas o vinilos  colores   variados   vinilos   de   colores básicos, frascos de 250 ml  - por color 140</v>
          </cell>
          <cell r="D254" t="str">
            <v>Unidad</v>
          </cell>
          <cell r="E254" t="str">
            <v>I2023004856</v>
          </cell>
          <cell r="F254">
            <v>44974</v>
          </cell>
          <cell r="G254">
            <v>13200</v>
          </cell>
          <cell r="H254">
            <v>13338</v>
          </cell>
          <cell r="I254">
            <v>13442</v>
          </cell>
          <cell r="J254">
            <v>13499</v>
          </cell>
          <cell r="K254">
            <v>13539</v>
          </cell>
          <cell r="L254">
            <v>13606</v>
          </cell>
          <cell r="M254">
            <v>13701</v>
          </cell>
          <cell r="N254">
            <v>13774</v>
          </cell>
          <cell r="O254">
            <v>13808</v>
          </cell>
          <cell r="P254">
            <v>13872</v>
          </cell>
          <cell r="Q254">
            <v>13934</v>
          </cell>
          <cell r="R254">
            <v>14062</v>
          </cell>
          <cell r="S254">
            <v>14215</v>
          </cell>
          <cell r="T254">
            <v>14314</v>
          </cell>
          <cell r="U254">
            <v>14398</v>
          </cell>
          <cell r="V254">
            <v>1198</v>
          </cell>
          <cell r="W254">
            <v>9.0757575757575759E-2</v>
          </cell>
        </row>
        <row r="255">
          <cell r="B255" t="str">
            <v>VINILO NEGRO</v>
          </cell>
          <cell r="C255" t="str">
            <v>Temperas o vinilos  colores   variados   vinilos   de   colores básicos, frascos de 250 ml  - por color 140</v>
          </cell>
          <cell r="D255" t="str">
            <v>Unidad</v>
          </cell>
          <cell r="E255" t="str">
            <v>I2023004856</v>
          </cell>
          <cell r="F255">
            <v>44974</v>
          </cell>
          <cell r="G255">
            <v>13200</v>
          </cell>
          <cell r="H255">
            <v>13338</v>
          </cell>
          <cell r="I255">
            <v>13442</v>
          </cell>
          <cell r="J255">
            <v>13499</v>
          </cell>
          <cell r="K255">
            <v>13539</v>
          </cell>
          <cell r="L255">
            <v>13606</v>
          </cell>
          <cell r="M255">
            <v>13701</v>
          </cell>
          <cell r="N255">
            <v>13774</v>
          </cell>
          <cell r="O255">
            <v>13808</v>
          </cell>
          <cell r="P255">
            <v>13872</v>
          </cell>
          <cell r="Q255">
            <v>13934</v>
          </cell>
          <cell r="R255">
            <v>14062</v>
          </cell>
          <cell r="S255">
            <v>14215</v>
          </cell>
          <cell r="T255">
            <v>14314</v>
          </cell>
          <cell r="U255">
            <v>14398</v>
          </cell>
          <cell r="V255">
            <v>1198</v>
          </cell>
          <cell r="W255">
            <v>9.0757575757575759E-2</v>
          </cell>
        </row>
        <row r="256">
          <cell r="B256" t="str">
            <v>VINILO ROJO</v>
          </cell>
          <cell r="C256" t="str">
            <v>Temperas o vinilos  colores   variados   vinilos   de   colores básicos, frascos de 250 ml  - por color 140</v>
          </cell>
          <cell r="D256" t="str">
            <v>Unidad</v>
          </cell>
          <cell r="E256" t="str">
            <v>I2023004856</v>
          </cell>
          <cell r="F256">
            <v>44974</v>
          </cell>
          <cell r="G256">
            <v>13200</v>
          </cell>
          <cell r="H256">
            <v>13338</v>
          </cell>
          <cell r="I256">
            <v>13442</v>
          </cell>
          <cell r="J256">
            <v>13499</v>
          </cell>
          <cell r="K256">
            <v>13539</v>
          </cell>
          <cell r="L256">
            <v>13606</v>
          </cell>
          <cell r="M256">
            <v>13701</v>
          </cell>
          <cell r="N256">
            <v>13774</v>
          </cell>
          <cell r="O256">
            <v>13808</v>
          </cell>
          <cell r="P256">
            <v>13872</v>
          </cell>
          <cell r="Q256">
            <v>13934</v>
          </cell>
          <cell r="R256">
            <v>14062</v>
          </cell>
          <cell r="S256">
            <v>14215</v>
          </cell>
          <cell r="T256">
            <v>14314</v>
          </cell>
          <cell r="U256">
            <v>14398</v>
          </cell>
          <cell r="V256">
            <v>1198</v>
          </cell>
          <cell r="W256">
            <v>9.0757575757575759E-2</v>
          </cell>
        </row>
        <row r="257">
          <cell r="B257" t="str">
            <v>AJEDRÉZ</v>
          </cell>
          <cell r="C257" t="str">
            <v>Juego de mesa completo para adultos</v>
          </cell>
          <cell r="D257" t="str">
            <v>Desgaste y uso mensual por unidad</v>
          </cell>
          <cell r="E257" t="str">
            <v>I2023004856</v>
          </cell>
          <cell r="F257">
            <v>44974</v>
          </cell>
          <cell r="G257">
            <v>60937</v>
          </cell>
          <cell r="H257">
            <v>61576</v>
          </cell>
          <cell r="I257">
            <v>62056</v>
          </cell>
          <cell r="J257">
            <v>62322</v>
          </cell>
          <cell r="K257">
            <v>62508</v>
          </cell>
          <cell r="L257">
            <v>62820</v>
          </cell>
          <cell r="M257">
            <v>63259</v>
          </cell>
          <cell r="N257">
            <v>63600</v>
          </cell>
          <cell r="O257">
            <v>63759</v>
          </cell>
          <cell r="P257">
            <v>64058</v>
          </cell>
          <cell r="Q257">
            <v>64346</v>
          </cell>
          <cell r="R257">
            <v>64937</v>
          </cell>
          <cell r="S257">
            <v>65644</v>
          </cell>
          <cell r="T257">
            <v>66103</v>
          </cell>
          <cell r="U257">
            <v>66493</v>
          </cell>
          <cell r="V257">
            <v>5556</v>
          </cell>
          <cell r="W257">
            <v>9.1176132727242884E-2</v>
          </cell>
        </row>
        <row r="258">
          <cell r="B258" t="str">
            <v>ARO HULAHULA</v>
          </cell>
          <cell r="C258" t="str">
            <v>Aro hula hula De 60 cm  de diametro diferentes colores</v>
          </cell>
          <cell r="D258" t="str">
            <v>Unidad</v>
          </cell>
          <cell r="E258" t="str">
            <v>I2023008278</v>
          </cell>
          <cell r="F258">
            <v>45002</v>
          </cell>
          <cell r="G258">
            <v>12839</v>
          </cell>
          <cell r="H258">
            <v>12839</v>
          </cell>
          <cell r="I258">
            <v>12939</v>
          </cell>
          <cell r="J258">
            <v>12994</v>
          </cell>
          <cell r="K258">
            <v>13032</v>
          </cell>
          <cell r="L258">
            <v>13097</v>
          </cell>
          <cell r="M258">
            <v>13188</v>
          </cell>
          <cell r="N258">
            <v>13259</v>
          </cell>
          <cell r="O258">
            <v>13292</v>
          </cell>
          <cell r="P258">
            <v>13354</v>
          </cell>
          <cell r="Q258">
            <v>13414</v>
          </cell>
          <cell r="R258">
            <v>13537</v>
          </cell>
          <cell r="S258">
            <v>13684</v>
          </cell>
          <cell r="T258">
            <v>13779</v>
          </cell>
          <cell r="U258">
            <v>13860</v>
          </cell>
          <cell r="V258">
            <v>1021</v>
          </cell>
          <cell r="W258">
            <v>7.9523327361944077E-2</v>
          </cell>
        </row>
        <row r="259">
          <cell r="B259" t="str">
            <v>BALÓN BALONCESTO</v>
          </cell>
          <cell r="C259" t="str">
            <v>Balón de baloncesto No.7, con caucho reforzado con nylon, válvula automática.</v>
          </cell>
          <cell r="D259" t="str">
            <v>Unidad</v>
          </cell>
          <cell r="E259" t="str">
            <v>I2023004856</v>
          </cell>
          <cell r="F259">
            <v>44974</v>
          </cell>
          <cell r="G259">
            <v>70168</v>
          </cell>
          <cell r="H259">
            <v>70904</v>
          </cell>
          <cell r="I259">
            <v>71457</v>
          </cell>
          <cell r="J259">
            <v>71764</v>
          </cell>
          <cell r="K259">
            <v>71979</v>
          </cell>
          <cell r="L259">
            <v>72338</v>
          </cell>
          <cell r="M259">
            <v>72844</v>
          </cell>
          <cell r="N259">
            <v>73237</v>
          </cell>
          <cell r="O259">
            <v>73420</v>
          </cell>
          <cell r="P259">
            <v>73765</v>
          </cell>
          <cell r="Q259">
            <v>74096</v>
          </cell>
          <cell r="R259">
            <v>74777</v>
          </cell>
          <cell r="S259">
            <v>75592</v>
          </cell>
          <cell r="T259">
            <v>76121</v>
          </cell>
          <cell r="U259">
            <v>76570</v>
          </cell>
          <cell r="V259">
            <v>6402</v>
          </cell>
          <cell r="W259">
            <v>9.1238171246152092E-2</v>
          </cell>
        </row>
        <row r="260">
          <cell r="B260" t="str">
            <v>BALÓN FÚTBOL</v>
          </cell>
          <cell r="C260" t="str">
            <v>Balón de fútbol No. 5.</v>
          </cell>
          <cell r="D260" t="str">
            <v>Unidad</v>
          </cell>
          <cell r="E260" t="str">
            <v>I2023004856</v>
          </cell>
          <cell r="F260">
            <v>44974</v>
          </cell>
          <cell r="G260">
            <v>88100</v>
          </cell>
          <cell r="H260">
            <v>89025</v>
          </cell>
          <cell r="I260">
            <v>89719</v>
          </cell>
          <cell r="J260">
            <v>90104</v>
          </cell>
          <cell r="K260">
            <v>90374</v>
          </cell>
          <cell r="L260">
            <v>90825</v>
          </cell>
          <cell r="M260">
            <v>91460</v>
          </cell>
          <cell r="N260">
            <v>91953</v>
          </cell>
          <cell r="O260">
            <v>92182</v>
          </cell>
          <cell r="P260">
            <v>92615</v>
          </cell>
          <cell r="Q260">
            <v>93031</v>
          </cell>
          <cell r="R260">
            <v>93886</v>
          </cell>
          <cell r="S260">
            <v>94909</v>
          </cell>
          <cell r="T260">
            <v>95573</v>
          </cell>
          <cell r="U260">
            <v>96136</v>
          </cell>
          <cell r="V260">
            <v>8036</v>
          </cell>
          <cell r="W260">
            <v>9.1214528944381382E-2</v>
          </cell>
        </row>
        <row r="261">
          <cell r="B261" t="str">
            <v>BALÓN MICROFÚTBOL</v>
          </cell>
          <cell r="C261" t="str">
            <v>Balón de fútbol sala cubierta en cuero, válvula de goma.</v>
          </cell>
          <cell r="D261" t="str">
            <v>Unidad</v>
          </cell>
          <cell r="E261" t="str">
            <v>I2023004856</v>
          </cell>
          <cell r="F261">
            <v>44974</v>
          </cell>
          <cell r="G261">
            <v>88100</v>
          </cell>
          <cell r="H261">
            <v>89025</v>
          </cell>
          <cell r="I261">
            <v>89719</v>
          </cell>
          <cell r="J261">
            <v>90104</v>
          </cell>
          <cell r="K261">
            <v>90374</v>
          </cell>
          <cell r="L261">
            <v>90825</v>
          </cell>
          <cell r="M261">
            <v>91460</v>
          </cell>
          <cell r="N261">
            <v>91953</v>
          </cell>
          <cell r="O261">
            <v>92182</v>
          </cell>
          <cell r="P261">
            <v>92615</v>
          </cell>
          <cell r="Q261">
            <v>93031</v>
          </cell>
          <cell r="R261">
            <v>93886</v>
          </cell>
          <cell r="S261">
            <v>94909</v>
          </cell>
          <cell r="T261">
            <v>95573</v>
          </cell>
          <cell r="U261">
            <v>96136</v>
          </cell>
          <cell r="V261">
            <v>8036</v>
          </cell>
          <cell r="W261">
            <v>9.1214528944381382E-2</v>
          </cell>
        </row>
        <row r="262">
          <cell r="B262" t="str">
            <v>BALONES MEDICINAL 3</v>
          </cell>
          <cell r="C262" t="str">
            <v>Peso de 3 kilos, esférico de cuero, goma o plástico.</v>
          </cell>
          <cell r="D262" t="str">
            <v>unidad</v>
          </cell>
          <cell r="E262" t="str">
            <v>I2024014734</v>
          </cell>
          <cell r="F262" t="str">
            <v>0</v>
          </cell>
          <cell r="G262">
            <v>107694</v>
          </cell>
          <cell r="H262">
            <v>107694</v>
          </cell>
          <cell r="I262">
            <v>107694</v>
          </cell>
          <cell r="J262">
            <v>107694</v>
          </cell>
          <cell r="K262">
            <v>107694</v>
          </cell>
          <cell r="L262">
            <v>107694</v>
          </cell>
          <cell r="M262">
            <v>107694</v>
          </cell>
          <cell r="N262">
            <v>107694</v>
          </cell>
          <cell r="O262">
            <v>107694</v>
          </cell>
          <cell r="P262">
            <v>107694</v>
          </cell>
          <cell r="Q262">
            <v>107694</v>
          </cell>
          <cell r="R262">
            <v>107694</v>
          </cell>
          <cell r="S262">
            <v>107694</v>
          </cell>
          <cell r="T262">
            <v>107694</v>
          </cell>
          <cell r="U262">
            <v>107694</v>
          </cell>
          <cell r="V262">
            <v>0</v>
          </cell>
          <cell r="W262">
            <v>0</v>
          </cell>
        </row>
        <row r="263">
          <cell r="B263" t="str">
            <v>BALONES MEDICINAL 4</v>
          </cell>
          <cell r="C263" t="str">
            <v>Peso de 4 kilos, esférico de cuero, goma o plástico.</v>
          </cell>
          <cell r="D263" t="str">
            <v>unidad</v>
          </cell>
          <cell r="E263" t="str">
            <v>I2024014734</v>
          </cell>
          <cell r="F263" t="str">
            <v>0</v>
          </cell>
          <cell r="G263">
            <v>108767</v>
          </cell>
          <cell r="H263">
            <v>108767</v>
          </cell>
          <cell r="I263">
            <v>108767</v>
          </cell>
          <cell r="J263">
            <v>108767</v>
          </cell>
          <cell r="K263">
            <v>108767</v>
          </cell>
          <cell r="L263">
            <v>108767</v>
          </cell>
          <cell r="M263">
            <v>108767</v>
          </cell>
          <cell r="N263">
            <v>108767</v>
          </cell>
          <cell r="O263">
            <v>108767</v>
          </cell>
          <cell r="P263">
            <v>108767</v>
          </cell>
          <cell r="Q263">
            <v>108767</v>
          </cell>
          <cell r="R263">
            <v>108767</v>
          </cell>
          <cell r="S263">
            <v>108767</v>
          </cell>
          <cell r="T263">
            <v>108767</v>
          </cell>
          <cell r="U263">
            <v>108767</v>
          </cell>
          <cell r="V263">
            <v>0</v>
          </cell>
          <cell r="W263">
            <v>0</v>
          </cell>
        </row>
        <row r="264">
          <cell r="B264" t="str">
            <v>BALONES MEDICINAL 5</v>
          </cell>
          <cell r="C264" t="str">
            <v>Peso de 5 kilos, esférico de cuero, goma o plástico.</v>
          </cell>
          <cell r="D264" t="str">
            <v>unidad</v>
          </cell>
          <cell r="E264" t="str">
            <v>I2024014734</v>
          </cell>
          <cell r="F264" t="str">
            <v>0</v>
          </cell>
          <cell r="G264">
            <v>147902</v>
          </cell>
          <cell r="H264">
            <v>147902</v>
          </cell>
          <cell r="I264">
            <v>147902</v>
          </cell>
          <cell r="J264">
            <v>147902</v>
          </cell>
          <cell r="K264">
            <v>147902</v>
          </cell>
          <cell r="L264">
            <v>147902</v>
          </cell>
          <cell r="M264">
            <v>147902</v>
          </cell>
          <cell r="N264">
            <v>147902</v>
          </cell>
          <cell r="O264">
            <v>147902</v>
          </cell>
          <cell r="P264">
            <v>147902</v>
          </cell>
          <cell r="Q264">
            <v>147902</v>
          </cell>
          <cell r="R264">
            <v>147902</v>
          </cell>
          <cell r="S264">
            <v>147902</v>
          </cell>
          <cell r="T264">
            <v>147902</v>
          </cell>
          <cell r="U264">
            <v>147902</v>
          </cell>
          <cell r="V264">
            <v>0</v>
          </cell>
          <cell r="W264">
            <v>0</v>
          </cell>
        </row>
        <row r="265">
          <cell r="B265" t="str">
            <v>BALÓN VOLEIBOL</v>
          </cell>
          <cell r="C265" t="str">
            <v>Balón de voleibol cubierta resistente, cocido a mano, tamaño y peso oficial.</v>
          </cell>
          <cell r="D265" t="str">
            <v>Unidad</v>
          </cell>
          <cell r="E265" t="str">
            <v>I2023004856</v>
          </cell>
          <cell r="F265">
            <v>44974</v>
          </cell>
          <cell r="G265">
            <v>93514</v>
          </cell>
          <cell r="H265">
            <v>94495</v>
          </cell>
          <cell r="I265">
            <v>95232</v>
          </cell>
          <cell r="J265">
            <v>95641</v>
          </cell>
          <cell r="K265">
            <v>95927</v>
          </cell>
          <cell r="L265">
            <v>96406</v>
          </cell>
          <cell r="M265">
            <v>97080</v>
          </cell>
          <cell r="N265">
            <v>97604</v>
          </cell>
          <cell r="O265">
            <v>97848</v>
          </cell>
          <cell r="P265">
            <v>98307</v>
          </cell>
          <cell r="Q265">
            <v>98749</v>
          </cell>
          <cell r="R265">
            <v>99657</v>
          </cell>
          <cell r="S265">
            <v>100743</v>
          </cell>
          <cell r="T265">
            <v>101448</v>
          </cell>
          <cell r="U265">
            <v>102046</v>
          </cell>
          <cell r="V265">
            <v>8532</v>
          </cell>
          <cell r="W265">
            <v>9.1237675642149837E-2</v>
          </cell>
        </row>
        <row r="266">
          <cell r="B266" t="str">
            <v>BALONES DE YOGA</v>
          </cell>
          <cell r="C266" t="str">
            <v>Balon terapéutico De PVC durable, con textura antideslizante, de 65 cms, de diferentes colores  </v>
          </cell>
          <cell r="D266" t="str">
            <v>Unidad</v>
          </cell>
          <cell r="E266" t="str">
            <v xml:space="preserve">I2023004856 </v>
          </cell>
          <cell r="F266" t="str">
            <v>0</v>
          </cell>
          <cell r="G266">
            <v>69100</v>
          </cell>
          <cell r="H266">
            <v>69100</v>
          </cell>
          <cell r="I266">
            <v>69100</v>
          </cell>
          <cell r="J266">
            <v>69100</v>
          </cell>
          <cell r="K266">
            <v>69100</v>
          </cell>
          <cell r="L266">
            <v>69100</v>
          </cell>
          <cell r="M266">
            <v>69100</v>
          </cell>
          <cell r="N266">
            <v>69100</v>
          </cell>
          <cell r="O266">
            <v>69100</v>
          </cell>
          <cell r="P266">
            <v>69100</v>
          </cell>
          <cell r="Q266">
            <v>69100</v>
          </cell>
          <cell r="R266">
            <v>69100</v>
          </cell>
          <cell r="S266">
            <v>69100</v>
          </cell>
          <cell r="T266">
            <v>69100</v>
          </cell>
          <cell r="U266">
            <v>69100</v>
          </cell>
          <cell r="V266">
            <v>0</v>
          </cell>
          <cell r="W266">
            <v>0</v>
          </cell>
        </row>
        <row r="267">
          <cell r="B267" t="str">
            <v>BANDAS DE RESISTENCIA</v>
          </cell>
          <cell r="C267" t="str">
            <v>Thera Band Cinco (5) juegos de bandas elásticas cada juego contiene cinco (5) bandas en látex por colores, cada color tiene un nivel de resistencia diferente.</v>
          </cell>
          <cell r="D267" t="str">
            <v>SET DE 5 BANDAS</v>
          </cell>
          <cell r="E267" t="str">
            <v>I2023004856</v>
          </cell>
          <cell r="F267">
            <v>44974</v>
          </cell>
          <cell r="G267">
            <v>38334</v>
          </cell>
          <cell r="H267">
            <v>38736</v>
          </cell>
          <cell r="I267">
            <v>39038</v>
          </cell>
          <cell r="J267">
            <v>39205</v>
          </cell>
          <cell r="K267">
            <v>39322</v>
          </cell>
          <cell r="L267">
            <v>39518</v>
          </cell>
          <cell r="M267">
            <v>39794</v>
          </cell>
          <cell r="N267">
            <v>40008</v>
          </cell>
          <cell r="O267">
            <v>40108</v>
          </cell>
          <cell r="P267">
            <v>40296</v>
          </cell>
          <cell r="Q267">
            <v>40477</v>
          </cell>
          <cell r="R267">
            <v>40849</v>
          </cell>
          <cell r="S267">
            <v>41294</v>
          </cell>
          <cell r="T267">
            <v>41583</v>
          </cell>
          <cell r="U267">
            <v>41828</v>
          </cell>
          <cell r="V267">
            <v>3494</v>
          </cell>
          <cell r="W267">
            <v>9.1146240934940267E-2</v>
          </cell>
        </row>
        <row r="268">
          <cell r="B268" t="str">
            <v>BINGO</v>
          </cell>
          <cell r="C268" t="str">
            <v>Juego de mesa completo para adultos</v>
          </cell>
          <cell r="D268" t="str">
            <v>Desgaste y uso mensual por unidad</v>
          </cell>
          <cell r="E268" t="str">
            <v>I2023032069</v>
          </cell>
          <cell r="F268">
            <v>45220</v>
          </cell>
          <cell r="G268">
            <v>74952</v>
          </cell>
          <cell r="H268">
            <v>74952</v>
          </cell>
          <cell r="I268">
            <v>74952</v>
          </cell>
          <cell r="J268">
            <v>74952</v>
          </cell>
          <cell r="K268">
            <v>74952</v>
          </cell>
          <cell r="L268">
            <v>74952</v>
          </cell>
          <cell r="M268">
            <v>74952</v>
          </cell>
          <cell r="N268">
            <v>74952</v>
          </cell>
          <cell r="O268">
            <v>74952</v>
          </cell>
          <cell r="P268">
            <v>75304</v>
          </cell>
          <cell r="Q268">
            <v>75642</v>
          </cell>
          <cell r="R268">
            <v>76337</v>
          </cell>
          <cell r="S268">
            <v>77169</v>
          </cell>
          <cell r="T268">
            <v>77709</v>
          </cell>
          <cell r="U268">
            <v>78167</v>
          </cell>
          <cell r="V268">
            <v>3215</v>
          </cell>
          <cell r="W268">
            <v>4.2894118902764435E-2</v>
          </cell>
        </row>
        <row r="269">
          <cell r="B269" t="str">
            <v>CAMINADORA ELÉCTRICA.</v>
          </cell>
          <cell r="C269" t="str">
            <v>Caminadora eléctrica.</v>
          </cell>
          <cell r="D269" t="str">
            <v>Desgaste y uso mensual por unidad</v>
          </cell>
          <cell r="E269" t="str">
            <v>I2023004856</v>
          </cell>
          <cell r="F269">
            <v>44974</v>
          </cell>
          <cell r="G269">
            <v>2843125</v>
          </cell>
          <cell r="H269">
            <v>2872977</v>
          </cell>
          <cell r="I269">
            <v>2895386</v>
          </cell>
          <cell r="J269">
            <v>2907836</v>
          </cell>
          <cell r="K269">
            <v>2916559</v>
          </cell>
          <cell r="L269">
            <v>2931141</v>
          </cell>
          <cell r="M269">
            <v>2951658</v>
          </cell>
          <cell r="N269">
            <v>2967596</v>
          </cell>
          <cell r="O269">
            <v>2975014</v>
          </cell>
          <cell r="P269">
            <v>2988996</v>
          </cell>
          <cell r="Q269">
            <v>3002446</v>
          </cell>
          <cell r="R269">
            <v>3030068</v>
          </cell>
          <cell r="S269">
            <v>3063095</v>
          </cell>
          <cell r="T269">
            <v>3084536</v>
          </cell>
          <cell r="U269">
            <v>3102734</v>
          </cell>
          <cell r="V269">
            <v>259609</v>
          </cell>
          <cell r="W269">
            <v>9.1311145306660804E-2</v>
          </cell>
        </row>
        <row r="270">
          <cell r="B270" t="str">
            <v>COLCHONETA CON FORRO ANTIFLUIDO</v>
          </cell>
          <cell r="C270" t="str">
            <v xml:space="preserve">Colchonetas grandes de 120 cm x 60 cm, 5 cm espesor, densidad de 23 kg </v>
          </cell>
          <cell r="D270" t="str">
            <v>Desgaste y uso mensual por unidad</v>
          </cell>
          <cell r="E270" t="str">
            <v>I2023004856</v>
          </cell>
          <cell r="F270">
            <v>44974</v>
          </cell>
          <cell r="G270">
            <v>95927</v>
          </cell>
          <cell r="H270">
            <v>96934</v>
          </cell>
          <cell r="I270">
            <v>97690</v>
          </cell>
          <cell r="J270">
            <v>98110</v>
          </cell>
          <cell r="K270">
            <v>98404</v>
          </cell>
          <cell r="L270">
            <v>98896</v>
          </cell>
          <cell r="M270">
            <v>99588</v>
          </cell>
          <cell r="N270">
            <v>100125</v>
          </cell>
          <cell r="O270">
            <v>100375</v>
          </cell>
          <cell r="P270">
            <v>100846</v>
          </cell>
          <cell r="Q270">
            <v>101299</v>
          </cell>
          <cell r="R270">
            <v>102230</v>
          </cell>
          <cell r="S270">
            <v>103344</v>
          </cell>
          <cell r="T270">
            <v>104067</v>
          </cell>
          <cell r="U270">
            <v>104680</v>
          </cell>
          <cell r="V270">
            <v>8753</v>
          </cell>
          <cell r="W270">
            <v>9.1246468668883626E-2</v>
          </cell>
        </row>
        <row r="271">
          <cell r="B271" t="str">
            <v>CUCUNUBA</v>
          </cell>
          <cell r="C271" t="str">
            <v>Dimensiones: 105 x 20 cm, fabricado en tablex, pintado, seis bolas para
lanzar.</v>
          </cell>
          <cell r="D271" t="str">
            <v>Desgaste y uso mensual por unidad</v>
          </cell>
          <cell r="E271" t="str">
            <v>I2024014734</v>
          </cell>
          <cell r="F271" t="str">
            <v>0</v>
          </cell>
          <cell r="G271">
            <v>141556</v>
          </cell>
          <cell r="H271">
            <v>141556</v>
          </cell>
          <cell r="I271">
            <v>141556</v>
          </cell>
          <cell r="J271">
            <v>141556</v>
          </cell>
          <cell r="K271">
            <v>141556</v>
          </cell>
          <cell r="L271">
            <v>141556</v>
          </cell>
          <cell r="M271">
            <v>141556</v>
          </cell>
          <cell r="N271">
            <v>141556</v>
          </cell>
          <cell r="O271">
            <v>141556</v>
          </cell>
          <cell r="P271">
            <v>141556</v>
          </cell>
          <cell r="Q271">
            <v>141556</v>
          </cell>
          <cell r="R271">
            <v>141556</v>
          </cell>
          <cell r="S271">
            <v>141556</v>
          </cell>
          <cell r="T271">
            <v>141556</v>
          </cell>
          <cell r="U271">
            <v>141556</v>
          </cell>
          <cell r="V271">
            <v>0</v>
          </cell>
          <cell r="W271">
            <v>0</v>
          </cell>
        </row>
        <row r="272">
          <cell r="B272" t="str">
            <v>DOMINO</v>
          </cell>
          <cell r="C272" t="str">
            <v>Juego de mesa completo para adultos</v>
          </cell>
          <cell r="D272" t="str">
            <v>Desgaste y uso mensual por unidad</v>
          </cell>
          <cell r="E272" t="str">
            <v>I2023032069</v>
          </cell>
          <cell r="F272">
            <v>45220</v>
          </cell>
          <cell r="G272">
            <v>55857</v>
          </cell>
          <cell r="H272">
            <v>55857</v>
          </cell>
          <cell r="I272">
            <v>55857</v>
          </cell>
          <cell r="J272">
            <v>55857</v>
          </cell>
          <cell r="K272">
            <v>55857</v>
          </cell>
          <cell r="L272">
            <v>55857</v>
          </cell>
          <cell r="M272">
            <v>55857</v>
          </cell>
          <cell r="N272">
            <v>55857</v>
          </cell>
          <cell r="O272">
            <v>55857</v>
          </cell>
          <cell r="P272">
            <v>56119</v>
          </cell>
          <cell r="Q272">
            <v>56371</v>
          </cell>
          <cell r="R272">
            <v>56889</v>
          </cell>
          <cell r="S272">
            <v>57509</v>
          </cell>
          <cell r="T272">
            <v>57911</v>
          </cell>
          <cell r="U272">
            <v>58252</v>
          </cell>
          <cell r="V272">
            <v>2395</v>
          </cell>
          <cell r="W272">
            <v>4.2877347512397732E-2</v>
          </cell>
        </row>
        <row r="273">
          <cell r="B273" t="str">
            <v>LAZO DE SALTO INDIVIDUAL</v>
          </cell>
          <cell r="C273" t="str">
            <v>3 mts. de largo.</v>
          </cell>
          <cell r="D273" t="str">
            <v>Unidad</v>
          </cell>
          <cell r="E273" t="str">
            <v>I2023008278</v>
          </cell>
          <cell r="F273">
            <v>45002</v>
          </cell>
          <cell r="G273">
            <v>15007</v>
          </cell>
          <cell r="H273">
            <v>15007</v>
          </cell>
          <cell r="I273">
            <v>15124</v>
          </cell>
          <cell r="J273">
            <v>15189</v>
          </cell>
          <cell r="K273">
            <v>15234</v>
          </cell>
          <cell r="L273">
            <v>15310</v>
          </cell>
          <cell r="M273">
            <v>15417</v>
          </cell>
          <cell r="N273">
            <v>15500</v>
          </cell>
          <cell r="O273">
            <v>15538</v>
          </cell>
          <cell r="P273">
            <v>15611</v>
          </cell>
          <cell r="Q273">
            <v>15681</v>
          </cell>
          <cell r="R273">
            <v>15825</v>
          </cell>
          <cell r="S273">
            <v>15997</v>
          </cell>
          <cell r="T273">
            <v>16108</v>
          </cell>
          <cell r="U273">
            <v>16203</v>
          </cell>
          <cell r="V273">
            <v>1196</v>
          </cell>
          <cell r="W273">
            <v>7.96961418004931E-2</v>
          </cell>
        </row>
        <row r="274">
          <cell r="B274" t="str">
            <v>MALLA PARA MICROFURTBOL</v>
          </cell>
          <cell r="C274" t="str">
            <v>Juegos de malla, tipo cabaña en nylon No. 2 </v>
          </cell>
          <cell r="D274" t="str">
            <v>Unidad</v>
          </cell>
          <cell r="E274" t="str">
            <v>I2024014734</v>
          </cell>
          <cell r="F274" t="str">
            <v>0</v>
          </cell>
          <cell r="G274">
            <v>196166</v>
          </cell>
          <cell r="H274">
            <v>196166</v>
          </cell>
          <cell r="I274">
            <v>196166</v>
          </cell>
          <cell r="J274">
            <v>196166</v>
          </cell>
          <cell r="K274">
            <v>196166</v>
          </cell>
          <cell r="L274">
            <v>196166</v>
          </cell>
          <cell r="M274">
            <v>196166</v>
          </cell>
          <cell r="N274">
            <v>196166</v>
          </cell>
          <cell r="O274">
            <v>196166</v>
          </cell>
          <cell r="P274">
            <v>196166</v>
          </cell>
          <cell r="Q274">
            <v>196166</v>
          </cell>
          <cell r="R274">
            <v>196166</v>
          </cell>
          <cell r="S274">
            <v>196166</v>
          </cell>
          <cell r="T274">
            <v>196166</v>
          </cell>
          <cell r="U274">
            <v>196166</v>
          </cell>
          <cell r="V274">
            <v>0</v>
          </cell>
          <cell r="W274">
            <v>0</v>
          </cell>
        </row>
        <row r="275">
          <cell r="B275" t="str">
            <v>MANCUERNAS EN CAUCHO 2</v>
          </cell>
          <cell r="C275" t="str">
            <v>1 par por  2 lb.</v>
          </cell>
          <cell r="D275" t="str">
            <v>Par</v>
          </cell>
          <cell r="E275" t="str">
            <v>I2023019873</v>
          </cell>
          <cell r="F275">
            <v>45117</v>
          </cell>
          <cell r="G275">
            <v>45708</v>
          </cell>
          <cell r="H275">
            <v>45708</v>
          </cell>
          <cell r="I275">
            <v>45708</v>
          </cell>
          <cell r="J275">
            <v>45708</v>
          </cell>
          <cell r="K275">
            <v>45708</v>
          </cell>
          <cell r="L275">
            <v>45708</v>
          </cell>
          <cell r="M275">
            <v>46027</v>
          </cell>
          <cell r="N275">
            <v>46275</v>
          </cell>
          <cell r="O275">
            <v>46390</v>
          </cell>
          <cell r="P275">
            <v>46608</v>
          </cell>
          <cell r="Q275">
            <v>46817</v>
          </cell>
          <cell r="R275">
            <v>47247</v>
          </cell>
          <cell r="S275">
            <v>47761</v>
          </cell>
          <cell r="T275">
            <v>48095</v>
          </cell>
          <cell r="U275">
            <v>48378</v>
          </cell>
          <cell r="V275">
            <v>2670</v>
          </cell>
          <cell r="W275">
            <v>5.8414281963770021E-2</v>
          </cell>
        </row>
        <row r="276">
          <cell r="B276" t="str">
            <v>MANCUERNAS EN CAUCHO 4</v>
          </cell>
          <cell r="C276" t="str">
            <v>1 par por  4 lb.</v>
          </cell>
          <cell r="D276" t="str">
            <v>Par</v>
          </cell>
          <cell r="E276" t="str">
            <v>I2023019873</v>
          </cell>
          <cell r="F276">
            <v>45117</v>
          </cell>
          <cell r="G276">
            <v>62290</v>
          </cell>
          <cell r="H276">
            <v>62290</v>
          </cell>
          <cell r="I276">
            <v>62290</v>
          </cell>
          <cell r="J276">
            <v>62290</v>
          </cell>
          <cell r="K276">
            <v>62290</v>
          </cell>
          <cell r="L276">
            <v>62290</v>
          </cell>
          <cell r="M276">
            <v>62726</v>
          </cell>
          <cell r="N276">
            <v>63064</v>
          </cell>
          <cell r="O276">
            <v>63221</v>
          </cell>
          <cell r="P276">
            <v>63518</v>
          </cell>
          <cell r="Q276">
            <v>63803</v>
          </cell>
          <cell r="R276">
            <v>64389</v>
          </cell>
          <cell r="S276">
            <v>65090</v>
          </cell>
          <cell r="T276">
            <v>65545</v>
          </cell>
          <cell r="U276">
            <v>65931</v>
          </cell>
          <cell r="V276">
            <v>3641</v>
          </cell>
          <cell r="W276">
            <v>5.8452400064215766E-2</v>
          </cell>
        </row>
        <row r="277">
          <cell r="B277" t="str">
            <v>MANCUERNAS EN CAUCHO 5</v>
          </cell>
          <cell r="C277" t="str">
            <v>1 par  5 lb.</v>
          </cell>
          <cell r="D277" t="str">
            <v>Par</v>
          </cell>
          <cell r="E277" t="str">
            <v>I2024014734</v>
          </cell>
          <cell r="F277" t="str">
            <v>0</v>
          </cell>
          <cell r="G277">
            <v>101547</v>
          </cell>
          <cell r="H277">
            <v>101547</v>
          </cell>
          <cell r="I277">
            <v>101547</v>
          </cell>
          <cell r="J277">
            <v>101547</v>
          </cell>
          <cell r="K277">
            <v>101547</v>
          </cell>
          <cell r="L277">
            <v>101547</v>
          </cell>
          <cell r="M277">
            <v>101547</v>
          </cell>
          <cell r="N277">
            <v>101547</v>
          </cell>
          <cell r="O277">
            <v>101547</v>
          </cell>
          <cell r="P277">
            <v>101547</v>
          </cell>
          <cell r="Q277">
            <v>101547</v>
          </cell>
          <cell r="R277">
            <v>101547</v>
          </cell>
          <cell r="S277">
            <v>101547</v>
          </cell>
          <cell r="T277">
            <v>101547</v>
          </cell>
          <cell r="U277">
            <v>101547</v>
          </cell>
          <cell r="V277">
            <v>0</v>
          </cell>
          <cell r="W277">
            <v>0</v>
          </cell>
        </row>
        <row r="278">
          <cell r="B278" t="str">
            <v>MINI TEJO</v>
          </cell>
          <cell r="C278" t="str">
            <v>Dimensiones: 50 X 50 cm, fabricada en ángulo y tablex, tejos y bocín en acero, plastilina para clima frio y
caliente y espaldar plegable (par).</v>
          </cell>
          <cell r="D278" t="str">
            <v>Desgaste y uso mensual por unidad</v>
          </cell>
          <cell r="E278" t="str">
            <v>I2023004856</v>
          </cell>
          <cell r="F278">
            <v>44974</v>
          </cell>
          <cell r="G278">
            <v>611653</v>
          </cell>
          <cell r="H278">
            <v>618075</v>
          </cell>
          <cell r="I278">
            <v>622895</v>
          </cell>
          <cell r="J278">
            <v>625573</v>
          </cell>
          <cell r="K278">
            <v>627449</v>
          </cell>
          <cell r="L278">
            <v>630586</v>
          </cell>
          <cell r="M278">
            <v>635000</v>
          </cell>
          <cell r="N278">
            <v>638429</v>
          </cell>
          <cell r="O278">
            <v>640025</v>
          </cell>
          <cell r="P278">
            <v>643033</v>
          </cell>
          <cell r="Q278">
            <v>645926</v>
          </cell>
          <cell r="R278">
            <v>651868</v>
          </cell>
          <cell r="S278">
            <v>658973</v>
          </cell>
          <cell r="T278">
            <v>663585</v>
          </cell>
          <cell r="U278">
            <v>667500</v>
          </cell>
          <cell r="V278">
            <v>55847</v>
          </cell>
          <cell r="W278">
            <v>9.1305037333259217E-2</v>
          </cell>
        </row>
        <row r="279">
          <cell r="B279" t="str">
            <v>PARQUÉS</v>
          </cell>
          <cell r="C279" t="str">
            <v>Cuatro (4) juegos de mesa completos.</v>
          </cell>
          <cell r="D279" t="str">
            <v>Desgaste y uso mensual por unidad</v>
          </cell>
          <cell r="E279" t="str">
            <v>I2023032069</v>
          </cell>
          <cell r="F279">
            <v>45220</v>
          </cell>
          <cell r="G279">
            <v>32436</v>
          </cell>
          <cell r="H279">
            <v>32436</v>
          </cell>
          <cell r="I279">
            <v>32436</v>
          </cell>
          <cell r="J279">
            <v>32436</v>
          </cell>
          <cell r="K279">
            <v>32436</v>
          </cell>
          <cell r="L279">
            <v>32436</v>
          </cell>
          <cell r="M279">
            <v>32436</v>
          </cell>
          <cell r="N279">
            <v>32436</v>
          </cell>
          <cell r="O279">
            <v>32436</v>
          </cell>
          <cell r="P279">
            <v>32588</v>
          </cell>
          <cell r="Q279">
            <v>32734</v>
          </cell>
          <cell r="R279">
            <v>33035</v>
          </cell>
          <cell r="S279">
            <v>33395</v>
          </cell>
          <cell r="T279">
            <v>33628</v>
          </cell>
          <cell r="U279">
            <v>33826</v>
          </cell>
          <cell r="V279">
            <v>1390</v>
          </cell>
          <cell r="W279">
            <v>4.2853619435195459E-2</v>
          </cell>
        </row>
        <row r="280">
          <cell r="B280" t="str">
            <v>PELOTAS DE CAUCHO</v>
          </cell>
          <cell r="C280" t="str">
            <v>De caucho, livianas, de 20 cms de diámetro</v>
          </cell>
          <cell r="D280" t="str">
            <v>Desgaste y uso mensual por unidad</v>
          </cell>
          <cell r="E280" t="str">
            <v>I2023004856</v>
          </cell>
          <cell r="F280">
            <v>44974</v>
          </cell>
          <cell r="G280">
            <v>21658</v>
          </cell>
          <cell r="H280">
            <v>21885</v>
          </cell>
          <cell r="I280">
            <v>22055</v>
          </cell>
          <cell r="J280">
            <v>22149</v>
          </cell>
          <cell r="K280">
            <v>22215</v>
          </cell>
          <cell r="L280">
            <v>22326</v>
          </cell>
          <cell r="M280">
            <v>22482</v>
          </cell>
          <cell r="N280">
            <v>22603</v>
          </cell>
          <cell r="O280">
            <v>22659</v>
          </cell>
          <cell r="P280">
            <v>22765</v>
          </cell>
          <cell r="Q280">
            <v>22867</v>
          </cell>
          <cell r="R280">
            <v>23077</v>
          </cell>
          <cell r="S280">
            <v>23328</v>
          </cell>
          <cell r="T280">
            <v>23491</v>
          </cell>
          <cell r="U280">
            <v>23629</v>
          </cell>
          <cell r="V280">
            <v>1971</v>
          </cell>
          <cell r="W280">
            <v>9.1005633022439747E-2</v>
          </cell>
        </row>
        <row r="281">
          <cell r="B281" t="str">
            <v>RANA</v>
          </cell>
          <cell r="C281" t="str">
            <v>Dimensiones: 40 X 40 cm, Alto 80 cm, fabricado en tablex, uno o dos sapos en aluminio y
juego de seis argollas para lanzar.</v>
          </cell>
          <cell r="D281" t="str">
            <v>Desgaste y uso mensual por unidad</v>
          </cell>
          <cell r="E281" t="str">
            <v>I2023032069</v>
          </cell>
          <cell r="F281">
            <v>45220</v>
          </cell>
          <cell r="G281">
            <v>242650</v>
          </cell>
          <cell r="H281">
            <v>242650</v>
          </cell>
          <cell r="I281">
            <v>242650</v>
          </cell>
          <cell r="J281">
            <v>242650</v>
          </cell>
          <cell r="K281">
            <v>242650</v>
          </cell>
          <cell r="L281">
            <v>242650</v>
          </cell>
          <cell r="M281">
            <v>242650</v>
          </cell>
          <cell r="N281">
            <v>242650</v>
          </cell>
          <cell r="O281">
            <v>242650</v>
          </cell>
          <cell r="P281">
            <v>243790</v>
          </cell>
          <cell r="Q281">
            <v>244887</v>
          </cell>
          <cell r="R281">
            <v>247139</v>
          </cell>
          <cell r="S281">
            <v>249832</v>
          </cell>
          <cell r="T281">
            <v>251580</v>
          </cell>
          <cell r="U281">
            <v>253064</v>
          </cell>
          <cell r="V281">
            <v>10414</v>
          </cell>
          <cell r="W281">
            <v>4.2917782814753759E-2</v>
          </cell>
        </row>
        <row r="282">
          <cell r="B282" t="str">
            <v>SACO O TULA DE BOXEO</v>
          </cell>
          <cell r="C282" t="str">
            <v>En lona de poliuretano tamaño de 100 X 30 cm.Tula de boxeo - Saco de boxeo Incluye cadena mosquetón y chazo expansivo Relleno : Aserrin. medidas 110 centimetros por 90 centimetros de contorno Peso: 100 lbs o 50 kgs Diametro:30 CM Altura: 100 CM, incluye soporte en hierro para pared o techo para colgar bolsa de boxeo, incluye toda la tornillería de ensamble que certifique el anclaje para un peso de 120 kg, no ensamblar en paredes cocas o drywall (debe entregarse debidamente instalado donde el coordinador de la unidad operativa solicite).</v>
          </cell>
          <cell r="D282" t="str">
            <v>unidad</v>
          </cell>
          <cell r="E282" t="str">
            <v>I2023032069</v>
          </cell>
          <cell r="F282">
            <v>45220</v>
          </cell>
          <cell r="G282">
            <v>110716</v>
          </cell>
          <cell r="H282">
            <v>110716</v>
          </cell>
          <cell r="I282">
            <v>110716</v>
          </cell>
          <cell r="J282">
            <v>110716</v>
          </cell>
          <cell r="K282">
            <v>110716</v>
          </cell>
          <cell r="L282">
            <v>110716</v>
          </cell>
          <cell r="M282">
            <v>110716</v>
          </cell>
          <cell r="N282">
            <v>110716</v>
          </cell>
          <cell r="O282">
            <v>110716</v>
          </cell>
          <cell r="P282">
            <v>111236</v>
          </cell>
          <cell r="Q282">
            <v>111736</v>
          </cell>
          <cell r="R282">
            <v>112763</v>
          </cell>
          <cell r="S282">
            <v>113992</v>
          </cell>
          <cell r="T282">
            <v>114789</v>
          </cell>
          <cell r="U282">
            <v>115466</v>
          </cell>
          <cell r="V282">
            <v>4750</v>
          </cell>
          <cell r="W282">
            <v>4.2902561508725026E-2</v>
          </cell>
        </row>
        <row r="283">
          <cell r="B283" t="str">
            <v>SILVATO</v>
          </cell>
          <cell r="C283" t="str">
            <v>Pito para arbitro</v>
          </cell>
          <cell r="D283" t="str">
            <v>Unidad</v>
          </cell>
          <cell r="E283" t="str">
            <v>I2023008278</v>
          </cell>
          <cell r="F283">
            <v>45002</v>
          </cell>
          <cell r="G283">
            <v>6502</v>
          </cell>
          <cell r="H283">
            <v>6502</v>
          </cell>
          <cell r="I283">
            <v>6552</v>
          </cell>
          <cell r="J283">
            <v>6580</v>
          </cell>
          <cell r="K283">
            <v>6599</v>
          </cell>
          <cell r="L283">
            <v>6631</v>
          </cell>
          <cell r="M283">
            <v>6677</v>
          </cell>
          <cell r="N283">
            <v>6713</v>
          </cell>
          <cell r="O283">
            <v>6729</v>
          </cell>
          <cell r="P283">
            <v>6760</v>
          </cell>
          <cell r="Q283">
            <v>6790</v>
          </cell>
          <cell r="R283">
            <v>6852</v>
          </cell>
          <cell r="S283">
            <v>6926</v>
          </cell>
          <cell r="T283">
            <v>6974</v>
          </cell>
          <cell r="U283">
            <v>7015</v>
          </cell>
          <cell r="V283">
            <v>513</v>
          </cell>
          <cell r="W283">
            <v>7.88988003691172E-2</v>
          </cell>
        </row>
        <row r="284">
          <cell r="B284" t="str">
            <v>TRX</v>
          </cell>
          <cell r="C284" t="str">
            <v>Bandas suspensión soporta 300 kilos reales comprobados ,mide 3,20 mts alta calidad hebillas en acero , herrajes en acero q no se oxidan ,manilares en goma que no se razgan como los de espuma , tela de seguridad alta carga, incluye Soporte en hierro para pared o techo para colgar TRX, incluye toda la tornillería de ensamble que certifique el anclaje para un peso de 120 kg, no ensamblar en paredes cocas o drywall (debe entregarse debidamente instalado donde el coordinador de la unidad operativa solicite).</v>
          </cell>
          <cell r="D284" t="str">
            <v>unidad</v>
          </cell>
          <cell r="E284" t="str">
            <v>I2023032069</v>
          </cell>
          <cell r="F284">
            <v>45220</v>
          </cell>
          <cell r="G284">
            <v>165272</v>
          </cell>
          <cell r="H284">
            <v>165272</v>
          </cell>
          <cell r="I284">
            <v>165272</v>
          </cell>
          <cell r="J284">
            <v>165272</v>
          </cell>
          <cell r="K284">
            <v>165272</v>
          </cell>
          <cell r="L284">
            <v>165272</v>
          </cell>
          <cell r="M284">
            <v>165272</v>
          </cell>
          <cell r="N284">
            <v>165272</v>
          </cell>
          <cell r="O284">
            <v>165272</v>
          </cell>
          <cell r="P284">
            <v>166048</v>
          </cell>
          <cell r="Q284">
            <v>166795</v>
          </cell>
          <cell r="R284">
            <v>168329</v>
          </cell>
          <cell r="S284">
            <v>170163</v>
          </cell>
          <cell r="T284">
            <v>171354</v>
          </cell>
          <cell r="U284">
            <v>172364</v>
          </cell>
          <cell r="V284">
            <v>7092</v>
          </cell>
          <cell r="W284">
            <v>4.2911079916743311E-2</v>
          </cell>
        </row>
        <row r="285">
          <cell r="B285" t="str">
            <v>ALAMBRE</v>
          </cell>
          <cell r="C285" t="str">
            <v>alambre calibre 12 para tutorado decultivos</v>
          </cell>
          <cell r="D285" t="str">
            <v>Desgaste y uso mensual por unidad</v>
          </cell>
          <cell r="E285" t="str">
            <v>I2024004413</v>
          </cell>
          <cell r="F285" t="str">
            <v>0</v>
          </cell>
          <cell r="G285">
            <v>12404</v>
          </cell>
          <cell r="H285">
            <v>12404</v>
          </cell>
          <cell r="I285">
            <v>12404</v>
          </cell>
          <cell r="J285">
            <v>12404</v>
          </cell>
          <cell r="K285">
            <v>12404</v>
          </cell>
          <cell r="L285">
            <v>12404</v>
          </cell>
          <cell r="M285">
            <v>12404</v>
          </cell>
          <cell r="N285">
            <v>12404</v>
          </cell>
          <cell r="O285">
            <v>12404</v>
          </cell>
          <cell r="P285">
            <v>12404</v>
          </cell>
          <cell r="Q285">
            <v>12404</v>
          </cell>
          <cell r="R285">
            <v>12404</v>
          </cell>
          <cell r="S285">
            <v>12404</v>
          </cell>
          <cell r="T285">
            <v>12404</v>
          </cell>
          <cell r="U285">
            <v>12404</v>
          </cell>
          <cell r="V285">
            <v>0</v>
          </cell>
          <cell r="W285">
            <v>0</v>
          </cell>
        </row>
        <row r="286">
          <cell r="B286" t="str">
            <v>ALICATE</v>
          </cell>
          <cell r="C286" t="str">
            <v>Alicate electricista 7 pulgadas</v>
          </cell>
          <cell r="D286" t="str">
            <v>Unidad</v>
          </cell>
          <cell r="E286" t="str">
            <v>I2024014734</v>
          </cell>
          <cell r="F286" t="str">
            <v>0</v>
          </cell>
          <cell r="G286">
            <v>45173</v>
          </cell>
          <cell r="H286">
            <v>45173</v>
          </cell>
          <cell r="I286">
            <v>45173</v>
          </cell>
          <cell r="J286">
            <v>45173</v>
          </cell>
          <cell r="K286">
            <v>45173</v>
          </cell>
          <cell r="L286">
            <v>45173</v>
          </cell>
          <cell r="M286">
            <v>45173</v>
          </cell>
          <cell r="N286">
            <v>45173</v>
          </cell>
          <cell r="O286">
            <v>45173</v>
          </cell>
          <cell r="P286">
            <v>45173</v>
          </cell>
          <cell r="Q286">
            <v>45173</v>
          </cell>
          <cell r="R286">
            <v>45173</v>
          </cell>
          <cell r="S286">
            <v>45173</v>
          </cell>
          <cell r="T286">
            <v>45173</v>
          </cell>
          <cell r="U286">
            <v>45173</v>
          </cell>
          <cell r="V286">
            <v>0</v>
          </cell>
          <cell r="W286">
            <v>0</v>
          </cell>
        </row>
        <row r="287">
          <cell r="B287" t="str">
            <v>ALICATE DIABLO</v>
          </cell>
          <cell r="C287" t="str">
            <v>Alicate Diablo  11 pulgadas uso profesional</v>
          </cell>
          <cell r="D287" t="str">
            <v>Unidad</v>
          </cell>
          <cell r="E287" t="str">
            <v>I2024014734</v>
          </cell>
          <cell r="F287" t="str">
            <v>0</v>
          </cell>
          <cell r="G287">
            <v>84035</v>
          </cell>
          <cell r="H287">
            <v>84035</v>
          </cell>
          <cell r="I287">
            <v>84035</v>
          </cell>
          <cell r="J287">
            <v>84035</v>
          </cell>
          <cell r="K287">
            <v>84035</v>
          </cell>
          <cell r="L287">
            <v>84035</v>
          </cell>
          <cell r="M287">
            <v>84035</v>
          </cell>
          <cell r="N287">
            <v>84035</v>
          </cell>
          <cell r="O287">
            <v>84035</v>
          </cell>
          <cell r="P287">
            <v>84035</v>
          </cell>
          <cell r="Q287">
            <v>84035</v>
          </cell>
          <cell r="R287">
            <v>84035</v>
          </cell>
          <cell r="S287">
            <v>84035</v>
          </cell>
          <cell r="T287">
            <v>84035</v>
          </cell>
          <cell r="U287">
            <v>84035</v>
          </cell>
          <cell r="V287">
            <v>0</v>
          </cell>
          <cell r="W287">
            <v>0</v>
          </cell>
        </row>
        <row r="288">
          <cell r="B288" t="str">
            <v>ALICATE PUNTA DE LORO</v>
          </cell>
          <cell r="C288" t="str">
            <v>Alicate articulado de extencion 10 pulgadas.</v>
          </cell>
          <cell r="D288" t="str">
            <v>Unidad</v>
          </cell>
          <cell r="E288" t="str">
            <v>I2024014734</v>
          </cell>
          <cell r="F288" t="str">
            <v>0</v>
          </cell>
          <cell r="G288">
            <v>80822</v>
          </cell>
          <cell r="H288">
            <v>80822</v>
          </cell>
          <cell r="I288">
            <v>80822</v>
          </cell>
          <cell r="J288">
            <v>80822</v>
          </cell>
          <cell r="K288">
            <v>80822</v>
          </cell>
          <cell r="L288">
            <v>80822</v>
          </cell>
          <cell r="M288">
            <v>80822</v>
          </cell>
          <cell r="N288">
            <v>80822</v>
          </cell>
          <cell r="O288">
            <v>80822</v>
          </cell>
          <cell r="P288">
            <v>80822</v>
          </cell>
          <cell r="Q288">
            <v>80822</v>
          </cell>
          <cell r="R288">
            <v>80822</v>
          </cell>
          <cell r="S288">
            <v>80822</v>
          </cell>
          <cell r="T288">
            <v>80822</v>
          </cell>
          <cell r="U288">
            <v>80822</v>
          </cell>
          <cell r="V288">
            <v>0</v>
          </cell>
          <cell r="W288">
            <v>0</v>
          </cell>
        </row>
        <row r="289">
          <cell r="B289" t="str">
            <v>ASPERSORES PARA RIEGO</v>
          </cell>
          <cell r="C289" t="str">
            <v xml:space="preserve">Aspersores plastico graduable 1/2 </v>
          </cell>
          <cell r="D289" t="str">
            <v>Unidad</v>
          </cell>
          <cell r="E289" t="str">
            <v>I2024014734</v>
          </cell>
          <cell r="F289" t="str">
            <v>0</v>
          </cell>
          <cell r="G289">
            <v>33573</v>
          </cell>
          <cell r="H289">
            <v>33573</v>
          </cell>
          <cell r="I289">
            <v>33573</v>
          </cell>
          <cell r="J289">
            <v>33573</v>
          </cell>
          <cell r="K289">
            <v>33573</v>
          </cell>
          <cell r="L289">
            <v>33573</v>
          </cell>
          <cell r="M289">
            <v>33573</v>
          </cell>
          <cell r="N289">
            <v>33573</v>
          </cell>
          <cell r="O289">
            <v>33573</v>
          </cell>
          <cell r="P289">
            <v>33573</v>
          </cell>
          <cell r="Q289">
            <v>33573</v>
          </cell>
          <cell r="R289">
            <v>33573</v>
          </cell>
          <cell r="S289">
            <v>33573</v>
          </cell>
          <cell r="T289">
            <v>33573</v>
          </cell>
          <cell r="U289">
            <v>33573</v>
          </cell>
          <cell r="V289">
            <v>0</v>
          </cell>
          <cell r="W289">
            <v>0</v>
          </cell>
        </row>
        <row r="290">
          <cell r="B290" t="str">
            <v>AZADÓN</v>
          </cell>
          <cell r="C290" t="str">
            <v>Azadón papero 4 lbs</v>
          </cell>
          <cell r="D290" t="str">
            <v>Unidad</v>
          </cell>
          <cell r="E290" t="str">
            <v>I2024014734</v>
          </cell>
          <cell r="F290" t="str">
            <v>0</v>
          </cell>
          <cell r="G290">
            <v>54686</v>
          </cell>
          <cell r="H290">
            <v>54686</v>
          </cell>
          <cell r="I290">
            <v>54686</v>
          </cell>
          <cell r="J290">
            <v>54686</v>
          </cell>
          <cell r="K290">
            <v>54686</v>
          </cell>
          <cell r="L290">
            <v>54686</v>
          </cell>
          <cell r="M290">
            <v>54686</v>
          </cell>
          <cell r="N290">
            <v>54686</v>
          </cell>
          <cell r="O290">
            <v>54686</v>
          </cell>
          <cell r="P290">
            <v>54686</v>
          </cell>
          <cell r="Q290">
            <v>54686</v>
          </cell>
          <cell r="R290">
            <v>54686</v>
          </cell>
          <cell r="S290">
            <v>54686</v>
          </cell>
          <cell r="T290">
            <v>54686</v>
          </cell>
          <cell r="U290">
            <v>54686</v>
          </cell>
          <cell r="V290">
            <v>0</v>
          </cell>
          <cell r="W290">
            <v>0</v>
          </cell>
        </row>
        <row r="291">
          <cell r="B291" t="str">
            <v>BANDEJAS (VIVERO)</v>
          </cell>
          <cell r="C291" t="str">
            <v xml:space="preserve">Bandeja de 5 cm de profundidad con capacidad promedio para 50 plantulas </v>
          </cell>
          <cell r="D291">
            <v>0</v>
          </cell>
          <cell r="E291" t="str">
            <v>I2024014734</v>
          </cell>
          <cell r="F291" t="str">
            <v>0</v>
          </cell>
          <cell r="G291">
            <v>14830</v>
          </cell>
          <cell r="H291">
            <v>14830</v>
          </cell>
          <cell r="I291">
            <v>14830</v>
          </cell>
          <cell r="J291">
            <v>14830</v>
          </cell>
          <cell r="K291">
            <v>14830</v>
          </cell>
          <cell r="L291">
            <v>14830</v>
          </cell>
          <cell r="M291">
            <v>14830</v>
          </cell>
          <cell r="N291">
            <v>14830</v>
          </cell>
          <cell r="O291">
            <v>14830</v>
          </cell>
          <cell r="P291">
            <v>14830</v>
          </cell>
          <cell r="Q291">
            <v>14830</v>
          </cell>
          <cell r="R291">
            <v>14830</v>
          </cell>
          <cell r="S291">
            <v>14830</v>
          </cell>
          <cell r="T291">
            <v>14830</v>
          </cell>
          <cell r="U291">
            <v>14830</v>
          </cell>
          <cell r="V291">
            <v>0</v>
          </cell>
          <cell r="W291">
            <v>0</v>
          </cell>
        </row>
        <row r="292">
          <cell r="B292" t="str">
            <v>BOMBA DE ESPALDA</v>
          </cell>
          <cell r="C292" t="str">
            <v>Bomba fumigadora espalda capacidfad 20 Lts</v>
          </cell>
          <cell r="D292" t="str">
            <v>Unidad</v>
          </cell>
          <cell r="E292" t="str">
            <v>I2024014734</v>
          </cell>
          <cell r="F292" t="str">
            <v>0</v>
          </cell>
          <cell r="G292">
            <v>314750</v>
          </cell>
          <cell r="H292">
            <v>314750</v>
          </cell>
          <cell r="I292">
            <v>314750</v>
          </cell>
          <cell r="J292">
            <v>314750</v>
          </cell>
          <cell r="K292">
            <v>314750</v>
          </cell>
          <cell r="L292">
            <v>314750</v>
          </cell>
          <cell r="M292">
            <v>314750</v>
          </cell>
          <cell r="N292">
            <v>314750</v>
          </cell>
          <cell r="O292">
            <v>314750</v>
          </cell>
          <cell r="P292">
            <v>314750</v>
          </cell>
          <cell r="Q292">
            <v>314750</v>
          </cell>
          <cell r="R292">
            <v>314750</v>
          </cell>
          <cell r="S292">
            <v>314750</v>
          </cell>
          <cell r="T292">
            <v>314750</v>
          </cell>
          <cell r="U292">
            <v>314750</v>
          </cell>
          <cell r="V292">
            <v>0</v>
          </cell>
          <cell r="W292">
            <v>0</v>
          </cell>
        </row>
        <row r="293">
          <cell r="B293" t="str">
            <v>BOTA EN PVC</v>
          </cell>
          <cell r="C293" t="str">
            <v>Bota en PVC línea básica sanitizada, reforzada en punta
y talón.</v>
          </cell>
          <cell r="D293" t="str">
            <v>Par</v>
          </cell>
          <cell r="E293" t="str">
            <v>I2023004856</v>
          </cell>
          <cell r="F293">
            <v>44974</v>
          </cell>
          <cell r="G293">
            <v>59564</v>
          </cell>
          <cell r="H293">
            <v>60189</v>
          </cell>
          <cell r="I293">
            <v>60658</v>
          </cell>
          <cell r="J293">
            <v>60918</v>
          </cell>
          <cell r="K293">
            <v>61100</v>
          </cell>
          <cell r="L293">
            <v>61405</v>
          </cell>
          <cell r="M293">
            <v>61834</v>
          </cell>
          <cell r="N293">
            <v>62167</v>
          </cell>
          <cell r="O293">
            <v>62322</v>
          </cell>
          <cell r="P293">
            <v>62614</v>
          </cell>
          <cell r="Q293">
            <v>62895</v>
          </cell>
          <cell r="R293">
            <v>63473</v>
          </cell>
          <cell r="S293">
            <v>64164</v>
          </cell>
          <cell r="T293">
            <v>64613</v>
          </cell>
          <cell r="U293">
            <v>64994</v>
          </cell>
          <cell r="V293">
            <v>5430</v>
          </cell>
          <cell r="W293">
            <v>9.1162447115707479E-2</v>
          </cell>
        </row>
        <row r="294">
          <cell r="B294" t="str">
            <v>CAL AGRÍCOLA</v>
          </cell>
          <cell r="C294" t="str">
            <v>Cal agrícola sustrato organico fertilizante</v>
          </cell>
          <cell r="D294" t="str">
            <v>Kg</v>
          </cell>
          <cell r="E294" t="str">
            <v>I2024014734</v>
          </cell>
          <cell r="F294" t="str">
            <v>0</v>
          </cell>
          <cell r="G294">
            <v>4154</v>
          </cell>
          <cell r="H294">
            <v>4154</v>
          </cell>
          <cell r="I294">
            <v>4154</v>
          </cell>
          <cell r="J294">
            <v>4154</v>
          </cell>
          <cell r="K294">
            <v>4154</v>
          </cell>
          <cell r="L294">
            <v>4154</v>
          </cell>
          <cell r="M294">
            <v>4154</v>
          </cell>
          <cell r="N294">
            <v>4154</v>
          </cell>
          <cell r="O294">
            <v>4154</v>
          </cell>
          <cell r="P294">
            <v>4154</v>
          </cell>
          <cell r="Q294">
            <v>4154</v>
          </cell>
          <cell r="R294">
            <v>4154</v>
          </cell>
          <cell r="S294">
            <v>4154</v>
          </cell>
          <cell r="T294">
            <v>4154</v>
          </cell>
          <cell r="U294">
            <v>4154</v>
          </cell>
          <cell r="V294">
            <v>0</v>
          </cell>
          <cell r="W294">
            <v>0</v>
          </cell>
        </row>
        <row r="295">
          <cell r="B295" t="str">
            <v>CARETA PARA FUMIGAR 3M</v>
          </cell>
          <cell r="C295" t="str">
            <v>Mascara industrial doble  filtro de gases, fumigacion</v>
          </cell>
          <cell r="D295" t="str">
            <v>Unidad</v>
          </cell>
          <cell r="E295" t="str">
            <v>I2024014734</v>
          </cell>
          <cell r="F295" t="str">
            <v>0</v>
          </cell>
          <cell r="G295">
            <v>128420</v>
          </cell>
          <cell r="H295">
            <v>128420</v>
          </cell>
          <cell r="I295">
            <v>128420</v>
          </cell>
          <cell r="J295">
            <v>128420</v>
          </cell>
          <cell r="K295">
            <v>128420</v>
          </cell>
          <cell r="L295">
            <v>128420</v>
          </cell>
          <cell r="M295">
            <v>128420</v>
          </cell>
          <cell r="N295">
            <v>128420</v>
          </cell>
          <cell r="O295">
            <v>128420</v>
          </cell>
          <cell r="P295">
            <v>128420</v>
          </cell>
          <cell r="Q295">
            <v>128420</v>
          </cell>
          <cell r="R295">
            <v>128420</v>
          </cell>
          <cell r="S295">
            <v>128420</v>
          </cell>
          <cell r="T295">
            <v>128420</v>
          </cell>
          <cell r="U295">
            <v>128420</v>
          </cell>
          <cell r="V295">
            <v>0</v>
          </cell>
          <cell r="W295">
            <v>0</v>
          </cell>
        </row>
        <row r="296">
          <cell r="B296" t="str">
            <v>CAUCHO PARA FORRAR VIVERO</v>
          </cell>
          <cell r="C296" t="str">
            <v>Plástico transparente calibre 720 para invernadero 30 mts cuadrados</v>
          </cell>
          <cell r="D296" t="str">
            <v>MTS2</v>
          </cell>
          <cell r="E296" t="str">
            <v>I2024014734</v>
          </cell>
          <cell r="F296" t="str">
            <v>0</v>
          </cell>
          <cell r="G296">
            <v>291548</v>
          </cell>
          <cell r="H296">
            <v>291548</v>
          </cell>
          <cell r="I296">
            <v>291548</v>
          </cell>
          <cell r="J296">
            <v>291548</v>
          </cell>
          <cell r="K296">
            <v>291548</v>
          </cell>
          <cell r="L296">
            <v>291548</v>
          </cell>
          <cell r="M296">
            <v>291548</v>
          </cell>
          <cell r="N296">
            <v>291548</v>
          </cell>
          <cell r="O296">
            <v>291548</v>
          </cell>
          <cell r="P296">
            <v>291548</v>
          </cell>
          <cell r="Q296">
            <v>291548</v>
          </cell>
          <cell r="R296">
            <v>291548</v>
          </cell>
          <cell r="S296">
            <v>291548</v>
          </cell>
          <cell r="T296">
            <v>291548</v>
          </cell>
          <cell r="U296">
            <v>291548</v>
          </cell>
          <cell r="V296">
            <v>0</v>
          </cell>
          <cell r="W296">
            <v>0</v>
          </cell>
        </row>
        <row r="297">
          <cell r="B297" t="str">
            <v>CINTA PARA MARCAR</v>
          </cell>
          <cell r="C297" t="str">
            <v>Cinta De Enmascarar, Multipropósitos, (48mmx40m).</v>
          </cell>
          <cell r="D297" t="str">
            <v xml:space="preserve">Rollo </v>
          </cell>
          <cell r="E297" t="str">
            <v xml:space="preserve">I2023015628 </v>
          </cell>
          <cell r="F297" t="str">
            <v>0</v>
          </cell>
          <cell r="G297">
            <v>13672</v>
          </cell>
          <cell r="H297">
            <v>13672</v>
          </cell>
          <cell r="I297">
            <v>13672</v>
          </cell>
          <cell r="J297">
            <v>13672</v>
          </cell>
          <cell r="K297">
            <v>13672</v>
          </cell>
          <cell r="L297">
            <v>13672</v>
          </cell>
          <cell r="M297">
            <v>13672</v>
          </cell>
          <cell r="N297">
            <v>13672</v>
          </cell>
          <cell r="O297">
            <v>13672</v>
          </cell>
          <cell r="P297">
            <v>13672</v>
          </cell>
          <cell r="Q297">
            <v>13672</v>
          </cell>
          <cell r="R297">
            <v>13672</v>
          </cell>
          <cell r="S297">
            <v>13672</v>
          </cell>
          <cell r="T297">
            <v>13672</v>
          </cell>
          <cell r="U297">
            <v>13672</v>
          </cell>
          <cell r="V297">
            <v>0</v>
          </cell>
          <cell r="W297">
            <v>0</v>
          </cell>
        </row>
        <row r="298">
          <cell r="B298" t="str">
            <v>FERTILIZANTES EDÁFICOS Y FOLIRARES (EL PRODUCTO A UTILIZAR ESTARÁ ACORDE AL TIPO DE CULTIVOS QUE PRESENTEN EN LA PROPUESTA)</v>
          </cell>
          <cell r="C298" t="str">
            <v>(Microrrizas)</v>
          </cell>
          <cell r="D298" t="str">
            <v>Kg</v>
          </cell>
          <cell r="E298" t="str">
            <v>I2024014734</v>
          </cell>
          <cell r="F298" t="str">
            <v>0</v>
          </cell>
          <cell r="G298">
            <v>49848</v>
          </cell>
          <cell r="H298">
            <v>49848</v>
          </cell>
          <cell r="I298">
            <v>49848</v>
          </cell>
          <cell r="J298">
            <v>49848</v>
          </cell>
          <cell r="K298">
            <v>49848</v>
          </cell>
          <cell r="L298">
            <v>49848</v>
          </cell>
          <cell r="M298">
            <v>49848</v>
          </cell>
          <cell r="N298">
            <v>49848</v>
          </cell>
          <cell r="O298">
            <v>49848</v>
          </cell>
          <cell r="P298">
            <v>49848</v>
          </cell>
          <cell r="Q298">
            <v>49848</v>
          </cell>
          <cell r="R298">
            <v>49848</v>
          </cell>
          <cell r="S298">
            <v>49848</v>
          </cell>
          <cell r="T298">
            <v>49848</v>
          </cell>
          <cell r="U298">
            <v>49848</v>
          </cell>
          <cell r="V298">
            <v>0</v>
          </cell>
          <cell r="W298">
            <v>0</v>
          </cell>
        </row>
        <row r="299">
          <cell r="B299" t="str">
            <v>FERTILIZANTES EDÁFICOS Y FOLIRARES (EL PRODUCTO A UTILIZAR ESTARÁ ACORDE AL TIPO DE CULTIVOS QUE PRESENTEN EN LA PROPUESTA)</v>
          </cell>
          <cell r="C299" t="str">
            <v xml:space="preserve"> (Triple 15 )</v>
          </cell>
          <cell r="D299" t="str">
            <v>Kg</v>
          </cell>
          <cell r="E299" t="str">
            <v>I2024014734</v>
          </cell>
          <cell r="F299" t="str">
            <v>0</v>
          </cell>
          <cell r="G299">
            <v>10897</v>
          </cell>
          <cell r="H299">
            <v>10897</v>
          </cell>
          <cell r="I299">
            <v>10897</v>
          </cell>
          <cell r="J299">
            <v>10897</v>
          </cell>
          <cell r="K299">
            <v>10897</v>
          </cell>
          <cell r="L299">
            <v>10897</v>
          </cell>
          <cell r="M299">
            <v>10897</v>
          </cell>
          <cell r="N299">
            <v>10897</v>
          </cell>
          <cell r="O299">
            <v>10897</v>
          </cell>
          <cell r="P299">
            <v>10897</v>
          </cell>
          <cell r="Q299">
            <v>10897</v>
          </cell>
          <cell r="R299">
            <v>10897</v>
          </cell>
          <cell r="S299">
            <v>10897</v>
          </cell>
          <cell r="T299">
            <v>10897</v>
          </cell>
          <cell r="U299">
            <v>10897</v>
          </cell>
          <cell r="V299">
            <v>0</v>
          </cell>
          <cell r="W299">
            <v>0</v>
          </cell>
        </row>
        <row r="300">
          <cell r="B300" t="str">
            <v>FERTILIZANTES EDÁFICOS Y FOLIRARES (EL PRODUCTO A UTILIZAR ESTARÁ ACORDE AL TIPO DE CULTIVOS QUE PRESENTEN EN LA PROPUESTA)</v>
          </cell>
          <cell r="C300" t="str">
            <v>(Dap )</v>
          </cell>
          <cell r="D300" t="str">
            <v>Kg</v>
          </cell>
          <cell r="E300" t="str">
            <v>I2024014734</v>
          </cell>
          <cell r="F300" t="str">
            <v>0</v>
          </cell>
          <cell r="G300">
            <v>10385</v>
          </cell>
          <cell r="H300">
            <v>10385</v>
          </cell>
          <cell r="I300">
            <v>10385</v>
          </cell>
          <cell r="J300">
            <v>10385</v>
          </cell>
          <cell r="K300">
            <v>10385</v>
          </cell>
          <cell r="L300">
            <v>10385</v>
          </cell>
          <cell r="M300">
            <v>10385</v>
          </cell>
          <cell r="N300">
            <v>10385</v>
          </cell>
          <cell r="O300">
            <v>10385</v>
          </cell>
          <cell r="P300">
            <v>10385</v>
          </cell>
          <cell r="Q300">
            <v>10385</v>
          </cell>
          <cell r="R300">
            <v>10385</v>
          </cell>
          <cell r="S300">
            <v>10385</v>
          </cell>
          <cell r="T300">
            <v>10385</v>
          </cell>
          <cell r="U300">
            <v>10385</v>
          </cell>
          <cell r="V300">
            <v>0</v>
          </cell>
          <cell r="W300">
            <v>0</v>
          </cell>
        </row>
        <row r="301">
          <cell r="B301" t="str">
            <v>FERTILIZANTES EDÁFICOS Y FOLIRARES (EL PRODUCTO A UTILIZAR ESTARÁ ACORDE AL TIPO DE CULTIVOS QUE PRESENTEN EN LA PROPUESTA)</v>
          </cell>
          <cell r="C301" t="str">
            <v>(Cloruro de Potasio )</v>
          </cell>
          <cell r="D301" t="str">
            <v>Kg</v>
          </cell>
          <cell r="E301" t="str">
            <v>I2024014734</v>
          </cell>
          <cell r="F301" t="str">
            <v>0</v>
          </cell>
          <cell r="G301">
            <v>20300</v>
          </cell>
          <cell r="H301">
            <v>20300</v>
          </cell>
          <cell r="I301">
            <v>20300</v>
          </cell>
          <cell r="J301">
            <v>20300</v>
          </cell>
          <cell r="K301">
            <v>20300</v>
          </cell>
          <cell r="L301">
            <v>20300</v>
          </cell>
          <cell r="M301">
            <v>20300</v>
          </cell>
          <cell r="N301">
            <v>20300</v>
          </cell>
          <cell r="O301">
            <v>20300</v>
          </cell>
          <cell r="P301">
            <v>20300</v>
          </cell>
          <cell r="Q301">
            <v>20300</v>
          </cell>
          <cell r="R301">
            <v>20300</v>
          </cell>
          <cell r="S301">
            <v>20300</v>
          </cell>
          <cell r="T301">
            <v>20300</v>
          </cell>
          <cell r="U301">
            <v>20300</v>
          </cell>
          <cell r="V301">
            <v>0</v>
          </cell>
          <cell r="W301">
            <v>0</v>
          </cell>
        </row>
        <row r="302">
          <cell r="B302" t="str">
            <v>FERTILIZANTES EDÁFICOS Y FOLIRARES (EL PRODUCTO A UTILIZAR ESTARÁ ACORDE AL TIPO DE CULTIVOS QUE PRESENTEN EN LA PROPUESTA)</v>
          </cell>
          <cell r="C302" t="str">
            <v>(Nitrato de Calcio )</v>
          </cell>
          <cell r="D302" t="str">
            <v>Kg</v>
          </cell>
          <cell r="E302" t="str">
            <v>I2024014734</v>
          </cell>
          <cell r="F302" t="str">
            <v>0</v>
          </cell>
          <cell r="G302">
            <v>16616</v>
          </cell>
          <cell r="H302">
            <v>16616</v>
          </cell>
          <cell r="I302">
            <v>16616</v>
          </cell>
          <cell r="J302">
            <v>16616</v>
          </cell>
          <cell r="K302">
            <v>16616</v>
          </cell>
          <cell r="L302">
            <v>16616</v>
          </cell>
          <cell r="M302">
            <v>16616</v>
          </cell>
          <cell r="N302">
            <v>16616</v>
          </cell>
          <cell r="O302">
            <v>16616</v>
          </cell>
          <cell r="P302">
            <v>16616</v>
          </cell>
          <cell r="Q302">
            <v>16616</v>
          </cell>
          <cell r="R302">
            <v>16616</v>
          </cell>
          <cell r="S302">
            <v>16616</v>
          </cell>
          <cell r="T302">
            <v>16616</v>
          </cell>
          <cell r="U302">
            <v>16616</v>
          </cell>
          <cell r="V302">
            <v>0</v>
          </cell>
          <cell r="W302">
            <v>0</v>
          </cell>
        </row>
        <row r="303">
          <cell r="B303" t="str">
            <v>FERTILIZANTES EDÁFICOS Y FOLIRARES (EL PRODUCTO A UTILIZAR ESTARÁ ACORDE AL TIPO DE CULTIVOS QUE PRESENTEN EN LA PROPUESTA)</v>
          </cell>
          <cell r="C303" t="str">
            <v>(Agrimins )</v>
          </cell>
          <cell r="D303" t="str">
            <v>Kg</v>
          </cell>
          <cell r="E303" t="str">
            <v>I2024014734</v>
          </cell>
          <cell r="F303" t="str">
            <v>0</v>
          </cell>
          <cell r="G303">
            <v>28700</v>
          </cell>
          <cell r="H303">
            <v>28700</v>
          </cell>
          <cell r="I303">
            <v>28700</v>
          </cell>
          <cell r="J303">
            <v>28700</v>
          </cell>
          <cell r="K303">
            <v>28700</v>
          </cell>
          <cell r="L303">
            <v>28700</v>
          </cell>
          <cell r="M303">
            <v>28700</v>
          </cell>
          <cell r="N303">
            <v>28700</v>
          </cell>
          <cell r="O303">
            <v>28700</v>
          </cell>
          <cell r="P303">
            <v>28700</v>
          </cell>
          <cell r="Q303">
            <v>28700</v>
          </cell>
          <cell r="R303">
            <v>28700</v>
          </cell>
          <cell r="S303">
            <v>28700</v>
          </cell>
          <cell r="T303">
            <v>28700</v>
          </cell>
          <cell r="U303">
            <v>28700</v>
          </cell>
          <cell r="V303">
            <v>0</v>
          </cell>
          <cell r="W303">
            <v>0</v>
          </cell>
        </row>
        <row r="304">
          <cell r="B304" t="str">
            <v>FUNGICIDA</v>
          </cell>
          <cell r="C304" t="str">
            <v xml:space="preserve">Fungicida orgánico </v>
          </cell>
          <cell r="D304" t="str">
            <v>Lt</v>
          </cell>
          <cell r="E304" t="str">
            <v>I2024014734</v>
          </cell>
          <cell r="F304" t="str">
            <v>0</v>
          </cell>
          <cell r="G304">
            <v>109774</v>
          </cell>
          <cell r="H304">
            <v>109774</v>
          </cell>
          <cell r="I304">
            <v>109774</v>
          </cell>
          <cell r="J304">
            <v>109774</v>
          </cell>
          <cell r="K304">
            <v>109774</v>
          </cell>
          <cell r="L304">
            <v>109774</v>
          </cell>
          <cell r="M304">
            <v>109774</v>
          </cell>
          <cell r="N304">
            <v>109774</v>
          </cell>
          <cell r="O304">
            <v>109774</v>
          </cell>
          <cell r="P304">
            <v>109774</v>
          </cell>
          <cell r="Q304">
            <v>109774</v>
          </cell>
          <cell r="R304">
            <v>109774</v>
          </cell>
          <cell r="S304">
            <v>109774</v>
          </cell>
          <cell r="T304">
            <v>109774</v>
          </cell>
          <cell r="U304">
            <v>109774</v>
          </cell>
          <cell r="V304">
            <v>0</v>
          </cell>
          <cell r="W304">
            <v>0</v>
          </cell>
        </row>
        <row r="305">
          <cell r="B305" t="str">
            <v>GAFAS PROTECTORAS</v>
          </cell>
          <cell r="C305" t="str">
            <v>Gafas protectoras</v>
          </cell>
          <cell r="D305" t="str">
            <v>Unidad</v>
          </cell>
          <cell r="E305" t="str">
            <v>I2023008278</v>
          </cell>
          <cell r="F305">
            <v>45002</v>
          </cell>
          <cell r="G305">
            <v>13586</v>
          </cell>
          <cell r="H305">
            <v>13586</v>
          </cell>
          <cell r="I305">
            <v>13691</v>
          </cell>
          <cell r="J305">
            <v>13749</v>
          </cell>
          <cell r="K305">
            <v>13790</v>
          </cell>
          <cell r="L305">
            <v>13858</v>
          </cell>
          <cell r="M305">
            <v>13955</v>
          </cell>
          <cell r="N305">
            <v>14030</v>
          </cell>
          <cell r="O305">
            <v>14065</v>
          </cell>
          <cell r="P305">
            <v>14131</v>
          </cell>
          <cell r="Q305">
            <v>14194</v>
          </cell>
          <cell r="R305">
            <v>14324</v>
          </cell>
          <cell r="S305">
            <v>14480</v>
          </cell>
          <cell r="T305">
            <v>14581</v>
          </cell>
          <cell r="U305">
            <v>14667</v>
          </cell>
          <cell r="V305">
            <v>1081</v>
          </cell>
          <cell r="W305">
            <v>7.9567201530987786E-2</v>
          </cell>
        </row>
        <row r="306">
          <cell r="B306" t="str">
            <v>GUANTES DE LONA</v>
          </cell>
          <cell r="C306" t="str">
            <v>guantes de lona proteccion y seguridad</v>
          </cell>
          <cell r="D306" t="str">
            <v>Par</v>
          </cell>
          <cell r="E306" t="str">
            <v>I2024014734</v>
          </cell>
          <cell r="F306" t="str">
            <v>0</v>
          </cell>
          <cell r="G306">
            <v>15119</v>
          </cell>
          <cell r="H306">
            <v>15119</v>
          </cell>
          <cell r="I306">
            <v>15119</v>
          </cell>
          <cell r="J306">
            <v>15119</v>
          </cell>
          <cell r="K306">
            <v>15119</v>
          </cell>
          <cell r="L306">
            <v>15119</v>
          </cell>
          <cell r="M306">
            <v>15119</v>
          </cell>
          <cell r="N306">
            <v>15119</v>
          </cell>
          <cell r="O306">
            <v>15119</v>
          </cell>
          <cell r="P306">
            <v>15119</v>
          </cell>
          <cell r="Q306">
            <v>15119</v>
          </cell>
          <cell r="R306">
            <v>15119</v>
          </cell>
          <cell r="S306">
            <v>15119</v>
          </cell>
          <cell r="T306">
            <v>15119</v>
          </cell>
          <cell r="U306">
            <v>15119</v>
          </cell>
          <cell r="V306">
            <v>0</v>
          </cell>
          <cell r="W306">
            <v>0</v>
          </cell>
        </row>
        <row r="307">
          <cell r="B307" t="str">
            <v>Guantes negros industriales</v>
          </cell>
          <cell r="C307" t="str">
            <v>Guantes Negros Calibre 35, que permitan la manipulación de concreto, arena y otros productos químicos, con grabado que mejora el agarre en húmedo y en seco, mayor
resistencia a productos químicos: Cetonas, sales, detergentes, alcoholes, bases y grasas</v>
          </cell>
          <cell r="D307" t="str">
            <v>par</v>
          </cell>
          <cell r="E307" t="str">
            <v>I2024004413</v>
          </cell>
          <cell r="F307" t="str">
            <v>0</v>
          </cell>
          <cell r="G307">
            <v>6876</v>
          </cell>
          <cell r="H307">
            <v>6876</v>
          </cell>
          <cell r="I307">
            <v>6876</v>
          </cell>
          <cell r="J307">
            <v>6876</v>
          </cell>
          <cell r="K307">
            <v>6876</v>
          </cell>
          <cell r="L307">
            <v>6876</v>
          </cell>
          <cell r="M307">
            <v>6876</v>
          </cell>
          <cell r="N307">
            <v>6876</v>
          </cell>
          <cell r="O307">
            <v>6876</v>
          </cell>
          <cell r="P307">
            <v>6876</v>
          </cell>
          <cell r="Q307">
            <v>6876</v>
          </cell>
          <cell r="R307">
            <v>6876</v>
          </cell>
          <cell r="S307">
            <v>6876</v>
          </cell>
          <cell r="T307">
            <v>6876</v>
          </cell>
          <cell r="U307">
            <v>6876</v>
          </cell>
          <cell r="V307">
            <v>0</v>
          </cell>
          <cell r="W307">
            <v>0</v>
          </cell>
        </row>
        <row r="308">
          <cell r="B308" t="str">
            <v>INSECTICIDA</v>
          </cell>
          <cell r="C308" t="str">
            <v>Insecticida</v>
          </cell>
          <cell r="D308" t="str">
            <v>Lt</v>
          </cell>
          <cell r="E308" t="str">
            <v>I2024014734</v>
          </cell>
          <cell r="F308" t="str">
            <v>0</v>
          </cell>
          <cell r="G308">
            <v>93465</v>
          </cell>
          <cell r="H308">
            <v>93465</v>
          </cell>
          <cell r="I308">
            <v>93465</v>
          </cell>
          <cell r="J308">
            <v>93465</v>
          </cell>
          <cell r="K308">
            <v>93465</v>
          </cell>
          <cell r="L308">
            <v>93465</v>
          </cell>
          <cell r="M308">
            <v>93465</v>
          </cell>
          <cell r="N308">
            <v>93465</v>
          </cell>
          <cell r="O308">
            <v>93465</v>
          </cell>
          <cell r="P308">
            <v>93465</v>
          </cell>
          <cell r="Q308">
            <v>93465</v>
          </cell>
          <cell r="R308">
            <v>93465</v>
          </cell>
          <cell r="S308">
            <v>93465</v>
          </cell>
          <cell r="T308">
            <v>93465</v>
          </cell>
          <cell r="U308">
            <v>93465</v>
          </cell>
          <cell r="V308">
            <v>0</v>
          </cell>
          <cell r="W308">
            <v>0</v>
          </cell>
        </row>
        <row r="309">
          <cell r="B309" t="str">
            <v>LIMAS</v>
          </cell>
          <cell r="C309" t="str">
            <v>Limas  triangular agrícola con mango, 6 pulgadas</v>
          </cell>
          <cell r="D309" t="str">
            <v>CAJA X 10</v>
          </cell>
          <cell r="E309" t="str">
            <v>I2024014734</v>
          </cell>
          <cell r="F309" t="str">
            <v>0</v>
          </cell>
          <cell r="G309">
            <v>107829</v>
          </cell>
          <cell r="H309">
            <v>107829</v>
          </cell>
          <cell r="I309">
            <v>107829</v>
          </cell>
          <cell r="J309">
            <v>107829</v>
          </cell>
          <cell r="K309">
            <v>107829</v>
          </cell>
          <cell r="L309">
            <v>107829</v>
          </cell>
          <cell r="M309">
            <v>107829</v>
          </cell>
          <cell r="N309">
            <v>107829</v>
          </cell>
          <cell r="O309">
            <v>107829</v>
          </cell>
          <cell r="P309">
            <v>107829</v>
          </cell>
          <cell r="Q309">
            <v>107829</v>
          </cell>
          <cell r="R309">
            <v>107829</v>
          </cell>
          <cell r="S309">
            <v>107829</v>
          </cell>
          <cell r="T309">
            <v>107829</v>
          </cell>
          <cell r="U309">
            <v>107829</v>
          </cell>
          <cell r="V309">
            <v>0</v>
          </cell>
          <cell r="W309">
            <v>0</v>
          </cell>
        </row>
        <row r="310">
          <cell r="B310" t="str">
            <v>MACHETE</v>
          </cell>
          <cell r="C310" t="str">
            <v>Machete  3 canales 22 pulgadas</v>
          </cell>
          <cell r="D310" t="str">
            <v>Unidad</v>
          </cell>
          <cell r="E310" t="str">
            <v>I2024014734</v>
          </cell>
          <cell r="F310" t="str">
            <v>0</v>
          </cell>
          <cell r="G310">
            <v>29591</v>
          </cell>
          <cell r="H310">
            <v>29591</v>
          </cell>
          <cell r="I310">
            <v>29591</v>
          </cell>
          <cell r="J310">
            <v>29591</v>
          </cell>
          <cell r="K310">
            <v>29591</v>
          </cell>
          <cell r="L310">
            <v>29591</v>
          </cell>
          <cell r="M310">
            <v>29591</v>
          </cell>
          <cell r="N310">
            <v>29591</v>
          </cell>
          <cell r="O310">
            <v>29591</v>
          </cell>
          <cell r="P310">
            <v>29591</v>
          </cell>
          <cell r="Q310">
            <v>29591</v>
          </cell>
          <cell r="R310">
            <v>29591</v>
          </cell>
          <cell r="S310">
            <v>29591</v>
          </cell>
          <cell r="T310">
            <v>29591</v>
          </cell>
          <cell r="U310">
            <v>29591</v>
          </cell>
          <cell r="V310">
            <v>0</v>
          </cell>
          <cell r="W310">
            <v>0</v>
          </cell>
        </row>
        <row r="311">
          <cell r="B311" t="str">
            <v>MANGUERA DE RIEGO DE 1/2</v>
          </cell>
          <cell r="C311" t="str">
            <v>Manguera de riego de 1/2 pulgada para media presion</v>
          </cell>
          <cell r="D311" t="str">
            <v>Mt</v>
          </cell>
          <cell r="E311" t="str">
            <v>I2024014734</v>
          </cell>
          <cell r="F311" t="str">
            <v>0</v>
          </cell>
          <cell r="G311">
            <v>72978</v>
          </cell>
          <cell r="H311">
            <v>72978</v>
          </cell>
          <cell r="I311">
            <v>72978</v>
          </cell>
          <cell r="J311">
            <v>72978</v>
          </cell>
          <cell r="K311">
            <v>72978</v>
          </cell>
          <cell r="L311">
            <v>72978</v>
          </cell>
          <cell r="M311">
            <v>72978</v>
          </cell>
          <cell r="N311">
            <v>72978</v>
          </cell>
          <cell r="O311">
            <v>72978</v>
          </cell>
          <cell r="P311">
            <v>72978</v>
          </cell>
          <cell r="Q311">
            <v>72978</v>
          </cell>
          <cell r="R311">
            <v>72978</v>
          </cell>
          <cell r="S311">
            <v>72978</v>
          </cell>
          <cell r="T311">
            <v>72978</v>
          </cell>
          <cell r="U311">
            <v>72978</v>
          </cell>
          <cell r="V311">
            <v>0</v>
          </cell>
          <cell r="W311">
            <v>0</v>
          </cell>
        </row>
        <row r="312">
          <cell r="B312" t="str">
            <v>OVEROLES TIPO PILOTO</v>
          </cell>
          <cell r="C312" t="str">
            <v xml:space="preserve">Overol tipo piloto </v>
          </cell>
          <cell r="D312">
            <v>0</v>
          </cell>
          <cell r="E312" t="str">
            <v>I2024014734</v>
          </cell>
          <cell r="F312" t="str">
            <v>0</v>
          </cell>
          <cell r="G312">
            <v>102814</v>
          </cell>
          <cell r="H312">
            <v>102814</v>
          </cell>
          <cell r="I312">
            <v>102814</v>
          </cell>
          <cell r="J312">
            <v>102814</v>
          </cell>
          <cell r="K312">
            <v>102814</v>
          </cell>
          <cell r="L312">
            <v>102814</v>
          </cell>
          <cell r="M312">
            <v>102814</v>
          </cell>
          <cell r="N312">
            <v>102814</v>
          </cell>
          <cell r="O312">
            <v>102814</v>
          </cell>
          <cell r="P312">
            <v>102814</v>
          </cell>
          <cell r="Q312">
            <v>102814</v>
          </cell>
          <cell r="R312">
            <v>102814</v>
          </cell>
          <cell r="S312">
            <v>102814</v>
          </cell>
          <cell r="T312">
            <v>102814</v>
          </cell>
          <cell r="U312">
            <v>102814</v>
          </cell>
          <cell r="V312">
            <v>0</v>
          </cell>
          <cell r="W312">
            <v>0</v>
          </cell>
        </row>
        <row r="313">
          <cell r="B313" t="str">
            <v>OZ MEDIA LUNA</v>
          </cell>
          <cell r="C313" t="str">
            <v>hoz dentada 18 pulgadas mango madera</v>
          </cell>
          <cell r="D313" t="str">
            <v>Unidad</v>
          </cell>
          <cell r="E313" t="str">
            <v>I2024014734</v>
          </cell>
          <cell r="F313" t="str">
            <v>0</v>
          </cell>
          <cell r="G313">
            <v>193754</v>
          </cell>
          <cell r="H313">
            <v>193754</v>
          </cell>
          <cell r="I313">
            <v>193754</v>
          </cell>
          <cell r="J313">
            <v>193754</v>
          </cell>
          <cell r="K313">
            <v>193754</v>
          </cell>
          <cell r="L313">
            <v>193754</v>
          </cell>
          <cell r="M313">
            <v>193754</v>
          </cell>
          <cell r="N313">
            <v>193754</v>
          </cell>
          <cell r="O313">
            <v>193754</v>
          </cell>
          <cell r="P313">
            <v>193754</v>
          </cell>
          <cell r="Q313">
            <v>193754</v>
          </cell>
          <cell r="R313">
            <v>193754</v>
          </cell>
          <cell r="S313">
            <v>193754</v>
          </cell>
          <cell r="T313">
            <v>193754</v>
          </cell>
          <cell r="U313">
            <v>193754</v>
          </cell>
          <cell r="V313">
            <v>0</v>
          </cell>
          <cell r="W313">
            <v>0</v>
          </cell>
        </row>
        <row r="314">
          <cell r="B314" t="str">
            <v>PALA</v>
          </cell>
          <cell r="C314" t="str">
            <v>Pala redonda #2 con mango madera</v>
          </cell>
          <cell r="D314" t="str">
            <v>Unidad</v>
          </cell>
          <cell r="E314" t="str">
            <v>I2024014734</v>
          </cell>
          <cell r="F314" t="str">
            <v>0</v>
          </cell>
          <cell r="G314">
            <v>30895</v>
          </cell>
          <cell r="H314">
            <v>30895</v>
          </cell>
          <cell r="I314">
            <v>30895</v>
          </cell>
          <cell r="J314">
            <v>30895</v>
          </cell>
          <cell r="K314">
            <v>30895</v>
          </cell>
          <cell r="L314">
            <v>30895</v>
          </cell>
          <cell r="M314">
            <v>30895</v>
          </cell>
          <cell r="N314">
            <v>30895</v>
          </cell>
          <cell r="O314">
            <v>30895</v>
          </cell>
          <cell r="P314">
            <v>30895</v>
          </cell>
          <cell r="Q314">
            <v>30895</v>
          </cell>
          <cell r="R314">
            <v>30895</v>
          </cell>
          <cell r="S314">
            <v>30895</v>
          </cell>
          <cell r="T314">
            <v>30895</v>
          </cell>
          <cell r="U314">
            <v>30895</v>
          </cell>
          <cell r="V314">
            <v>0</v>
          </cell>
          <cell r="W314">
            <v>0</v>
          </cell>
        </row>
        <row r="315">
          <cell r="B315" t="str">
            <v>PALA CUADRADA</v>
          </cell>
          <cell r="C315" t="str">
            <v>Pala cuadrada #2 con ,mango madera</v>
          </cell>
          <cell r="D315" t="str">
            <v>Unidad</v>
          </cell>
          <cell r="E315" t="str">
            <v>I2024014734</v>
          </cell>
          <cell r="F315" t="str">
            <v>0</v>
          </cell>
          <cell r="G315">
            <v>30895</v>
          </cell>
          <cell r="H315">
            <v>30895</v>
          </cell>
          <cell r="I315">
            <v>30895</v>
          </cell>
          <cell r="J315">
            <v>30895</v>
          </cell>
          <cell r="K315">
            <v>30895</v>
          </cell>
          <cell r="L315">
            <v>30895</v>
          </cell>
          <cell r="M315">
            <v>30895</v>
          </cell>
          <cell r="N315">
            <v>30895</v>
          </cell>
          <cell r="O315">
            <v>30895</v>
          </cell>
          <cell r="P315">
            <v>30895</v>
          </cell>
          <cell r="Q315">
            <v>30895</v>
          </cell>
          <cell r="R315">
            <v>30895</v>
          </cell>
          <cell r="S315">
            <v>30895</v>
          </cell>
          <cell r="T315">
            <v>30895</v>
          </cell>
          <cell r="U315">
            <v>30895</v>
          </cell>
          <cell r="V315">
            <v>0</v>
          </cell>
          <cell r="W315">
            <v>0</v>
          </cell>
        </row>
        <row r="316">
          <cell r="B316" t="str">
            <v>PALA DRAGA/ AHOLLADORA MECÁNICA</v>
          </cell>
          <cell r="C316" t="str">
            <v xml:space="preserve">Pala draga/ aholladora mecánica 35cmm x 14 cmm con mango </v>
          </cell>
          <cell r="D316" t="str">
            <v>Unidad</v>
          </cell>
          <cell r="E316" t="str">
            <v>I2024014734</v>
          </cell>
          <cell r="F316" t="str">
            <v>0</v>
          </cell>
          <cell r="G316">
            <v>78474</v>
          </cell>
          <cell r="H316">
            <v>78474</v>
          </cell>
          <cell r="I316">
            <v>78474</v>
          </cell>
          <cell r="J316">
            <v>78474</v>
          </cell>
          <cell r="K316">
            <v>78474</v>
          </cell>
          <cell r="L316">
            <v>78474</v>
          </cell>
          <cell r="M316">
            <v>78474</v>
          </cell>
          <cell r="N316">
            <v>78474</v>
          </cell>
          <cell r="O316">
            <v>78474</v>
          </cell>
          <cell r="P316">
            <v>78474</v>
          </cell>
          <cell r="Q316">
            <v>78474</v>
          </cell>
          <cell r="R316">
            <v>78474</v>
          </cell>
          <cell r="S316">
            <v>78474</v>
          </cell>
          <cell r="T316">
            <v>78474</v>
          </cell>
          <cell r="U316">
            <v>78474</v>
          </cell>
          <cell r="V316">
            <v>0</v>
          </cell>
          <cell r="W316">
            <v>0</v>
          </cell>
        </row>
        <row r="317">
          <cell r="B317" t="str">
            <v>PICA</v>
          </cell>
          <cell r="C317" t="str">
            <v>Pica 2,3 KG 110MM mango madera  90 cmm</v>
          </cell>
          <cell r="D317" t="str">
            <v>Unidad</v>
          </cell>
          <cell r="E317" t="str">
            <v>I2024014734</v>
          </cell>
          <cell r="F317" t="str">
            <v>0</v>
          </cell>
          <cell r="G317">
            <v>83541</v>
          </cell>
          <cell r="H317">
            <v>83541</v>
          </cell>
          <cell r="I317">
            <v>83541</v>
          </cell>
          <cell r="J317">
            <v>83541</v>
          </cell>
          <cell r="K317">
            <v>83541</v>
          </cell>
          <cell r="L317">
            <v>83541</v>
          </cell>
          <cell r="M317">
            <v>83541</v>
          </cell>
          <cell r="N317">
            <v>83541</v>
          </cell>
          <cell r="O317">
            <v>83541</v>
          </cell>
          <cell r="P317">
            <v>83541</v>
          </cell>
          <cell r="Q317">
            <v>83541</v>
          </cell>
          <cell r="R317">
            <v>83541</v>
          </cell>
          <cell r="S317">
            <v>83541</v>
          </cell>
          <cell r="T317">
            <v>83541</v>
          </cell>
          <cell r="U317">
            <v>83541</v>
          </cell>
          <cell r="V317">
            <v>0</v>
          </cell>
          <cell r="W317">
            <v>0</v>
          </cell>
        </row>
        <row r="318">
          <cell r="B318" t="str">
            <v>RASTRILLO</v>
          </cell>
          <cell r="C318" t="str">
            <v>Rastrillo metalico de jardineria 22 dientes</v>
          </cell>
          <cell r="D318" t="str">
            <v>Unidad</v>
          </cell>
          <cell r="E318" t="str">
            <v>I2024014734</v>
          </cell>
          <cell r="F318" t="str">
            <v>0</v>
          </cell>
          <cell r="G318">
            <v>30057</v>
          </cell>
          <cell r="H318">
            <v>30057</v>
          </cell>
          <cell r="I318">
            <v>30057</v>
          </cell>
          <cell r="J318">
            <v>30057</v>
          </cell>
          <cell r="K318">
            <v>30057</v>
          </cell>
          <cell r="L318">
            <v>30057</v>
          </cell>
          <cell r="M318">
            <v>30057</v>
          </cell>
          <cell r="N318">
            <v>30057</v>
          </cell>
          <cell r="O318">
            <v>30057</v>
          </cell>
          <cell r="P318">
            <v>30057</v>
          </cell>
          <cell r="Q318">
            <v>30057</v>
          </cell>
          <cell r="R318">
            <v>30057</v>
          </cell>
          <cell r="S318">
            <v>30057</v>
          </cell>
          <cell r="T318">
            <v>30057</v>
          </cell>
          <cell r="U318">
            <v>30057</v>
          </cell>
          <cell r="V318">
            <v>0</v>
          </cell>
          <cell r="W318">
            <v>0</v>
          </cell>
        </row>
        <row r="319">
          <cell r="B319" t="str">
            <v>REGADERA PARA PLANTAS</v>
          </cell>
          <cell r="C319" t="str">
            <v>Regadera para plantas de plástico mínimo de 1.5 lts</v>
          </cell>
          <cell r="D319" t="str">
            <v>Unidad</v>
          </cell>
          <cell r="E319" t="str">
            <v>I2023019873</v>
          </cell>
          <cell r="F319">
            <v>45117</v>
          </cell>
          <cell r="G319">
            <v>23439</v>
          </cell>
          <cell r="H319">
            <v>23439</v>
          </cell>
          <cell r="I319">
            <v>23439</v>
          </cell>
          <cell r="J319">
            <v>23439</v>
          </cell>
          <cell r="K319">
            <v>23439</v>
          </cell>
          <cell r="L319">
            <v>23439</v>
          </cell>
          <cell r="M319">
            <v>23603</v>
          </cell>
          <cell r="N319">
            <v>23730</v>
          </cell>
          <cell r="O319">
            <v>23789</v>
          </cell>
          <cell r="P319">
            <v>23900</v>
          </cell>
          <cell r="Q319">
            <v>24007</v>
          </cell>
          <cell r="R319">
            <v>24227</v>
          </cell>
          <cell r="S319">
            <v>24491</v>
          </cell>
          <cell r="T319">
            <v>24662</v>
          </cell>
          <cell r="U319">
            <v>24807</v>
          </cell>
          <cell r="V319">
            <v>1368</v>
          </cell>
          <cell r="W319">
            <v>5.8364264687060026E-2</v>
          </cell>
        </row>
        <row r="320">
          <cell r="B320" t="str">
            <v>SEMILLAS
(HORTALIZAS, CEREALES, AROMÁTICAS, LEGUMINOSAS, FRUTALES, ETC.) LAS ESPECIES ESTÁN SUJETAS AL RANGO DE ALTITUD DEL PREDIO</v>
          </cell>
          <cell r="C320" t="str">
            <v>1 kilogramo de semillas variadas de aromáticas, lechuga, acelga, cilantro, habichuela, repollo, perejil, tomillo y demás
que proponga el contratista</v>
          </cell>
          <cell r="D320" t="str">
            <v>Paquete 5 gr</v>
          </cell>
          <cell r="E320" t="str">
            <v>I2023019873</v>
          </cell>
          <cell r="F320">
            <v>45117</v>
          </cell>
          <cell r="G320">
            <v>8056</v>
          </cell>
          <cell r="H320">
            <v>8056</v>
          </cell>
          <cell r="I320">
            <v>8056</v>
          </cell>
          <cell r="J320">
            <v>8056</v>
          </cell>
          <cell r="K320">
            <v>8056</v>
          </cell>
          <cell r="L320">
            <v>8056</v>
          </cell>
          <cell r="M320">
            <v>8112</v>
          </cell>
          <cell r="N320">
            <v>8155</v>
          </cell>
          <cell r="O320">
            <v>8175</v>
          </cell>
          <cell r="P320">
            <v>8213</v>
          </cell>
          <cell r="Q320">
            <v>8249</v>
          </cell>
          <cell r="R320">
            <v>8324</v>
          </cell>
          <cell r="S320">
            <v>8414</v>
          </cell>
          <cell r="T320">
            <v>8472</v>
          </cell>
          <cell r="U320">
            <v>8521</v>
          </cell>
          <cell r="V320">
            <v>465</v>
          </cell>
          <cell r="W320">
            <v>5.7720953326713009E-2</v>
          </cell>
        </row>
        <row r="321">
          <cell r="B321" t="str">
            <v>SEMILLAS
(HORTALIZAS, CEREALES, AROMÁTICAS, LEGUMINOSAS, FRUTALES, ETC.) LAS ESPECIES ESTÁN SUJETAS AL RANGO DE ALTITUD DEL PREDIO</v>
          </cell>
          <cell r="C321" t="str">
            <v>1 kilogramo de semillas variadas de maíz, fríjol, cebolla, arveja, etc, y demás que proponga el
contratista</v>
          </cell>
          <cell r="D321" t="str">
            <v>Paquete 5 gr</v>
          </cell>
          <cell r="E321" t="str">
            <v>I2023019873</v>
          </cell>
          <cell r="F321">
            <v>45117</v>
          </cell>
          <cell r="G321">
            <v>8056</v>
          </cell>
          <cell r="H321">
            <v>8056</v>
          </cell>
          <cell r="I321">
            <v>8056</v>
          </cell>
          <cell r="J321">
            <v>8056</v>
          </cell>
          <cell r="K321">
            <v>8056</v>
          </cell>
          <cell r="L321">
            <v>8056</v>
          </cell>
          <cell r="M321">
            <v>8112</v>
          </cell>
          <cell r="N321">
            <v>8155</v>
          </cell>
          <cell r="O321">
            <v>8175</v>
          </cell>
          <cell r="P321">
            <v>8213</v>
          </cell>
          <cell r="Q321">
            <v>8249</v>
          </cell>
          <cell r="R321">
            <v>8324</v>
          </cell>
          <cell r="S321">
            <v>8414</v>
          </cell>
          <cell r="T321">
            <v>8472</v>
          </cell>
          <cell r="U321">
            <v>8521</v>
          </cell>
          <cell r="V321">
            <v>465</v>
          </cell>
          <cell r="W321">
            <v>5.7720953326713009E-2</v>
          </cell>
        </row>
        <row r="322">
          <cell r="B322" t="str">
            <v>SERRUCHO PICO DE LORO</v>
          </cell>
          <cell r="C322" t="str">
            <v>Serrucho pico de loro  12 pulgadas</v>
          </cell>
          <cell r="D322" t="str">
            <v>Unidad</v>
          </cell>
          <cell r="E322" t="str">
            <v>I2024014734</v>
          </cell>
          <cell r="F322" t="str">
            <v>0</v>
          </cell>
          <cell r="G322">
            <v>40493</v>
          </cell>
          <cell r="H322">
            <v>40493</v>
          </cell>
          <cell r="I322">
            <v>40493</v>
          </cell>
          <cell r="J322">
            <v>40493</v>
          </cell>
          <cell r="K322">
            <v>40493</v>
          </cell>
          <cell r="L322">
            <v>40493</v>
          </cell>
          <cell r="M322">
            <v>40493</v>
          </cell>
          <cell r="N322">
            <v>40493</v>
          </cell>
          <cell r="O322">
            <v>40493</v>
          </cell>
          <cell r="P322">
            <v>40493</v>
          </cell>
          <cell r="Q322">
            <v>40493</v>
          </cell>
          <cell r="R322">
            <v>40493</v>
          </cell>
          <cell r="S322">
            <v>40493</v>
          </cell>
          <cell r="T322">
            <v>40493</v>
          </cell>
          <cell r="U322">
            <v>40493</v>
          </cell>
          <cell r="V322">
            <v>0</v>
          </cell>
          <cell r="W322">
            <v>0</v>
          </cell>
        </row>
        <row r="323">
          <cell r="B323" t="str">
            <v>SERRUCHO</v>
          </cell>
          <cell r="C323" t="str">
            <v>Serrucho Profesional 8 DPP 20 pulg 15-559</v>
          </cell>
          <cell r="D323" t="str">
            <v>UNIDAD</v>
          </cell>
          <cell r="E323" t="str">
            <v>I2024014734</v>
          </cell>
          <cell r="F323" t="str">
            <v>0</v>
          </cell>
          <cell r="G323">
            <v>74936</v>
          </cell>
          <cell r="H323">
            <v>74936</v>
          </cell>
          <cell r="I323">
            <v>74936</v>
          </cell>
          <cell r="J323">
            <v>74936</v>
          </cell>
          <cell r="K323">
            <v>74936</v>
          </cell>
          <cell r="L323">
            <v>74936</v>
          </cell>
          <cell r="M323">
            <v>74936</v>
          </cell>
          <cell r="N323">
            <v>74936</v>
          </cell>
          <cell r="O323">
            <v>74936</v>
          </cell>
          <cell r="P323">
            <v>74936</v>
          </cell>
          <cell r="Q323">
            <v>74936</v>
          </cell>
          <cell r="R323">
            <v>74936</v>
          </cell>
          <cell r="S323">
            <v>74936</v>
          </cell>
          <cell r="T323">
            <v>74936</v>
          </cell>
          <cell r="U323">
            <v>74936</v>
          </cell>
          <cell r="V323">
            <v>0</v>
          </cell>
          <cell r="W323">
            <v>0</v>
          </cell>
        </row>
        <row r="324">
          <cell r="B324" t="str">
            <v>SISTEMA DE RIEGO CON GOTEO</v>
          </cell>
          <cell r="C324" t="str">
            <v>Compuesto por los siguientes accesorios: Manguera de 16 mm x 25 mts. Gotero autocompensado de 2, 4 y 8 LPH X 30 unidades. Tapón final 16 mm x 5 unidades. Codo 16 mm x 6 unidades. Tee 16 mm x 4 unidades. Adaptador macho 1/2 x 16 mm x 1 unidad. Válvula 16 x 16 mm x 2 unidades. Perforador 3 mm x 1 unidad. Microtubo 4 mm x 15 mts. Microconectór 4 mm x 30 unidades
- Racor plástico manguera 3/4 x 16 mm x 1 unidad.
- Abrazadera cremallera de 1/2 x 2 unidades.
- Tapón de reparación 4 mm x 6 unidades.
- Unión 16 mm x 4 unidades.</v>
          </cell>
          <cell r="D324" t="str">
            <v>Mt2</v>
          </cell>
          <cell r="E324" t="str">
            <v>I2024014734</v>
          </cell>
          <cell r="F324" t="str">
            <v>0</v>
          </cell>
          <cell r="G324">
            <v>179193</v>
          </cell>
          <cell r="H324">
            <v>179193</v>
          </cell>
          <cell r="I324">
            <v>179193</v>
          </cell>
          <cell r="J324">
            <v>179193</v>
          </cell>
          <cell r="K324">
            <v>179193</v>
          </cell>
          <cell r="L324">
            <v>179193</v>
          </cell>
          <cell r="M324">
            <v>179193</v>
          </cell>
          <cell r="N324">
            <v>179193</v>
          </cell>
          <cell r="O324">
            <v>179193</v>
          </cell>
          <cell r="P324">
            <v>179193</v>
          </cell>
          <cell r="Q324">
            <v>179193</v>
          </cell>
          <cell r="R324">
            <v>179193</v>
          </cell>
          <cell r="S324">
            <v>179193</v>
          </cell>
          <cell r="T324">
            <v>179193</v>
          </cell>
          <cell r="U324">
            <v>179193</v>
          </cell>
          <cell r="V324">
            <v>0</v>
          </cell>
          <cell r="W324">
            <v>0</v>
          </cell>
        </row>
        <row r="325">
          <cell r="B325" t="str">
            <v>TIJERAS DE PODA</v>
          </cell>
          <cell r="C325">
            <v>0</v>
          </cell>
          <cell r="D325" t="str">
            <v>Unidad</v>
          </cell>
          <cell r="E325" t="str">
            <v>I2024014734</v>
          </cell>
          <cell r="F325" t="str">
            <v>0</v>
          </cell>
          <cell r="G325">
            <v>51904</v>
          </cell>
          <cell r="H325">
            <v>51904</v>
          </cell>
          <cell r="I325">
            <v>51904</v>
          </cell>
          <cell r="J325">
            <v>51904</v>
          </cell>
          <cell r="K325">
            <v>51904</v>
          </cell>
          <cell r="L325">
            <v>51904</v>
          </cell>
          <cell r="M325">
            <v>51904</v>
          </cell>
          <cell r="N325">
            <v>51904</v>
          </cell>
          <cell r="O325">
            <v>51904</v>
          </cell>
          <cell r="P325">
            <v>51904</v>
          </cell>
          <cell r="Q325">
            <v>51904</v>
          </cell>
          <cell r="R325">
            <v>51904</v>
          </cell>
          <cell r="S325">
            <v>51904</v>
          </cell>
          <cell r="T325">
            <v>51904</v>
          </cell>
          <cell r="U325">
            <v>51904</v>
          </cell>
          <cell r="V325">
            <v>0</v>
          </cell>
          <cell r="W325">
            <v>0</v>
          </cell>
        </row>
        <row r="326">
          <cell r="B326" t="str">
            <v>TRAJE DE
FUMIGACIÓN COMPLETO</v>
          </cell>
          <cell r="C326" t="str">
            <v xml:space="preserve">Overol  traje antifluido bioseguridad, lavable e impermeable. </v>
          </cell>
          <cell r="D326" t="str">
            <v>Unidad</v>
          </cell>
          <cell r="E326" t="str">
            <v>I2024014734</v>
          </cell>
          <cell r="F326" t="str">
            <v>0</v>
          </cell>
          <cell r="G326">
            <v>147062</v>
          </cell>
          <cell r="H326">
            <v>147062</v>
          </cell>
          <cell r="I326">
            <v>147062</v>
          </cell>
          <cell r="J326">
            <v>147062</v>
          </cell>
          <cell r="K326">
            <v>147062</v>
          </cell>
          <cell r="L326">
            <v>147062</v>
          </cell>
          <cell r="M326">
            <v>147062</v>
          </cell>
          <cell r="N326">
            <v>147062</v>
          </cell>
          <cell r="O326">
            <v>147062</v>
          </cell>
          <cell r="P326">
            <v>147062</v>
          </cell>
          <cell r="Q326">
            <v>147062</v>
          </cell>
          <cell r="R326">
            <v>147062</v>
          </cell>
          <cell r="S326">
            <v>147062</v>
          </cell>
          <cell r="T326">
            <v>147062</v>
          </cell>
          <cell r="U326">
            <v>147062</v>
          </cell>
          <cell r="V326">
            <v>0</v>
          </cell>
          <cell r="W326">
            <v>0</v>
          </cell>
        </row>
        <row r="327">
          <cell r="B327" t="str">
            <v>TURBA (VIVERO)</v>
          </cell>
          <cell r="C327" t="str">
            <v>Turba rubia sustrato</v>
          </cell>
          <cell r="D327" t="str">
            <v>KG</v>
          </cell>
          <cell r="E327" t="str">
            <v>I2024014734</v>
          </cell>
          <cell r="F327" t="str">
            <v>0</v>
          </cell>
          <cell r="G327">
            <v>7697</v>
          </cell>
          <cell r="H327">
            <v>7697</v>
          </cell>
          <cell r="I327">
            <v>7697</v>
          </cell>
          <cell r="J327">
            <v>7697</v>
          </cell>
          <cell r="K327">
            <v>7697</v>
          </cell>
          <cell r="L327">
            <v>7697</v>
          </cell>
          <cell r="M327">
            <v>7697</v>
          </cell>
          <cell r="N327">
            <v>7697</v>
          </cell>
          <cell r="O327">
            <v>7697</v>
          </cell>
          <cell r="P327">
            <v>7697</v>
          </cell>
          <cell r="Q327">
            <v>7697</v>
          </cell>
          <cell r="R327">
            <v>7697</v>
          </cell>
          <cell r="S327">
            <v>7697</v>
          </cell>
          <cell r="T327">
            <v>7697</v>
          </cell>
          <cell r="U327">
            <v>7697</v>
          </cell>
          <cell r="V327">
            <v>0</v>
          </cell>
          <cell r="W327">
            <v>0</v>
          </cell>
        </row>
        <row r="328">
          <cell r="B328" t="str">
            <v>YODO (VIVERO)</v>
          </cell>
          <cell r="C328" t="str">
            <v>Yodo (vivero)</v>
          </cell>
          <cell r="D328" t="str">
            <v>Lt</v>
          </cell>
          <cell r="E328" t="str">
            <v>I2024014734</v>
          </cell>
          <cell r="F328" t="str">
            <v>0</v>
          </cell>
          <cell r="G328">
            <v>62310</v>
          </cell>
          <cell r="H328">
            <v>62310</v>
          </cell>
          <cell r="I328">
            <v>62310</v>
          </cell>
          <cell r="J328">
            <v>62310</v>
          </cell>
          <cell r="K328">
            <v>62310</v>
          </cell>
          <cell r="L328">
            <v>62310</v>
          </cell>
          <cell r="M328">
            <v>62310</v>
          </cell>
          <cell r="N328">
            <v>62310</v>
          </cell>
          <cell r="O328">
            <v>62310</v>
          </cell>
          <cell r="P328">
            <v>62310</v>
          </cell>
          <cell r="Q328">
            <v>62310</v>
          </cell>
          <cell r="R328">
            <v>62310</v>
          </cell>
          <cell r="S328">
            <v>62310</v>
          </cell>
          <cell r="T328">
            <v>62310</v>
          </cell>
          <cell r="U328">
            <v>62310</v>
          </cell>
          <cell r="V328">
            <v>0</v>
          </cell>
          <cell r="W328">
            <v>0</v>
          </cell>
        </row>
        <row r="329">
          <cell r="B329" t="str">
            <v>BANDEJAS DE GERMINACION</v>
          </cell>
          <cell r="C329" t="str">
            <v>Bandejas de 5 cm de profundidad con capacidad en promedio para 50 plántulas</v>
          </cell>
          <cell r="D329" t="str">
            <v>unidad</v>
          </cell>
          <cell r="E329" t="str">
            <v>I2024014734</v>
          </cell>
          <cell r="F329" t="str">
            <v>0</v>
          </cell>
          <cell r="G329">
            <v>15533</v>
          </cell>
          <cell r="H329">
            <v>15533</v>
          </cell>
          <cell r="I329">
            <v>15533</v>
          </cell>
          <cell r="J329">
            <v>15533</v>
          </cell>
          <cell r="K329">
            <v>15533</v>
          </cell>
          <cell r="L329">
            <v>15533</v>
          </cell>
          <cell r="M329">
            <v>15533</v>
          </cell>
          <cell r="N329">
            <v>15533</v>
          </cell>
          <cell r="O329">
            <v>15533</v>
          </cell>
          <cell r="P329">
            <v>15533</v>
          </cell>
          <cell r="Q329">
            <v>15533</v>
          </cell>
          <cell r="R329">
            <v>15533</v>
          </cell>
          <cell r="S329">
            <v>15533</v>
          </cell>
          <cell r="T329">
            <v>15533</v>
          </cell>
          <cell r="U329">
            <v>15533</v>
          </cell>
          <cell r="V329">
            <v>0</v>
          </cell>
          <cell r="W329">
            <v>0</v>
          </cell>
        </row>
        <row r="330">
          <cell r="B330" t="str">
            <v>BOTA EN PVC LÍNEA BÁSICA SANITIZADA,
REFORZADA EN PUNTA Y TALÓN.</v>
          </cell>
          <cell r="C330" t="str">
            <v>Botas Cerrado, impermeable, antideslizante y de tacón bajo para las actividades de limpieza y desinfección de las áreas (semestral)</v>
          </cell>
          <cell r="D330" t="str">
            <v>Par</v>
          </cell>
          <cell r="E330" t="str">
            <v>I2023004856</v>
          </cell>
          <cell r="F330">
            <v>44974</v>
          </cell>
          <cell r="G330">
            <v>59564</v>
          </cell>
          <cell r="H330">
            <v>60189</v>
          </cell>
          <cell r="I330">
            <v>60658</v>
          </cell>
          <cell r="J330">
            <v>60918</v>
          </cell>
          <cell r="K330">
            <v>61100</v>
          </cell>
          <cell r="L330">
            <v>61405</v>
          </cell>
          <cell r="M330">
            <v>61834</v>
          </cell>
          <cell r="N330">
            <v>62167</v>
          </cell>
          <cell r="O330">
            <v>62322</v>
          </cell>
          <cell r="P330">
            <v>62614</v>
          </cell>
          <cell r="Q330">
            <v>62895</v>
          </cell>
          <cell r="R330">
            <v>63473</v>
          </cell>
          <cell r="S330">
            <v>64164</v>
          </cell>
          <cell r="T330">
            <v>64613</v>
          </cell>
          <cell r="U330">
            <v>64994</v>
          </cell>
          <cell r="V330">
            <v>5430</v>
          </cell>
          <cell r="W330">
            <v>9.1162447115707479E-2</v>
          </cell>
        </row>
        <row r="331">
          <cell r="B331" t="str">
            <v>CASCARILLA DE ARROZ QUEMADO</v>
          </cell>
          <cell r="C331" t="str">
            <v>Treinta (30) bultos de 10 Kg. cada uno</v>
          </cell>
          <cell r="D331" t="str">
            <v>kg</v>
          </cell>
          <cell r="E331" t="str">
            <v>I2024014734</v>
          </cell>
          <cell r="F331" t="str">
            <v>0</v>
          </cell>
          <cell r="G331">
            <v>4402</v>
          </cell>
          <cell r="H331">
            <v>4402</v>
          </cell>
          <cell r="I331">
            <v>4402</v>
          </cell>
          <cell r="J331">
            <v>4402</v>
          </cell>
          <cell r="K331">
            <v>4402</v>
          </cell>
          <cell r="L331">
            <v>4402</v>
          </cell>
          <cell r="M331">
            <v>4402</v>
          </cell>
          <cell r="N331">
            <v>4402</v>
          </cell>
          <cell r="O331">
            <v>4402</v>
          </cell>
          <cell r="P331">
            <v>4402</v>
          </cell>
          <cell r="Q331">
            <v>4402</v>
          </cell>
          <cell r="R331">
            <v>4402</v>
          </cell>
          <cell r="S331">
            <v>4402</v>
          </cell>
          <cell r="T331">
            <v>4402</v>
          </cell>
          <cell r="U331">
            <v>4402</v>
          </cell>
          <cell r="V331">
            <v>0</v>
          </cell>
          <cell r="W331">
            <v>0</v>
          </cell>
        </row>
        <row r="332">
          <cell r="B332" t="str">
            <v>COMPOST/ HUMUS DE LOMBRIZ</v>
          </cell>
          <cell r="C332" t="str">
            <v>Veinte (20) bultos de 30 Kg. cada uno</v>
          </cell>
          <cell r="D332" t="str">
            <v>kg</v>
          </cell>
          <cell r="E332" t="str">
            <v>I2024014734</v>
          </cell>
          <cell r="F332" t="str">
            <v>0</v>
          </cell>
          <cell r="G332">
            <v>4402</v>
          </cell>
          <cell r="H332">
            <v>4402</v>
          </cell>
          <cell r="I332">
            <v>4402</v>
          </cell>
          <cell r="J332">
            <v>4402</v>
          </cell>
          <cell r="K332">
            <v>4402</v>
          </cell>
          <cell r="L332">
            <v>4402</v>
          </cell>
          <cell r="M332">
            <v>4402</v>
          </cell>
          <cell r="N332">
            <v>4402</v>
          </cell>
          <cell r="O332">
            <v>4402</v>
          </cell>
          <cell r="P332">
            <v>4402</v>
          </cell>
          <cell r="Q332">
            <v>4402</v>
          </cell>
          <cell r="R332">
            <v>4402</v>
          </cell>
          <cell r="S332">
            <v>4402</v>
          </cell>
          <cell r="T332">
            <v>4402</v>
          </cell>
          <cell r="U332">
            <v>4402</v>
          </cell>
          <cell r="V332">
            <v>0</v>
          </cell>
          <cell r="W332">
            <v>0</v>
          </cell>
        </row>
        <row r="333">
          <cell r="B333" t="str">
            <v>CONTENEDORES O RECIPIENTES</v>
          </cell>
          <cell r="C333" t="str">
            <v>Los contenedores o recipientes pueden ser cajones de madera o guacales,
canaletas</v>
          </cell>
          <cell r="D333" t="str">
            <v>Unidad</v>
          </cell>
          <cell r="E333" t="str">
            <v>I2024014734</v>
          </cell>
          <cell r="F333" t="str">
            <v>0</v>
          </cell>
          <cell r="G333">
            <v>247163</v>
          </cell>
          <cell r="H333">
            <v>247163</v>
          </cell>
          <cell r="I333">
            <v>247163</v>
          </cell>
          <cell r="J333">
            <v>247163</v>
          </cell>
          <cell r="K333">
            <v>247163</v>
          </cell>
          <cell r="L333">
            <v>247163</v>
          </cell>
          <cell r="M333">
            <v>247163</v>
          </cell>
          <cell r="N333">
            <v>247163</v>
          </cell>
          <cell r="O333">
            <v>247163</v>
          </cell>
          <cell r="P333">
            <v>247163</v>
          </cell>
          <cell r="Q333">
            <v>247163</v>
          </cell>
          <cell r="R333">
            <v>247163</v>
          </cell>
          <cell r="S333">
            <v>247163</v>
          </cell>
          <cell r="T333">
            <v>247163</v>
          </cell>
          <cell r="U333">
            <v>247163</v>
          </cell>
          <cell r="V333">
            <v>0</v>
          </cell>
          <cell r="W333">
            <v>0</v>
          </cell>
        </row>
        <row r="334">
          <cell r="B334" t="str">
            <v>GUANTES NEGROS INDUSTRIALES</v>
          </cell>
          <cell r="C334" t="str">
            <v>Guantes Negros Calibre 35, que permitan la manipulación de concreto, arena y otros productos químicos, con grabado que mejora el agarre en húmedo y en seco, mayor
resistencia a productos químicos: Cetonas, sales, detergentes, alcoholes, bases y grasas</v>
          </cell>
          <cell r="D334" t="str">
            <v>par</v>
          </cell>
          <cell r="E334" t="str">
            <v>I2024004413</v>
          </cell>
          <cell r="F334" t="str">
            <v>0</v>
          </cell>
          <cell r="G334">
            <v>6876</v>
          </cell>
          <cell r="H334">
            <v>6876</v>
          </cell>
          <cell r="I334">
            <v>6876</v>
          </cell>
          <cell r="J334">
            <v>6876</v>
          </cell>
          <cell r="K334">
            <v>6876</v>
          </cell>
          <cell r="L334">
            <v>6876</v>
          </cell>
          <cell r="M334">
            <v>6876</v>
          </cell>
          <cell r="N334">
            <v>6876</v>
          </cell>
          <cell r="O334">
            <v>6876</v>
          </cell>
          <cell r="P334">
            <v>6876</v>
          </cell>
          <cell r="Q334">
            <v>6876</v>
          </cell>
          <cell r="R334">
            <v>6876</v>
          </cell>
          <cell r="S334">
            <v>6876</v>
          </cell>
          <cell r="T334">
            <v>6876</v>
          </cell>
          <cell r="U334">
            <v>6876</v>
          </cell>
          <cell r="V334">
            <v>0</v>
          </cell>
          <cell r="W334">
            <v>0</v>
          </cell>
        </row>
        <row r="335">
          <cell r="B335" t="str">
            <v>PLÁSTICO O MALLA POLISOMBRA</v>
          </cell>
          <cell r="C335" t="str">
            <v>malla polisombra para vivero cobertura 80% 4mts ancho</v>
          </cell>
          <cell r="D335" t="str">
            <v>mt</v>
          </cell>
          <cell r="E335" t="str">
            <v>I2024014734</v>
          </cell>
          <cell r="F335" t="str">
            <v>0</v>
          </cell>
          <cell r="G335">
            <v>13594</v>
          </cell>
          <cell r="H335">
            <v>13594</v>
          </cell>
          <cell r="I335">
            <v>13594</v>
          </cell>
          <cell r="J335">
            <v>13594</v>
          </cell>
          <cell r="K335">
            <v>13594</v>
          </cell>
          <cell r="L335">
            <v>13594</v>
          </cell>
          <cell r="M335">
            <v>13594</v>
          </cell>
          <cell r="N335">
            <v>13594</v>
          </cell>
          <cell r="O335">
            <v>13594</v>
          </cell>
          <cell r="P335">
            <v>13594</v>
          </cell>
          <cell r="Q335">
            <v>13594</v>
          </cell>
          <cell r="R335">
            <v>13594</v>
          </cell>
          <cell r="S335">
            <v>13594</v>
          </cell>
          <cell r="T335">
            <v>13594</v>
          </cell>
          <cell r="U335">
            <v>13594</v>
          </cell>
          <cell r="V335">
            <v>0</v>
          </cell>
          <cell r="W335">
            <v>0</v>
          </cell>
        </row>
        <row r="336">
          <cell r="B336" t="str">
            <v>SISTEMA DE RIEGO MANUAL</v>
          </cell>
          <cell r="C336" t="str">
            <v>Una (1) manguera
de 100 m2</v>
          </cell>
          <cell r="D336" t="str">
            <v>Unidad</v>
          </cell>
          <cell r="E336" t="str">
            <v>I2024014734</v>
          </cell>
          <cell r="F336" t="str">
            <v>0</v>
          </cell>
          <cell r="G336">
            <v>107363</v>
          </cell>
          <cell r="H336">
            <v>107363</v>
          </cell>
          <cell r="I336">
            <v>107363</v>
          </cell>
          <cell r="J336">
            <v>107363</v>
          </cell>
          <cell r="K336">
            <v>107363</v>
          </cell>
          <cell r="L336">
            <v>107363</v>
          </cell>
          <cell r="M336">
            <v>107363</v>
          </cell>
          <cell r="N336">
            <v>107363</v>
          </cell>
          <cell r="O336">
            <v>107363</v>
          </cell>
          <cell r="P336">
            <v>107363</v>
          </cell>
          <cell r="Q336">
            <v>107363</v>
          </cell>
          <cell r="R336">
            <v>107363</v>
          </cell>
          <cell r="S336">
            <v>107363</v>
          </cell>
          <cell r="T336">
            <v>107363</v>
          </cell>
          <cell r="U336">
            <v>107363</v>
          </cell>
          <cell r="V336">
            <v>0</v>
          </cell>
          <cell r="W336">
            <v>0</v>
          </cell>
        </row>
        <row r="337">
          <cell r="B337" t="str">
            <v>TIERRA NEGRA</v>
          </cell>
          <cell r="C337" t="str">
            <v>Treinta (30) bultos de 25Kg cada uno</v>
          </cell>
          <cell r="D337" t="str">
            <v>kg</v>
          </cell>
          <cell r="E337" t="str">
            <v>I2024014734</v>
          </cell>
          <cell r="F337" t="str">
            <v>0</v>
          </cell>
          <cell r="G337">
            <v>1100</v>
          </cell>
          <cell r="H337">
            <v>1100</v>
          </cell>
          <cell r="I337">
            <v>1100</v>
          </cell>
          <cell r="J337">
            <v>1100</v>
          </cell>
          <cell r="K337">
            <v>1100</v>
          </cell>
          <cell r="L337">
            <v>1100</v>
          </cell>
          <cell r="M337">
            <v>1100</v>
          </cell>
          <cell r="N337">
            <v>1100</v>
          </cell>
          <cell r="O337">
            <v>1100</v>
          </cell>
          <cell r="P337">
            <v>1100</v>
          </cell>
          <cell r="Q337">
            <v>1100</v>
          </cell>
          <cell r="R337">
            <v>1100</v>
          </cell>
          <cell r="S337">
            <v>1100</v>
          </cell>
          <cell r="T337">
            <v>1100</v>
          </cell>
          <cell r="U337">
            <v>1100</v>
          </cell>
          <cell r="V337">
            <v>0</v>
          </cell>
          <cell r="W337">
            <v>0</v>
          </cell>
        </row>
        <row r="338">
          <cell r="B338" t="str">
            <v>TINTA IMPRESORA</v>
          </cell>
          <cell r="C338" t="str">
            <v>Tinta para impresora por litro</v>
          </cell>
          <cell r="D338" t="str">
            <v>Litro</v>
          </cell>
          <cell r="E338" t="str">
            <v>I2023019398</v>
          </cell>
          <cell r="F338" t="str">
            <v>0</v>
          </cell>
          <cell r="G338">
            <v>151170</v>
          </cell>
          <cell r="H338">
            <v>151170</v>
          </cell>
          <cell r="I338">
            <v>151170</v>
          </cell>
          <cell r="J338">
            <v>151170</v>
          </cell>
          <cell r="K338">
            <v>151170</v>
          </cell>
          <cell r="L338">
            <v>151170</v>
          </cell>
          <cell r="M338">
            <v>151170</v>
          </cell>
          <cell r="N338">
            <v>151170</v>
          </cell>
          <cell r="O338">
            <v>151170</v>
          </cell>
          <cell r="P338">
            <v>151170</v>
          </cell>
          <cell r="Q338">
            <v>151170</v>
          </cell>
          <cell r="R338">
            <v>151170</v>
          </cell>
          <cell r="S338">
            <v>151170</v>
          </cell>
          <cell r="T338">
            <v>151170</v>
          </cell>
          <cell r="U338">
            <v>151170</v>
          </cell>
          <cell r="V338">
            <v>0</v>
          </cell>
          <cell r="W338">
            <v>0</v>
          </cell>
        </row>
        <row r="339">
          <cell r="B339" t="str">
            <v>CAJAS DE ALMACENAMIENTO</v>
          </cell>
          <cell r="C339" t="str">
            <v>Dimensiones internas: ancho: 20 cm. x alto: 28.5 cm. x largo: 39 cm. 
Dimensiones externas: ancho: 21 cm. x alto: 30 cm. x largo: 40 cm. 
La tapa debe ir impresa a una tinta, en color negro llevando el logo de la entidad y un recuadro impreso para el número de la caja únicamente, se debe implementar el Formato Rótulo para caja de archivo (FOR-GD-007) establecido por la Secretaría Distrital de Integración Social.</v>
          </cell>
          <cell r="D339" t="str">
            <v>Unidad</v>
          </cell>
          <cell r="E339" t="str">
            <v xml:space="preserve"> I2024004070</v>
          </cell>
          <cell r="F339" t="str">
            <v>0</v>
          </cell>
          <cell r="G339">
            <v>6153</v>
          </cell>
          <cell r="H339">
            <v>6153</v>
          </cell>
          <cell r="I339">
            <v>6153</v>
          </cell>
          <cell r="J339">
            <v>6153</v>
          </cell>
          <cell r="K339">
            <v>6153</v>
          </cell>
          <cell r="L339">
            <v>6153</v>
          </cell>
          <cell r="M339">
            <v>6153</v>
          </cell>
          <cell r="N339">
            <v>6153</v>
          </cell>
          <cell r="O339">
            <v>6153</v>
          </cell>
          <cell r="P339">
            <v>6153</v>
          </cell>
          <cell r="Q339">
            <v>6153</v>
          </cell>
          <cell r="R339">
            <v>6153</v>
          </cell>
          <cell r="S339">
            <v>6153</v>
          </cell>
          <cell r="T339">
            <v>6153</v>
          </cell>
          <cell r="U339">
            <v>6153</v>
          </cell>
          <cell r="V339">
            <v>0</v>
          </cell>
          <cell r="W339">
            <v>0</v>
          </cell>
        </row>
        <row r="340">
          <cell r="B340" t="str">
            <v>CARPETA EN CARTÓN YUTE 600 GR</v>
          </cell>
          <cell r="C340" t="str">
            <v>Carpeta en cartón yute 600 gr</v>
          </cell>
          <cell r="D340" t="str">
            <v>Unidad</v>
          </cell>
          <cell r="E340" t="str">
            <v>I2023015407</v>
          </cell>
          <cell r="F340" t="str">
            <v>0</v>
          </cell>
          <cell r="G340">
            <v>7007</v>
          </cell>
          <cell r="H340">
            <v>7007</v>
          </cell>
          <cell r="I340">
            <v>7007</v>
          </cell>
          <cell r="J340">
            <v>7007</v>
          </cell>
          <cell r="K340">
            <v>7007</v>
          </cell>
          <cell r="L340">
            <v>7007</v>
          </cell>
          <cell r="M340">
            <v>7007</v>
          </cell>
          <cell r="N340">
            <v>7007</v>
          </cell>
          <cell r="O340">
            <v>7007</v>
          </cell>
          <cell r="P340">
            <v>7007</v>
          </cell>
          <cell r="Q340">
            <v>7007</v>
          </cell>
          <cell r="R340">
            <v>7007</v>
          </cell>
          <cell r="S340">
            <v>7007</v>
          </cell>
          <cell r="T340">
            <v>7007</v>
          </cell>
          <cell r="U340">
            <v>7007</v>
          </cell>
          <cell r="V340">
            <v>0</v>
          </cell>
          <cell r="W340">
            <v>0</v>
          </cell>
        </row>
        <row r="341">
          <cell r="B341" t="str">
            <v>GANCHOS LEGAJADOR</v>
          </cell>
          <cell r="C341" t="str">
            <v>Ganchos plásticos de polipropileno</v>
          </cell>
          <cell r="D341" t="str">
            <v>Caja</v>
          </cell>
          <cell r="E341" t="str">
            <v>I2024004413</v>
          </cell>
          <cell r="F341" t="str">
            <v>0</v>
          </cell>
          <cell r="G341">
            <v>5285</v>
          </cell>
          <cell r="H341">
            <v>5285</v>
          </cell>
          <cell r="I341">
            <v>5285</v>
          </cell>
          <cell r="J341">
            <v>5285</v>
          </cell>
          <cell r="K341">
            <v>5285</v>
          </cell>
          <cell r="L341">
            <v>5285</v>
          </cell>
          <cell r="M341">
            <v>5285</v>
          </cell>
          <cell r="N341">
            <v>5285</v>
          </cell>
          <cell r="O341">
            <v>5285</v>
          </cell>
          <cell r="P341">
            <v>5285</v>
          </cell>
          <cell r="Q341">
            <v>5285</v>
          </cell>
          <cell r="R341">
            <v>5285</v>
          </cell>
          <cell r="S341">
            <v>5285</v>
          </cell>
          <cell r="T341">
            <v>5285</v>
          </cell>
          <cell r="U341">
            <v>5285</v>
          </cell>
          <cell r="V341">
            <v>0</v>
          </cell>
          <cell r="W341">
            <v>0</v>
          </cell>
        </row>
        <row r="342">
          <cell r="B342" t="str">
            <v>LÁPIZ</v>
          </cell>
          <cell r="C342" t="str">
            <v>Lápiz para escritura con borrador, mina negra No.2.</v>
          </cell>
          <cell r="D342" t="str">
            <v>Cajas de 12 unidades</v>
          </cell>
          <cell r="E342" t="str">
            <v>I2023015628</v>
          </cell>
          <cell r="F342">
            <v>45076</v>
          </cell>
          <cell r="G342">
            <v>10853</v>
          </cell>
          <cell r="H342">
            <v>10853</v>
          </cell>
          <cell r="I342">
            <v>10853</v>
          </cell>
          <cell r="J342">
            <v>10853</v>
          </cell>
          <cell r="K342">
            <v>10885</v>
          </cell>
          <cell r="L342">
            <v>10939</v>
          </cell>
          <cell r="M342">
            <v>11015</v>
          </cell>
          <cell r="N342">
            <v>11074</v>
          </cell>
          <cell r="O342">
            <v>11101</v>
          </cell>
          <cell r="P342">
            <v>11153</v>
          </cell>
          <cell r="Q342">
            <v>11203</v>
          </cell>
          <cell r="R342">
            <v>11306</v>
          </cell>
          <cell r="S342">
            <v>11429</v>
          </cell>
          <cell r="T342">
            <v>11509</v>
          </cell>
          <cell r="U342">
            <v>11576</v>
          </cell>
          <cell r="V342">
            <v>723</v>
          </cell>
          <cell r="W342">
            <v>6.6617525108264991E-2</v>
          </cell>
        </row>
        <row r="343">
          <cell r="B343" t="str">
            <v>BORRADOR PARA LÁPIZ, NATA, TAMAÑO 5.5 CM X 2CM.</v>
          </cell>
          <cell r="C343" t="str">
            <v>Borrador Para Lápiz, Nata, Tamaño 5.5 Cm X 2cm.</v>
          </cell>
          <cell r="D343" t="str">
            <v>Caja de 24 unidades</v>
          </cell>
          <cell r="E343" t="str">
            <v>I2023015628</v>
          </cell>
          <cell r="F343">
            <v>45076</v>
          </cell>
          <cell r="G343">
            <v>18298</v>
          </cell>
          <cell r="H343">
            <v>18298</v>
          </cell>
          <cell r="I343">
            <v>18298</v>
          </cell>
          <cell r="J343">
            <v>18298</v>
          </cell>
          <cell r="K343">
            <v>18352</v>
          </cell>
          <cell r="L343">
            <v>18443</v>
          </cell>
          <cell r="M343">
            <v>18572</v>
          </cell>
          <cell r="N343">
            <v>18672</v>
          </cell>
          <cell r="O343">
            <v>18718</v>
          </cell>
          <cell r="P343">
            <v>18805</v>
          </cell>
          <cell r="Q343">
            <v>18889</v>
          </cell>
          <cell r="R343">
            <v>19062</v>
          </cell>
          <cell r="S343">
            <v>19269</v>
          </cell>
          <cell r="T343">
            <v>19403</v>
          </cell>
          <cell r="U343">
            <v>19517</v>
          </cell>
          <cell r="V343">
            <v>1219</v>
          </cell>
          <cell r="W343">
            <v>6.6619302656027987E-2</v>
          </cell>
        </row>
        <row r="344">
          <cell r="B344" t="str">
            <v xml:space="preserve">RESMAS DE PAPEL TAMAÑO
CARTA </v>
          </cell>
          <cell r="C344" t="str">
            <v>Resmas de papel tamaño carta x 500 Hojas</v>
          </cell>
          <cell r="D344" t="str">
            <v>Unidad</v>
          </cell>
          <cell r="E344" t="str">
            <v>I2023015628</v>
          </cell>
          <cell r="F344">
            <v>45076</v>
          </cell>
          <cell r="G344">
            <v>28437</v>
          </cell>
          <cell r="H344">
            <v>28437</v>
          </cell>
          <cell r="I344">
            <v>28437</v>
          </cell>
          <cell r="J344">
            <v>28437</v>
          </cell>
          <cell r="K344">
            <v>28522</v>
          </cell>
          <cell r="L344">
            <v>28664</v>
          </cell>
          <cell r="M344">
            <v>28864</v>
          </cell>
          <cell r="N344">
            <v>29019</v>
          </cell>
          <cell r="O344">
            <v>29091</v>
          </cell>
          <cell r="P344">
            <v>29227</v>
          </cell>
          <cell r="Q344">
            <v>29358</v>
          </cell>
          <cell r="R344">
            <v>29628</v>
          </cell>
          <cell r="S344">
            <v>29950</v>
          </cell>
          <cell r="T344">
            <v>30159</v>
          </cell>
          <cell r="U344">
            <v>30336</v>
          </cell>
          <cell r="V344">
            <v>1899</v>
          </cell>
          <cell r="W344">
            <v>6.6779196117733933E-2</v>
          </cell>
        </row>
        <row r="345">
          <cell r="B345" t="str">
            <v>RESMAS DE PAPEL TAMAÑO OFICIO</v>
          </cell>
          <cell r="C345" t="str">
            <v>Resmas de papel tamaño oficio x 500 Hojas</v>
          </cell>
          <cell r="D345" t="str">
            <v>Unidad</v>
          </cell>
          <cell r="E345" t="str">
            <v>I2023015628</v>
          </cell>
          <cell r="F345">
            <v>45076</v>
          </cell>
          <cell r="G345">
            <v>28573</v>
          </cell>
          <cell r="H345">
            <v>28573</v>
          </cell>
          <cell r="I345">
            <v>28573</v>
          </cell>
          <cell r="J345">
            <v>28573</v>
          </cell>
          <cell r="K345">
            <v>28658</v>
          </cell>
          <cell r="L345">
            <v>28801</v>
          </cell>
          <cell r="M345">
            <v>29002</v>
          </cell>
          <cell r="N345">
            <v>29158</v>
          </cell>
          <cell r="O345">
            <v>29230</v>
          </cell>
          <cell r="P345">
            <v>29367</v>
          </cell>
          <cell r="Q345">
            <v>29499</v>
          </cell>
          <cell r="R345">
            <v>29770</v>
          </cell>
          <cell r="S345">
            <v>30094</v>
          </cell>
          <cell r="T345">
            <v>30304</v>
          </cell>
          <cell r="U345">
            <v>30482</v>
          </cell>
          <cell r="V345">
            <v>1909</v>
          </cell>
          <cell r="W345">
            <v>6.6811325377104255E-2</v>
          </cell>
        </row>
        <row r="346">
          <cell r="B346" t="str">
            <v>ESFERO TIPO BIC NEGRO</v>
          </cell>
          <cell r="C346" t="str">
            <v>Esfero Tipo Bic Rojo, azul o negro</v>
          </cell>
          <cell r="D346" t="str">
            <v xml:space="preserve">cajas por 12 </v>
          </cell>
          <cell r="E346" t="str">
            <v>I2023004856</v>
          </cell>
          <cell r="F346">
            <v>44974</v>
          </cell>
          <cell r="G346">
            <v>16106</v>
          </cell>
          <cell r="H346">
            <v>16275</v>
          </cell>
          <cell r="I346">
            <v>16401</v>
          </cell>
          <cell r="J346">
            <v>16471</v>
          </cell>
          <cell r="K346">
            <v>16520</v>
          </cell>
          <cell r="L346">
            <v>16602</v>
          </cell>
          <cell r="M346">
            <v>16718</v>
          </cell>
          <cell r="N346">
            <v>16808</v>
          </cell>
          <cell r="O346">
            <v>16850</v>
          </cell>
          <cell r="P346">
            <v>16929</v>
          </cell>
          <cell r="Q346">
            <v>17005</v>
          </cell>
          <cell r="R346">
            <v>17161</v>
          </cell>
          <cell r="S346">
            <v>17348</v>
          </cell>
          <cell r="T346">
            <v>17469</v>
          </cell>
          <cell r="U346">
            <v>17572</v>
          </cell>
          <cell r="V346">
            <v>1466</v>
          </cell>
          <cell r="W346">
            <v>9.102197938656402E-2</v>
          </cell>
        </row>
        <row r="347">
          <cell r="B347" t="str">
            <v>PERFORADORA</v>
          </cell>
          <cell r="C347" t="str">
            <v>Perforadora Industrial Promedio de Folios De 100</v>
          </cell>
          <cell r="D347" t="str">
            <v>Desgaste y uso mensual por unidad</v>
          </cell>
          <cell r="E347" t="str">
            <v>I2023015628</v>
          </cell>
          <cell r="F347">
            <v>45076</v>
          </cell>
          <cell r="G347">
            <v>299556</v>
          </cell>
          <cell r="H347">
            <v>299556</v>
          </cell>
          <cell r="I347">
            <v>299556</v>
          </cell>
          <cell r="J347">
            <v>299556</v>
          </cell>
          <cell r="K347">
            <v>300454</v>
          </cell>
          <cell r="L347">
            <v>301956</v>
          </cell>
          <cell r="M347">
            <v>304069</v>
          </cell>
          <cell r="N347">
            <v>305710</v>
          </cell>
          <cell r="O347">
            <v>306474</v>
          </cell>
          <cell r="P347">
            <v>307914</v>
          </cell>
          <cell r="Q347">
            <v>309299</v>
          </cell>
          <cell r="R347">
            <v>312144</v>
          </cell>
          <cell r="S347">
            <v>315546</v>
          </cell>
          <cell r="T347">
            <v>317754</v>
          </cell>
          <cell r="U347">
            <v>319628</v>
          </cell>
          <cell r="V347">
            <v>20072</v>
          </cell>
          <cell r="W347">
            <v>6.7005835302914984E-2</v>
          </cell>
        </row>
        <row r="348">
          <cell r="B348" t="str">
            <v>COSEDORA DE OFICINA</v>
          </cell>
          <cell r="C348" t="str">
            <v>Cosedora de oficina 20 hojas</v>
          </cell>
          <cell r="D348" t="str">
            <v>Desgaste y uso mensual por unidad</v>
          </cell>
          <cell r="E348" t="str">
            <v>I2023015628</v>
          </cell>
          <cell r="F348">
            <v>45076</v>
          </cell>
          <cell r="G348">
            <v>23578</v>
          </cell>
          <cell r="H348">
            <v>23578</v>
          </cell>
          <cell r="I348">
            <v>23578</v>
          </cell>
          <cell r="J348">
            <v>23578</v>
          </cell>
          <cell r="K348">
            <v>23648</v>
          </cell>
          <cell r="L348">
            <v>23766</v>
          </cell>
          <cell r="M348">
            <v>23932</v>
          </cell>
          <cell r="N348">
            <v>24061</v>
          </cell>
          <cell r="O348">
            <v>24121</v>
          </cell>
          <cell r="P348">
            <v>24234</v>
          </cell>
          <cell r="Q348">
            <v>24343</v>
          </cell>
          <cell r="R348">
            <v>24566</v>
          </cell>
          <cell r="S348">
            <v>24833</v>
          </cell>
          <cell r="T348">
            <v>25006</v>
          </cell>
          <cell r="U348">
            <v>25153</v>
          </cell>
          <cell r="V348">
            <v>1575</v>
          </cell>
          <cell r="W348">
            <v>6.6799558910849099E-2</v>
          </cell>
        </row>
        <row r="349">
          <cell r="B349" t="str">
            <v>SACA GANCHOS</v>
          </cell>
          <cell r="C349" t="str">
            <v>Saca ganchos metálico</v>
          </cell>
          <cell r="D349" t="str">
            <v>Desgaste y uso mensual por unidad</v>
          </cell>
          <cell r="E349" t="str">
            <v>I2023004856</v>
          </cell>
          <cell r="F349">
            <v>44974</v>
          </cell>
          <cell r="G349">
            <v>5142</v>
          </cell>
          <cell r="H349">
            <v>5195</v>
          </cell>
          <cell r="I349">
            <v>5235</v>
          </cell>
          <cell r="J349">
            <v>5257</v>
          </cell>
          <cell r="K349">
            <v>5272</v>
          </cell>
          <cell r="L349">
            <v>5298</v>
          </cell>
          <cell r="M349">
            <v>5335</v>
          </cell>
          <cell r="N349">
            <v>5363</v>
          </cell>
          <cell r="O349">
            <v>5376</v>
          </cell>
          <cell r="P349">
            <v>5401</v>
          </cell>
          <cell r="Q349">
            <v>5425</v>
          </cell>
          <cell r="R349">
            <v>5474</v>
          </cell>
          <cell r="S349">
            <v>5533</v>
          </cell>
          <cell r="T349">
            <v>5571</v>
          </cell>
          <cell r="U349">
            <v>5603</v>
          </cell>
          <cell r="V349">
            <v>461</v>
          </cell>
          <cell r="W349">
            <v>8.9653831194087902E-2</v>
          </cell>
        </row>
        <row r="350">
          <cell r="B350" t="str">
            <v xml:space="preserve">GUANTES </v>
          </cell>
          <cell r="C350" t="str">
            <v>Guantes estériles de látex</v>
          </cell>
          <cell r="D350" t="str">
            <v>Caja x 100 unidades</v>
          </cell>
          <cell r="E350" t="str">
            <v>I2023008278</v>
          </cell>
          <cell r="F350">
            <v>45002</v>
          </cell>
          <cell r="G350">
            <v>71607</v>
          </cell>
          <cell r="H350">
            <v>71607</v>
          </cell>
          <cell r="I350">
            <v>72165</v>
          </cell>
          <cell r="J350">
            <v>72475</v>
          </cell>
          <cell r="K350">
            <v>72692</v>
          </cell>
          <cell r="L350">
            <v>73055</v>
          </cell>
          <cell r="M350">
            <v>73566</v>
          </cell>
          <cell r="N350">
            <v>73963</v>
          </cell>
          <cell r="O350">
            <v>74147</v>
          </cell>
          <cell r="P350">
            <v>74495</v>
          </cell>
          <cell r="Q350">
            <v>74830</v>
          </cell>
          <cell r="R350">
            <v>75518</v>
          </cell>
          <cell r="S350">
            <v>76341</v>
          </cell>
          <cell r="T350">
            <v>76875</v>
          </cell>
          <cell r="U350">
            <v>77328</v>
          </cell>
          <cell r="V350">
            <v>5721</v>
          </cell>
          <cell r="W350">
            <v>7.9894423729523656E-2</v>
          </cell>
        </row>
        <row r="351">
          <cell r="B351" t="str">
            <v>PENDÓN</v>
          </cell>
          <cell r="C351" t="str">
            <v>Un pendón o aviso de identificación del Centro, el cual debe tener el logotipo de la Secretaría Distrital de Integración Social y el nombre de la Modalidad de Atención o Servicio. Pendón para colgar, Banner 13 Onzas, Tubo arriba y abajo, cordel. Medidas: 1.30 x 180 cms</v>
          </cell>
          <cell r="D351" t="str">
            <v>UNIDAD DE COSTEO</v>
          </cell>
          <cell r="E351" t="str">
            <v>I2023008278</v>
          </cell>
          <cell r="F351">
            <v>45002</v>
          </cell>
          <cell r="G351">
            <v>239566</v>
          </cell>
          <cell r="H351">
            <v>239566</v>
          </cell>
          <cell r="I351">
            <v>241434</v>
          </cell>
          <cell r="J351">
            <v>242472</v>
          </cell>
          <cell r="K351">
            <v>243199</v>
          </cell>
          <cell r="L351">
            <v>244414</v>
          </cell>
          <cell r="M351">
            <v>246124</v>
          </cell>
          <cell r="N351">
            <v>247453</v>
          </cell>
          <cell r="O351">
            <v>248071</v>
          </cell>
          <cell r="P351">
            <v>249236</v>
          </cell>
          <cell r="Q351">
            <v>250357</v>
          </cell>
          <cell r="R351">
            <v>252660</v>
          </cell>
          <cell r="S351">
            <v>255413</v>
          </cell>
          <cell r="T351">
            <v>257200</v>
          </cell>
          <cell r="U351">
            <v>258717</v>
          </cell>
          <cell r="V351">
            <v>19151</v>
          </cell>
          <cell r="W351">
            <v>7.9940392209245051E-2</v>
          </cell>
        </row>
        <row r="352">
          <cell r="B352" t="str">
            <v>CEPILLO DE DIENTES ECOLÓGICO PARA ADULTO</v>
          </cell>
          <cell r="C352" t="str">
            <v>Forma del mango curvo, tipo de cabeza diamante o redondo.
Datos en el empaque que incluya nombre del producto, fecha de vencimiento y nombre del fabricante, empaque estuche en plástico y cartón totalmente sellado.</v>
          </cell>
          <cell r="D352" t="str">
            <v>Unidad</v>
          </cell>
          <cell r="E352" t="str">
            <v>I2023010652</v>
          </cell>
          <cell r="F352">
            <v>45030</v>
          </cell>
          <cell r="G352">
            <v>7040</v>
          </cell>
          <cell r="H352">
            <v>7040</v>
          </cell>
          <cell r="I352">
            <v>7040</v>
          </cell>
          <cell r="J352">
            <v>7070</v>
          </cell>
          <cell r="K352">
            <v>7091</v>
          </cell>
          <cell r="L352">
            <v>7126</v>
          </cell>
          <cell r="M352">
            <v>7175</v>
          </cell>
          <cell r="N352">
            <v>7213</v>
          </cell>
          <cell r="O352">
            <v>7231</v>
          </cell>
          <cell r="P352">
            <v>7264</v>
          </cell>
          <cell r="Q352">
            <v>7296</v>
          </cell>
          <cell r="R352">
            <v>7363</v>
          </cell>
          <cell r="S352">
            <v>7443</v>
          </cell>
          <cell r="T352">
            <v>7495</v>
          </cell>
          <cell r="U352">
            <v>7539</v>
          </cell>
          <cell r="V352">
            <v>499</v>
          </cell>
          <cell r="W352">
            <v>7.0880681818181815E-2</v>
          </cell>
        </row>
        <row r="353">
          <cell r="B353" t="str">
            <v>TUBO DE CREMA DENTAL</v>
          </cell>
          <cell r="C353" t="str">
            <v>Tubo x 100 cc,  componentes aproximados fluoruro de sodio, sorbitrol; anticaries, triple acción, con sabor a menta clásica o refrescante. Datos en el empaque que incluya nombre del producto, nombre del fabricante, fecha de vencimiento y número de registro sanitario.</v>
          </cell>
          <cell r="D353" t="str">
            <v>Unidad</v>
          </cell>
          <cell r="E353" t="str">
            <v>I2023010652</v>
          </cell>
          <cell r="F353">
            <v>45030</v>
          </cell>
          <cell r="G353">
            <v>16155</v>
          </cell>
          <cell r="H353">
            <v>16155</v>
          </cell>
          <cell r="I353">
            <v>16155</v>
          </cell>
          <cell r="J353">
            <v>16224</v>
          </cell>
          <cell r="K353">
            <v>16272</v>
          </cell>
          <cell r="L353">
            <v>16353</v>
          </cell>
          <cell r="M353">
            <v>16467</v>
          </cell>
          <cell r="N353">
            <v>16555</v>
          </cell>
          <cell r="O353">
            <v>16596</v>
          </cell>
          <cell r="P353">
            <v>16674</v>
          </cell>
          <cell r="Q353">
            <v>16749</v>
          </cell>
          <cell r="R353">
            <v>16903</v>
          </cell>
          <cell r="S353">
            <v>17087</v>
          </cell>
          <cell r="T353">
            <v>17206</v>
          </cell>
          <cell r="U353">
            <v>17307</v>
          </cell>
          <cell r="V353">
            <v>1152</v>
          </cell>
          <cell r="W353">
            <v>7.1309192200557106E-2</v>
          </cell>
        </row>
        <row r="354">
          <cell r="B354" t="str">
            <v>JABÓN DE BAÑO</v>
          </cell>
          <cell r="C354" t="str">
            <v>Peso 125 - 130 gms, empaque individual, fragancia floral o frutal o compuesto de avena, que cree una barrera de protección antibacterial prolongada; composición aproximada agua, glicerina y sodio.
Datos en el empaque que incluya nombre del producto, nombre del
fabricante y número de registro sanitario.</v>
          </cell>
          <cell r="D354" t="str">
            <v>Unidad</v>
          </cell>
          <cell r="E354" t="str">
            <v>I2023010652</v>
          </cell>
          <cell r="F354">
            <v>45030</v>
          </cell>
          <cell r="G354">
            <v>5542</v>
          </cell>
          <cell r="H354">
            <v>5542</v>
          </cell>
          <cell r="I354">
            <v>5542</v>
          </cell>
          <cell r="J354">
            <v>5565</v>
          </cell>
          <cell r="K354">
            <v>5581</v>
          </cell>
          <cell r="L354">
            <v>5608</v>
          </cell>
          <cell r="M354">
            <v>5647</v>
          </cell>
          <cell r="N354">
            <v>5677</v>
          </cell>
          <cell r="O354">
            <v>5691</v>
          </cell>
          <cell r="P354">
            <v>5717</v>
          </cell>
          <cell r="Q354">
            <v>5742</v>
          </cell>
          <cell r="R354">
            <v>5794</v>
          </cell>
          <cell r="S354">
            <v>5857</v>
          </cell>
          <cell r="T354">
            <v>5897</v>
          </cell>
          <cell r="U354">
            <v>5931</v>
          </cell>
          <cell r="V354">
            <v>389</v>
          </cell>
          <cell r="W354">
            <v>7.0191266690725368E-2</v>
          </cell>
        </row>
        <row r="355">
          <cell r="B355" t="str">
            <v>JABÓN LÍQUIDO DE BAÑO</v>
          </cell>
          <cell r="C355" t="str">
            <v>De  400  ml,  empaque  individual,  con fragancia. Datos   en   el   empaque   que   incluya nombre   del   producto,   nombre   del fabricante    y    número    de    registro sanitario.</v>
          </cell>
          <cell r="D355" t="str">
            <v>Unidad</v>
          </cell>
          <cell r="E355" t="str">
            <v>I2023008278</v>
          </cell>
          <cell r="F355">
            <v>45002</v>
          </cell>
          <cell r="G355">
            <v>6684</v>
          </cell>
          <cell r="H355">
            <v>6684</v>
          </cell>
          <cell r="I355">
            <v>6736</v>
          </cell>
          <cell r="J355">
            <v>6764</v>
          </cell>
          <cell r="K355">
            <v>6784</v>
          </cell>
          <cell r="L355">
            <v>6817</v>
          </cell>
          <cell r="M355">
            <v>6864</v>
          </cell>
          <cell r="N355">
            <v>6901</v>
          </cell>
          <cell r="O355">
            <v>6918</v>
          </cell>
          <cell r="P355">
            <v>6950</v>
          </cell>
          <cell r="Q355">
            <v>6981</v>
          </cell>
          <cell r="R355">
            <v>7045</v>
          </cell>
          <cell r="S355">
            <v>7121</v>
          </cell>
          <cell r="T355">
            <v>7170</v>
          </cell>
          <cell r="U355">
            <v>7212</v>
          </cell>
          <cell r="V355">
            <v>528</v>
          </cell>
          <cell r="W355">
            <v>7.899461400359066E-2</v>
          </cell>
        </row>
        <row r="356">
          <cell r="B356" t="str">
            <v>DESODORANTE ANTITRANSPIRANTE UNISEX</v>
          </cell>
          <cell r="C356" t="str">
            <v>Sobre, en presentación de aluminio, de 15 gr, textura cremosa, acción desodorante y antitranspirante.
Datos en el empaque que incluya nombre del producto, nombre del fabricante, fecha de vencimiento y número de registro sanitario.</v>
          </cell>
          <cell r="D356" t="str">
            <v>Unidad</v>
          </cell>
          <cell r="E356" t="str">
            <v>I2023010652</v>
          </cell>
          <cell r="F356">
            <v>45030</v>
          </cell>
          <cell r="G356">
            <v>1922</v>
          </cell>
          <cell r="H356">
            <v>1922</v>
          </cell>
          <cell r="I356">
            <v>1922</v>
          </cell>
          <cell r="J356">
            <v>1930</v>
          </cell>
          <cell r="K356">
            <v>1935</v>
          </cell>
          <cell r="L356">
            <v>1944</v>
          </cell>
          <cell r="M356">
            <v>1957</v>
          </cell>
          <cell r="N356">
            <v>1967</v>
          </cell>
          <cell r="O356">
            <v>1971</v>
          </cell>
          <cell r="P356">
            <v>1980</v>
          </cell>
          <cell r="Q356">
            <v>1988</v>
          </cell>
          <cell r="R356">
            <v>2006</v>
          </cell>
          <cell r="S356">
            <v>2027</v>
          </cell>
          <cell r="T356">
            <v>2041</v>
          </cell>
          <cell r="U356">
            <v>2053</v>
          </cell>
          <cell r="V356">
            <v>131</v>
          </cell>
          <cell r="W356">
            <v>6.815816857440167E-2</v>
          </cell>
        </row>
        <row r="357">
          <cell r="B357" t="str">
            <v>DESODORANTE ANTITRANSPIRANTE UNISEX</v>
          </cell>
          <cell r="C357" t="str">
            <v>Barra de 75 ml, acción desodorante y antitranspirante. Datos   en   el   empaque   que   incluya nombre   del   producto,   nombre   del fabricante,   fecha   de  vencimiento   y número de registro sanitario.</v>
          </cell>
          <cell r="D357" t="str">
            <v>Unidad</v>
          </cell>
          <cell r="E357" t="str">
            <v>I2023010652</v>
          </cell>
          <cell r="F357">
            <v>45030</v>
          </cell>
          <cell r="G357">
            <v>17237</v>
          </cell>
          <cell r="H357">
            <v>17237</v>
          </cell>
          <cell r="I357">
            <v>17237</v>
          </cell>
          <cell r="J357">
            <v>17311</v>
          </cell>
          <cell r="K357">
            <v>17362</v>
          </cell>
          <cell r="L357">
            <v>17448</v>
          </cell>
          <cell r="M357">
            <v>17570</v>
          </cell>
          <cell r="N357">
            <v>17664</v>
          </cell>
          <cell r="O357">
            <v>17708</v>
          </cell>
          <cell r="P357">
            <v>17791</v>
          </cell>
          <cell r="Q357">
            <v>17871</v>
          </cell>
          <cell r="R357">
            <v>18035</v>
          </cell>
          <cell r="S357">
            <v>18231</v>
          </cell>
          <cell r="T357">
            <v>18358</v>
          </cell>
          <cell r="U357">
            <v>18466</v>
          </cell>
          <cell r="V357">
            <v>1229</v>
          </cell>
          <cell r="W357">
            <v>7.1300110227997912E-2</v>
          </cell>
        </row>
        <row r="358">
          <cell r="B358" t="str">
            <v>TALCO PARA PIES</v>
          </cell>
          <cell r="C358" t="str">
            <v>Frasco de 150 gr. empaque de plástico; especificaciones triclosan, antibacterial y extracto de avena; tipo de cierre giratorio, con orificios para la dosificación del producto.
Datos en el empaque que incluya nombre del producto, nombre del fabricante, fecha de vencimiento y número de registro sanitario.</v>
          </cell>
          <cell r="D358" t="str">
            <v>Unidad</v>
          </cell>
          <cell r="E358" t="str">
            <v>I2023010652</v>
          </cell>
          <cell r="F358">
            <v>45030</v>
          </cell>
          <cell r="G358">
            <v>7556</v>
          </cell>
          <cell r="H358">
            <v>7556</v>
          </cell>
          <cell r="I358">
            <v>7556</v>
          </cell>
          <cell r="J358">
            <v>7588</v>
          </cell>
          <cell r="K358">
            <v>7610</v>
          </cell>
          <cell r="L358">
            <v>7648</v>
          </cell>
          <cell r="M358">
            <v>7701</v>
          </cell>
          <cell r="N358">
            <v>7742</v>
          </cell>
          <cell r="O358">
            <v>7761</v>
          </cell>
          <cell r="P358">
            <v>7797</v>
          </cell>
          <cell r="Q358">
            <v>7832</v>
          </cell>
          <cell r="R358">
            <v>7904</v>
          </cell>
          <cell r="S358">
            <v>7990</v>
          </cell>
          <cell r="T358">
            <v>8045</v>
          </cell>
          <cell r="U358">
            <v>8092</v>
          </cell>
          <cell r="V358">
            <v>536</v>
          </cell>
          <cell r="W358">
            <v>7.0937003705664373E-2</v>
          </cell>
        </row>
        <row r="359">
          <cell r="B359" t="str">
            <v>ROLLO DE PAPEL HIGIÉNICO</v>
          </cell>
          <cell r="C359" t="str">
            <v>Doble hoja, mínimo de 25 mts, color blanco, acolchado</v>
          </cell>
          <cell r="D359" t="str">
            <v>Unidad</v>
          </cell>
          <cell r="E359" t="str">
            <v>I2023010652</v>
          </cell>
          <cell r="F359">
            <v>45030</v>
          </cell>
          <cell r="G359">
            <v>4253</v>
          </cell>
          <cell r="H359">
            <v>4253</v>
          </cell>
          <cell r="I359">
            <v>4253</v>
          </cell>
          <cell r="J359">
            <v>4271</v>
          </cell>
          <cell r="K359">
            <v>4283</v>
          </cell>
          <cell r="L359">
            <v>4304</v>
          </cell>
          <cell r="M359">
            <v>4334</v>
          </cell>
          <cell r="N359">
            <v>4357</v>
          </cell>
          <cell r="O359">
            <v>4367</v>
          </cell>
          <cell r="P359">
            <v>4387</v>
          </cell>
          <cell r="Q359">
            <v>4406</v>
          </cell>
          <cell r="R359">
            <v>4446</v>
          </cell>
          <cell r="S359">
            <v>4494</v>
          </cell>
          <cell r="T359">
            <v>4525</v>
          </cell>
          <cell r="U359">
            <v>4551</v>
          </cell>
          <cell r="V359">
            <v>298</v>
          </cell>
          <cell r="W359">
            <v>7.006818716200329E-2</v>
          </cell>
        </row>
        <row r="360">
          <cell r="B360" t="str">
            <v>TOALLAS HIGIÉNICAS</v>
          </cell>
          <cell r="C360" t="str">
            <v>Paquete x 10 unidades, mínimo de 2 clases de acuerdo al flujo menstrual (flujo normal o flujo abundante), tela tipo algodón, zona antiderrames, ajuste seguro con alas, componentes: cuerpo absorbente, barrera protectora, cinta siliconada, cubierta, capa de adquisición, adhesivo de construcción y autoadhesivo.
Datos en el empaque que incluya nombre del producto, nombre del fabricante, fecha de vencimiento y
número de registro sanitario.</v>
          </cell>
          <cell r="D360" t="str">
            <v>Paquete x 10 unidades</v>
          </cell>
          <cell r="E360" t="str">
            <v>I2023010652</v>
          </cell>
          <cell r="F360">
            <v>45030</v>
          </cell>
          <cell r="G360">
            <v>6976</v>
          </cell>
          <cell r="H360">
            <v>6976</v>
          </cell>
          <cell r="I360">
            <v>6976</v>
          </cell>
          <cell r="J360">
            <v>7005</v>
          </cell>
          <cell r="K360">
            <v>7026</v>
          </cell>
          <cell r="L360">
            <v>7061</v>
          </cell>
          <cell r="M360">
            <v>7110</v>
          </cell>
          <cell r="N360">
            <v>7148</v>
          </cell>
          <cell r="O360">
            <v>7165</v>
          </cell>
          <cell r="P360">
            <v>7198</v>
          </cell>
          <cell r="Q360">
            <v>7230</v>
          </cell>
          <cell r="R360">
            <v>7296</v>
          </cell>
          <cell r="S360">
            <v>7375</v>
          </cell>
          <cell r="T360">
            <v>7426</v>
          </cell>
          <cell r="U360">
            <v>7469</v>
          </cell>
          <cell r="V360">
            <v>493</v>
          </cell>
          <cell r="W360">
            <v>7.0670871559633031E-2</v>
          </cell>
        </row>
        <row r="361">
          <cell r="B361" t="str">
            <v>MÁQUINA DE AFEITAR</v>
          </cell>
          <cell r="C361" t="str">
            <v>Desechable, con banda suavizante de tres cuchillas, con aloe, material plástico, tipo de mango con goma antideslizante, cabeza móvil.
Datos en el empaque que incluya nombre del producto, nombre del fabricante y número de registro sanitario.</v>
          </cell>
          <cell r="D361" t="str">
            <v>Unidad</v>
          </cell>
          <cell r="E361" t="str">
            <v>I2023010652</v>
          </cell>
          <cell r="F361">
            <v>45030</v>
          </cell>
          <cell r="G361">
            <v>17237</v>
          </cell>
          <cell r="H361">
            <v>17237</v>
          </cell>
          <cell r="I361">
            <v>17237</v>
          </cell>
          <cell r="J361">
            <v>17311</v>
          </cell>
          <cell r="K361">
            <v>17362</v>
          </cell>
          <cell r="L361">
            <v>17448</v>
          </cell>
          <cell r="M361">
            <v>17570</v>
          </cell>
          <cell r="N361">
            <v>17664</v>
          </cell>
          <cell r="O361">
            <v>17708</v>
          </cell>
          <cell r="P361">
            <v>17791</v>
          </cell>
          <cell r="Q361">
            <v>17871</v>
          </cell>
          <cell r="R361">
            <v>18035</v>
          </cell>
          <cell r="S361">
            <v>18231</v>
          </cell>
          <cell r="T361">
            <v>18358</v>
          </cell>
          <cell r="U361">
            <v>18466</v>
          </cell>
          <cell r="V361">
            <v>1229</v>
          </cell>
          <cell r="W361">
            <v>7.1300110227997912E-2</v>
          </cell>
        </row>
        <row r="362">
          <cell r="B362" t="str">
            <v>PAÑALES PARA ADULTO</v>
          </cell>
          <cell r="C362" t="str">
            <v>Pañal absorbente para incontinencia fuerte, diseño anatómico, con gel absorbente y sustancia control de olor, cubierta exterior suave tipo tela (excepto donde se adhiere las cintas de fijación del pañal, esta zona puede ser en polietileno), barreras laterales anti derrame, con cinta adhesiva resellable, elástico en cintura y pierna con zona de absorción, con indicador de humedad.
Datos en el empaque que incluya el nombre del producto, nombre del fabricante, cantidad, fecha de vencimiento, composición del producto, indicaciones de uso y número de registro sanitario.</v>
          </cell>
          <cell r="D362" t="str">
            <v>paquete x30</v>
          </cell>
          <cell r="E362" t="str">
            <v>I2023010652</v>
          </cell>
          <cell r="F362">
            <v>45030</v>
          </cell>
          <cell r="G362">
            <v>220998</v>
          </cell>
          <cell r="H362">
            <v>220998</v>
          </cell>
          <cell r="I362">
            <v>220998</v>
          </cell>
          <cell r="J362">
            <v>221948</v>
          </cell>
          <cell r="K362">
            <v>222613</v>
          </cell>
          <cell r="L362">
            <v>223726</v>
          </cell>
          <cell r="M362">
            <v>225292</v>
          </cell>
          <cell r="N362">
            <v>226508</v>
          </cell>
          <cell r="O362">
            <v>227074</v>
          </cell>
          <cell r="P362">
            <v>228141</v>
          </cell>
          <cell r="Q362">
            <v>229167</v>
          </cell>
          <cell r="R362">
            <v>231275</v>
          </cell>
          <cell r="S362">
            <v>233795</v>
          </cell>
          <cell r="T362">
            <v>235431</v>
          </cell>
          <cell r="U362">
            <v>236820</v>
          </cell>
          <cell r="V362">
            <v>15822</v>
          </cell>
          <cell r="W362">
            <v>7.1593408085141044E-2</v>
          </cell>
        </row>
        <row r="363">
          <cell r="B363" t="str">
            <v>CHAMPÚ</v>
          </cell>
          <cell r="C363" t="str">
            <v>Frasco plástico de 300 ml,  para todo tipo de cabello, con fragancia, con tapa dosificadora de cierre a presión. Datos en el empaque que incluya nombre del producto, nombre del fabricante, fecha de vencimiento y número de registro sanitario.</v>
          </cell>
          <cell r="D363" t="str">
            <v>Unidad</v>
          </cell>
          <cell r="E363" t="str">
            <v>I2023010652</v>
          </cell>
          <cell r="F363">
            <v>45030</v>
          </cell>
          <cell r="G363">
            <v>25853</v>
          </cell>
          <cell r="H363">
            <v>25853</v>
          </cell>
          <cell r="I363">
            <v>25853</v>
          </cell>
          <cell r="J363">
            <v>25964</v>
          </cell>
          <cell r="K363">
            <v>26041</v>
          </cell>
          <cell r="L363">
            <v>26171</v>
          </cell>
          <cell r="M363">
            <v>26354</v>
          </cell>
          <cell r="N363">
            <v>26496</v>
          </cell>
          <cell r="O363">
            <v>26562</v>
          </cell>
          <cell r="P363">
            <v>26686</v>
          </cell>
          <cell r="Q363">
            <v>26806</v>
          </cell>
          <cell r="R363">
            <v>27052</v>
          </cell>
          <cell r="S363">
            <v>27346</v>
          </cell>
          <cell r="T363">
            <v>27537</v>
          </cell>
          <cell r="U363">
            <v>27699</v>
          </cell>
          <cell r="V363">
            <v>1846</v>
          </cell>
          <cell r="W363">
            <v>7.1403705566085177E-2</v>
          </cell>
        </row>
        <row r="364">
          <cell r="B364" t="str">
            <v>ACONDICIONADOR</v>
          </cell>
          <cell r="C364" t="str">
            <v>Un (1) frasco de 200 ml para las mujeres, presentación envase plástico tapa dosificadora a presión; componentes mínimo agua, cetyl alcohol, parfum, disodium; fragancia. datos en el empaque que incluya nombre del producto, nombre del fabricante, número de registro sanitario que sea reparador o restaurador</v>
          </cell>
          <cell r="D364" t="str">
            <v>Unidad</v>
          </cell>
          <cell r="E364" t="str">
            <v>I2023010652</v>
          </cell>
          <cell r="F364">
            <v>45030</v>
          </cell>
          <cell r="G364">
            <v>26904</v>
          </cell>
          <cell r="H364">
            <v>26904</v>
          </cell>
          <cell r="I364">
            <v>26904</v>
          </cell>
          <cell r="J364">
            <v>27019</v>
          </cell>
          <cell r="K364">
            <v>27100</v>
          </cell>
          <cell r="L364">
            <v>27235</v>
          </cell>
          <cell r="M364">
            <v>27425</v>
          </cell>
          <cell r="N364">
            <v>27573</v>
          </cell>
          <cell r="O364">
            <v>27641</v>
          </cell>
          <cell r="P364">
            <v>27770</v>
          </cell>
          <cell r="Q364">
            <v>27894</v>
          </cell>
          <cell r="R364">
            <v>28150</v>
          </cell>
          <cell r="S364">
            <v>28456</v>
          </cell>
          <cell r="T364">
            <v>28655</v>
          </cell>
          <cell r="U364">
            <v>28824</v>
          </cell>
          <cell r="V364">
            <v>1920</v>
          </cell>
          <cell r="W364">
            <v>7.1364852809991081E-2</v>
          </cell>
        </row>
        <row r="365">
          <cell r="B365" t="str">
            <v>PEINILLA DE BOLSILLO</v>
          </cell>
          <cell r="C365" t="str">
            <v>De mínimo 10 cm de largo, material plástico, con cerda de plástico y puntas recubiertas del mismo material</v>
          </cell>
          <cell r="D365" t="str">
            <v>Unidad</v>
          </cell>
          <cell r="E365" t="str">
            <v>I2023019873</v>
          </cell>
          <cell r="F365">
            <v>45117</v>
          </cell>
          <cell r="G365">
            <v>1906</v>
          </cell>
          <cell r="H365">
            <v>1906</v>
          </cell>
          <cell r="I365">
            <v>1906</v>
          </cell>
          <cell r="J365">
            <v>1906</v>
          </cell>
          <cell r="K365">
            <v>1906</v>
          </cell>
          <cell r="L365">
            <v>1906</v>
          </cell>
          <cell r="M365">
            <v>1919</v>
          </cell>
          <cell r="N365">
            <v>1929</v>
          </cell>
          <cell r="O365">
            <v>1933</v>
          </cell>
          <cell r="P365">
            <v>1942</v>
          </cell>
          <cell r="Q365">
            <v>1950</v>
          </cell>
          <cell r="R365">
            <v>1967</v>
          </cell>
          <cell r="S365">
            <v>1988</v>
          </cell>
          <cell r="T365">
            <v>2001</v>
          </cell>
          <cell r="U365">
            <v>2012</v>
          </cell>
          <cell r="V365">
            <v>106</v>
          </cell>
          <cell r="W365">
            <v>5.5613850996852045E-2</v>
          </cell>
        </row>
        <row r="366">
          <cell r="B366" t="str">
            <v>CEPILLO Y/O PEINILLA GRUESA</v>
          </cell>
          <cell r="C366" t="str">
            <v>Para mujeres</v>
          </cell>
          <cell r="D366" t="str">
            <v>Unidad</v>
          </cell>
          <cell r="E366" t="str">
            <v>I2023010652</v>
          </cell>
          <cell r="F366">
            <v>45030</v>
          </cell>
          <cell r="G366">
            <v>9105</v>
          </cell>
          <cell r="H366">
            <v>9105</v>
          </cell>
          <cell r="I366">
            <v>9105</v>
          </cell>
          <cell r="J366">
            <v>9144</v>
          </cell>
          <cell r="K366">
            <v>9171</v>
          </cell>
          <cell r="L366">
            <v>9216</v>
          </cell>
          <cell r="M366">
            <v>9280</v>
          </cell>
          <cell r="N366">
            <v>9330</v>
          </cell>
          <cell r="O366">
            <v>9353</v>
          </cell>
          <cell r="P366">
            <v>9396</v>
          </cell>
          <cell r="Q366">
            <v>9438</v>
          </cell>
          <cell r="R366">
            <v>9524</v>
          </cell>
          <cell r="S366">
            <v>9627</v>
          </cell>
          <cell r="T366">
            <v>9694</v>
          </cell>
          <cell r="U366">
            <v>9751</v>
          </cell>
          <cell r="V366">
            <v>646</v>
          </cell>
          <cell r="W366">
            <v>7.0950027457440973E-2</v>
          </cell>
        </row>
        <row r="367">
          <cell r="B367" t="str">
            <v>BLOQUEADOR SOLAR</v>
          </cell>
          <cell r="C367" t="str">
            <v>Frasco de 50 g, con protección alta contra quemaduras solares (UVB), FPS 50, a prueba de agua, para todo tipo de piel.
Datos en el empaque que incluya nombre del producto, nombre del fabricante, fecha de vencimiento y número de registro sanitario.</v>
          </cell>
          <cell r="D367" t="str">
            <v>Unidad</v>
          </cell>
          <cell r="E367" t="str">
            <v>I2024014734</v>
          </cell>
          <cell r="F367" t="str">
            <v>0</v>
          </cell>
          <cell r="G367">
            <v>88381</v>
          </cell>
          <cell r="H367">
            <v>88381</v>
          </cell>
          <cell r="I367">
            <v>88381</v>
          </cell>
          <cell r="J367">
            <v>88381</v>
          </cell>
          <cell r="K367">
            <v>88381</v>
          </cell>
          <cell r="L367">
            <v>88381</v>
          </cell>
          <cell r="M367">
            <v>88381</v>
          </cell>
          <cell r="N367">
            <v>88381</v>
          </cell>
          <cell r="O367">
            <v>88381</v>
          </cell>
          <cell r="P367">
            <v>88381</v>
          </cell>
          <cell r="Q367">
            <v>88381</v>
          </cell>
          <cell r="R367">
            <v>88381</v>
          </cell>
          <cell r="S367">
            <v>88381</v>
          </cell>
          <cell r="T367">
            <v>88381</v>
          </cell>
          <cell r="U367">
            <v>88381</v>
          </cell>
          <cell r="V367">
            <v>0</v>
          </cell>
          <cell r="W367">
            <v>0</v>
          </cell>
        </row>
        <row r="368">
          <cell r="B368" t="str">
            <v>CREMA HUMECTANTE</v>
          </cell>
          <cell r="C368" t="str">
            <v>Frasco de 200 ml, para todo tipo de piel, con textura cremosa.
Datos en el empaque que incluya nombre del producto, nombre del fabricante, fecha de vencimiento y número de registro sanitario.</v>
          </cell>
          <cell r="D368" t="str">
            <v>Unidad</v>
          </cell>
          <cell r="E368" t="str">
            <v>I2023019873</v>
          </cell>
          <cell r="F368">
            <v>45117</v>
          </cell>
          <cell r="G368">
            <v>23322</v>
          </cell>
          <cell r="H368">
            <v>23322</v>
          </cell>
          <cell r="I368">
            <v>23322</v>
          </cell>
          <cell r="J368">
            <v>23322</v>
          </cell>
          <cell r="K368">
            <v>23322</v>
          </cell>
          <cell r="L368">
            <v>23322</v>
          </cell>
          <cell r="M368">
            <v>23485</v>
          </cell>
          <cell r="N368">
            <v>23611</v>
          </cell>
          <cell r="O368">
            <v>23670</v>
          </cell>
          <cell r="P368">
            <v>23781</v>
          </cell>
          <cell r="Q368">
            <v>23888</v>
          </cell>
          <cell r="R368">
            <v>24107</v>
          </cell>
          <cell r="S368">
            <v>24369</v>
          </cell>
          <cell r="T368">
            <v>24539</v>
          </cell>
          <cell r="U368">
            <v>24683</v>
          </cell>
          <cell r="V368">
            <v>1361</v>
          </cell>
          <cell r="W368">
            <v>5.8356916216447986E-2</v>
          </cell>
        </row>
        <row r="369">
          <cell r="B369" t="str">
            <v>CREMA HUMECTANTE PARA CUERPO</v>
          </cell>
          <cell r="C369" t="str">
            <v>Frasco  de  400  ml,  para  todo  tipo  de piel, para manos y cuerpo, con textura cremosa. Datos   en   el   empaque   que   incluya nombre   del   producto,   nombre   del fabricante,   fecha   de  vencimiento   y número de registro sanitario.</v>
          </cell>
          <cell r="D369" t="str">
            <v>Unidad</v>
          </cell>
          <cell r="E369" t="str">
            <v>I2023010652</v>
          </cell>
          <cell r="F369">
            <v>45030</v>
          </cell>
          <cell r="G369">
            <v>35186</v>
          </cell>
          <cell r="H369">
            <v>35186</v>
          </cell>
          <cell r="I369">
            <v>35186</v>
          </cell>
          <cell r="J369">
            <v>35337</v>
          </cell>
          <cell r="K369">
            <v>35443</v>
          </cell>
          <cell r="L369">
            <v>35620</v>
          </cell>
          <cell r="M369">
            <v>35869</v>
          </cell>
          <cell r="N369">
            <v>36062</v>
          </cell>
          <cell r="O369">
            <v>36152</v>
          </cell>
          <cell r="P369">
            <v>36321</v>
          </cell>
          <cell r="Q369">
            <v>36484</v>
          </cell>
          <cell r="R369">
            <v>36819</v>
          </cell>
          <cell r="S369">
            <v>37220</v>
          </cell>
          <cell r="T369">
            <v>37480</v>
          </cell>
          <cell r="U369">
            <v>37701</v>
          </cell>
          <cell r="V369">
            <v>2515</v>
          </cell>
          <cell r="W369">
            <v>7.1477292104814419E-2</v>
          </cell>
        </row>
        <row r="370">
          <cell r="B370" t="str">
            <v>CREMA HIDRATANTE FACIAL</v>
          </cell>
          <cell r="C370" t="str">
            <v>Frasco de 200 gr, humectación de larga duración, la crema se deberá escoger de acuerdo al tipo de piel de cada participante, rápida absorción. Datos en el empaque que incluya nombre del producto, nombre del fabricante, fecha de vencimiento y número de registro sanitario</v>
          </cell>
          <cell r="D370" t="str">
            <v>Unidad</v>
          </cell>
          <cell r="E370" t="str">
            <v>I2024014734</v>
          </cell>
          <cell r="F370" t="str">
            <v>0</v>
          </cell>
          <cell r="G370">
            <v>43560</v>
          </cell>
          <cell r="H370">
            <v>43560</v>
          </cell>
          <cell r="I370">
            <v>43560</v>
          </cell>
          <cell r="J370">
            <v>43560</v>
          </cell>
          <cell r="K370">
            <v>43560</v>
          </cell>
          <cell r="L370">
            <v>43560</v>
          </cell>
          <cell r="M370">
            <v>43560</v>
          </cell>
          <cell r="N370">
            <v>43560</v>
          </cell>
          <cell r="O370">
            <v>43560</v>
          </cell>
          <cell r="P370">
            <v>43560</v>
          </cell>
          <cell r="Q370">
            <v>43560</v>
          </cell>
          <cell r="R370">
            <v>43560</v>
          </cell>
          <cell r="S370">
            <v>43560</v>
          </cell>
          <cell r="T370">
            <v>43560</v>
          </cell>
          <cell r="U370">
            <v>43560</v>
          </cell>
          <cell r="V370">
            <v>0</v>
          </cell>
          <cell r="W370">
            <v>0</v>
          </cell>
        </row>
        <row r="371">
          <cell r="B371" t="str">
            <v>GEL PARA CABELLO</v>
          </cell>
          <cell r="C371" t="str">
            <v>Sachets de 27 ml, tipo de gel denso, no líquido, con fragancia, sin alcohol. Datos en el empaque que incluya nombre del producto, nombre del fabricante, fecha de vencimiento y número de registro sanitario.</v>
          </cell>
          <cell r="D371" t="str">
            <v>Unidad</v>
          </cell>
          <cell r="E371" t="str">
            <v>I2023010652</v>
          </cell>
          <cell r="F371">
            <v>45030</v>
          </cell>
          <cell r="G371">
            <v>12799</v>
          </cell>
          <cell r="H371">
            <v>12799</v>
          </cell>
          <cell r="I371">
            <v>12799</v>
          </cell>
          <cell r="J371">
            <v>12854</v>
          </cell>
          <cell r="K371">
            <v>12892</v>
          </cell>
          <cell r="L371">
            <v>12956</v>
          </cell>
          <cell r="M371">
            <v>13046</v>
          </cell>
          <cell r="N371">
            <v>13116</v>
          </cell>
          <cell r="O371">
            <v>13148</v>
          </cell>
          <cell r="P371">
            <v>13209</v>
          </cell>
          <cell r="Q371">
            <v>13268</v>
          </cell>
          <cell r="R371">
            <v>13390</v>
          </cell>
          <cell r="S371">
            <v>13535</v>
          </cell>
          <cell r="T371">
            <v>13629</v>
          </cell>
          <cell r="U371">
            <v>13709</v>
          </cell>
          <cell r="V371">
            <v>910</v>
          </cell>
          <cell r="W371">
            <v>7.1099304633174473E-2</v>
          </cell>
        </row>
        <row r="372">
          <cell r="B372" t="str">
            <v>CORTAUÑAS</v>
          </cell>
          <cell r="C372" t="str">
            <v>De acero inoxidable, dimensiones aproximadas 6 cm de largo, con lima. Datos en el empaque que incluya nombre del producto y nombre del fabricante, empaque en plástico y cartón totalmente sellado.</v>
          </cell>
          <cell r="D372" t="str">
            <v>Unidad</v>
          </cell>
          <cell r="E372" t="str">
            <v>I2023010652</v>
          </cell>
          <cell r="F372">
            <v>45030</v>
          </cell>
          <cell r="G372">
            <v>9903</v>
          </cell>
          <cell r="H372">
            <v>9903</v>
          </cell>
          <cell r="I372">
            <v>9903</v>
          </cell>
          <cell r="J372">
            <v>9945</v>
          </cell>
          <cell r="K372">
            <v>9974</v>
          </cell>
          <cell r="L372">
            <v>10023</v>
          </cell>
          <cell r="M372">
            <v>10093</v>
          </cell>
          <cell r="N372">
            <v>10147</v>
          </cell>
          <cell r="O372">
            <v>10172</v>
          </cell>
          <cell r="P372">
            <v>10219</v>
          </cell>
          <cell r="Q372">
            <v>10264</v>
          </cell>
          <cell r="R372">
            <v>10358</v>
          </cell>
          <cell r="S372">
            <v>10470</v>
          </cell>
          <cell r="T372">
            <v>10543</v>
          </cell>
          <cell r="U372">
            <v>10605</v>
          </cell>
          <cell r="V372">
            <v>702</v>
          </cell>
          <cell r="W372">
            <v>7.0887609815207517E-2</v>
          </cell>
        </row>
        <row r="373">
          <cell r="B373" t="str">
            <v>JABON AZUL</v>
          </cell>
          <cell r="C373" t="str">
            <v>Jabon de barra azul multiusos</v>
          </cell>
          <cell r="D373" t="str">
            <v>Unidad</v>
          </cell>
          <cell r="E373" t="str">
            <v>I2023010652</v>
          </cell>
          <cell r="F373">
            <v>45030</v>
          </cell>
          <cell r="G373">
            <v>3342</v>
          </cell>
          <cell r="H373">
            <v>3342</v>
          </cell>
          <cell r="I373">
            <v>3342</v>
          </cell>
          <cell r="J373">
            <v>3356</v>
          </cell>
          <cell r="K373">
            <v>3366</v>
          </cell>
          <cell r="L373">
            <v>3382</v>
          </cell>
          <cell r="M373">
            <v>3405</v>
          </cell>
          <cell r="N373">
            <v>3423</v>
          </cell>
          <cell r="O373">
            <v>3431</v>
          </cell>
          <cell r="P373">
            <v>3447</v>
          </cell>
          <cell r="Q373">
            <v>3462</v>
          </cell>
          <cell r="R373">
            <v>3493</v>
          </cell>
          <cell r="S373">
            <v>3531</v>
          </cell>
          <cell r="T373">
            <v>3555</v>
          </cell>
          <cell r="U373">
            <v>3575</v>
          </cell>
          <cell r="V373">
            <v>233</v>
          </cell>
          <cell r="W373">
            <v>6.9718731298623576E-2</v>
          </cell>
        </row>
        <row r="374">
          <cell r="B374" t="str">
            <v>ROPA INTERIOR MUJER</v>
          </cell>
          <cell r="C374" t="str">
            <v>Pantis clásico en material de algodón y brasier sin arco con copa completa en material de algodón licrado</v>
          </cell>
          <cell r="D374" t="str">
            <v>UNIDAD</v>
          </cell>
          <cell r="E374" t="str">
            <v>I2023004856</v>
          </cell>
          <cell r="F374">
            <v>44974</v>
          </cell>
          <cell r="G374">
            <v>54145</v>
          </cell>
          <cell r="H374">
            <v>54713</v>
          </cell>
          <cell r="I374">
            <v>55139</v>
          </cell>
          <cell r="J374">
            <v>55376</v>
          </cell>
          <cell r="K374">
            <v>55542</v>
          </cell>
          <cell r="L374">
            <v>55819</v>
          </cell>
          <cell r="M374">
            <v>56209</v>
          </cell>
          <cell r="N374">
            <v>56512</v>
          </cell>
          <cell r="O374">
            <v>56653</v>
          </cell>
          <cell r="P374">
            <v>56919</v>
          </cell>
          <cell r="Q374">
            <v>57175</v>
          </cell>
          <cell r="R374">
            <v>57701</v>
          </cell>
          <cell r="S374">
            <v>58329</v>
          </cell>
          <cell r="T374">
            <v>58737</v>
          </cell>
          <cell r="U374">
            <v>59083</v>
          </cell>
          <cell r="V374">
            <v>4938</v>
          </cell>
          <cell r="W374">
            <v>9.1199556745775234E-2</v>
          </cell>
        </row>
        <row r="375">
          <cell r="B375" t="str">
            <v>ROPA INTERIOR HOMBRE</v>
          </cell>
          <cell r="C375" t="str">
            <v>Bóxer en algodón de las tallas: S, M, L, y, XL.</v>
          </cell>
          <cell r="D375" t="str">
            <v>UNIDAD</v>
          </cell>
          <cell r="E375" t="str">
            <v>I2023004856</v>
          </cell>
          <cell r="F375">
            <v>44974</v>
          </cell>
          <cell r="G375">
            <v>19397</v>
          </cell>
          <cell r="H375">
            <v>19600</v>
          </cell>
          <cell r="I375">
            <v>19752</v>
          </cell>
          <cell r="J375">
            <v>19836</v>
          </cell>
          <cell r="K375">
            <v>19895</v>
          </cell>
          <cell r="L375">
            <v>19994</v>
          </cell>
          <cell r="M375">
            <v>20133</v>
          </cell>
          <cell r="N375">
            <v>20241</v>
          </cell>
          <cell r="O375">
            <v>20291</v>
          </cell>
          <cell r="P375">
            <v>20386</v>
          </cell>
          <cell r="Q375">
            <v>20477</v>
          </cell>
          <cell r="R375">
            <v>20665</v>
          </cell>
          <cell r="S375">
            <v>20890</v>
          </cell>
          <cell r="T375">
            <v>21036</v>
          </cell>
          <cell r="U375">
            <v>21160</v>
          </cell>
          <cell r="V375">
            <v>1763</v>
          </cell>
          <cell r="W375">
            <v>9.0890343867608386E-2</v>
          </cell>
        </row>
        <row r="376">
          <cell r="B376" t="str">
            <v>MEDIAS</v>
          </cell>
          <cell r="C376" t="str">
            <v>Unisex, en algodón, unicolor de color oscuro, media pierna y/o tobillera teniendo en cuenta la preferencia del participante.</v>
          </cell>
          <cell r="D376" t="str">
            <v>PAR</v>
          </cell>
          <cell r="E376" t="str">
            <v>I2023004856</v>
          </cell>
          <cell r="F376">
            <v>44974</v>
          </cell>
          <cell r="G376">
            <v>10353</v>
          </cell>
          <cell r="H376">
            <v>10461</v>
          </cell>
          <cell r="I376">
            <v>10542</v>
          </cell>
          <cell r="J376">
            <v>10587</v>
          </cell>
          <cell r="K376">
            <v>10618</v>
          </cell>
          <cell r="L376">
            <v>10671</v>
          </cell>
          <cell r="M376">
            <v>10745</v>
          </cell>
          <cell r="N376">
            <v>10803</v>
          </cell>
          <cell r="O376">
            <v>10830</v>
          </cell>
          <cell r="P376">
            <v>10880</v>
          </cell>
          <cell r="Q376">
            <v>10928</v>
          </cell>
          <cell r="R376">
            <v>11028</v>
          </cell>
          <cell r="S376">
            <v>11148</v>
          </cell>
          <cell r="T376">
            <v>11226</v>
          </cell>
          <cell r="U376">
            <v>11292</v>
          </cell>
          <cell r="V376">
            <v>939</v>
          </cell>
          <cell r="W376">
            <v>9.069834830483918E-2</v>
          </cell>
        </row>
        <row r="377">
          <cell r="B377" t="str">
            <v>CALZADO FORMAL</v>
          </cell>
          <cell r="C377" t="str">
            <v>Formal, que permita la transpiración, material en cuero, tela o sintético, acorde al gusto del participante, suela en caucho pegada y cocido
al interior.</v>
          </cell>
          <cell r="D377" t="str">
            <v>UNIDAD</v>
          </cell>
          <cell r="E377" t="str">
            <v>I2023019873</v>
          </cell>
          <cell r="F377">
            <v>45117</v>
          </cell>
          <cell r="G377">
            <v>88616</v>
          </cell>
          <cell r="H377">
            <v>88616</v>
          </cell>
          <cell r="I377">
            <v>88616</v>
          </cell>
          <cell r="J377">
            <v>88616</v>
          </cell>
          <cell r="K377">
            <v>88616</v>
          </cell>
          <cell r="L377">
            <v>88616</v>
          </cell>
          <cell r="M377">
            <v>89236</v>
          </cell>
          <cell r="N377">
            <v>89717</v>
          </cell>
          <cell r="O377">
            <v>89941</v>
          </cell>
          <cell r="P377">
            <v>90363</v>
          </cell>
          <cell r="Q377">
            <v>90769</v>
          </cell>
          <cell r="R377">
            <v>91604</v>
          </cell>
          <cell r="S377">
            <v>92602</v>
          </cell>
          <cell r="T377">
            <v>93250</v>
          </cell>
          <cell r="U377">
            <v>93800</v>
          </cell>
          <cell r="V377">
            <v>5184</v>
          </cell>
          <cell r="W377">
            <v>5.8499593752821162E-2</v>
          </cell>
        </row>
        <row r="378">
          <cell r="B378" t="str">
            <v>CALZADO DEPORTIVO</v>
          </cell>
          <cell r="C378" t="str">
            <v>Calzado deportivo que permita la transpiración, material en tela o sintético, acorde al gusto del participante, suela en caucho pegada y cocido
al interior</v>
          </cell>
          <cell r="D378" t="str">
            <v>UNIDAD</v>
          </cell>
          <cell r="E378" t="str">
            <v>I2023019873</v>
          </cell>
          <cell r="F378">
            <v>45117</v>
          </cell>
          <cell r="G378">
            <v>88616</v>
          </cell>
          <cell r="H378">
            <v>88616</v>
          </cell>
          <cell r="I378">
            <v>88616</v>
          </cell>
          <cell r="J378">
            <v>88616</v>
          </cell>
          <cell r="K378">
            <v>88616</v>
          </cell>
          <cell r="L378">
            <v>88616</v>
          </cell>
          <cell r="M378">
            <v>89236</v>
          </cell>
          <cell r="N378">
            <v>89717</v>
          </cell>
          <cell r="O378">
            <v>89941</v>
          </cell>
          <cell r="P378">
            <v>90363</v>
          </cell>
          <cell r="Q378">
            <v>90769</v>
          </cell>
          <cell r="R378">
            <v>91604</v>
          </cell>
          <cell r="S378">
            <v>92602</v>
          </cell>
          <cell r="T378">
            <v>93250</v>
          </cell>
          <cell r="U378">
            <v>93800</v>
          </cell>
          <cell r="V378">
            <v>5184</v>
          </cell>
          <cell r="W378">
            <v>5.8499593752821162E-2</v>
          </cell>
        </row>
        <row r="379">
          <cell r="B379" t="str">
            <v>CALZADO CHANCLAS</v>
          </cell>
          <cell r="C379" t="str">
            <v>Chanclas con correa, caucho y suela antideslizante para hombres y mujeres.</v>
          </cell>
          <cell r="D379" t="str">
            <v>UNIDAD</v>
          </cell>
          <cell r="E379" t="str">
            <v>I2023004856</v>
          </cell>
          <cell r="F379">
            <v>44974</v>
          </cell>
          <cell r="G379">
            <v>28580</v>
          </cell>
          <cell r="H379">
            <v>28880</v>
          </cell>
          <cell r="I379">
            <v>29105</v>
          </cell>
          <cell r="J379">
            <v>29230</v>
          </cell>
          <cell r="K379">
            <v>29317</v>
          </cell>
          <cell r="L379">
            <v>29463</v>
          </cell>
          <cell r="M379">
            <v>29669</v>
          </cell>
          <cell r="N379">
            <v>29829</v>
          </cell>
          <cell r="O379">
            <v>29903</v>
          </cell>
          <cell r="P379">
            <v>30043</v>
          </cell>
          <cell r="Q379">
            <v>30178</v>
          </cell>
          <cell r="R379">
            <v>30455</v>
          </cell>
          <cell r="S379">
            <v>30786</v>
          </cell>
          <cell r="T379">
            <v>31001</v>
          </cell>
          <cell r="U379">
            <v>31183</v>
          </cell>
          <cell r="V379">
            <v>2603</v>
          </cell>
          <cell r="W379">
            <v>9.1077676696990906E-2</v>
          </cell>
        </row>
        <row r="380">
          <cell r="B380" t="str">
            <v>PIJAMA</v>
          </cell>
          <cell r="C380" t="str">
            <v>Pantalón corto y camiseta manga corta (clima cálido), en algodón. Pantalón largo y camiseta manga largas (clima frio), en algodón.</v>
          </cell>
          <cell r="D380" t="str">
            <v>UNIDAD</v>
          </cell>
          <cell r="E380" t="str">
            <v>I2023004856</v>
          </cell>
          <cell r="F380">
            <v>44974</v>
          </cell>
          <cell r="G380">
            <v>104034</v>
          </cell>
          <cell r="H380">
            <v>105126</v>
          </cell>
          <cell r="I380">
            <v>105945</v>
          </cell>
          <cell r="J380">
            <v>106400</v>
          </cell>
          <cell r="K380">
            <v>106719</v>
          </cell>
          <cell r="L380">
            <v>107252</v>
          </cell>
          <cell r="M380">
            <v>108002</v>
          </cell>
          <cell r="N380">
            <v>108585</v>
          </cell>
          <cell r="O380">
            <v>108856</v>
          </cell>
          <cell r="P380">
            <v>109367</v>
          </cell>
          <cell r="Q380">
            <v>109859</v>
          </cell>
          <cell r="R380">
            <v>110869</v>
          </cell>
          <cell r="S380">
            <v>112077</v>
          </cell>
          <cell r="T380">
            <v>112861</v>
          </cell>
          <cell r="U380">
            <v>113526</v>
          </cell>
          <cell r="V380">
            <v>9492</v>
          </cell>
          <cell r="W380">
            <v>9.1239402503027853E-2</v>
          </cell>
        </row>
        <row r="381">
          <cell r="B381" t="str">
            <v>SALIDAS DE BAÑO</v>
          </cell>
          <cell r="C381" t="str">
            <v>Bata para mujeres, para salida de baño en polialgodón</v>
          </cell>
          <cell r="D381" t="str">
            <v>UNIDAD</v>
          </cell>
          <cell r="E381" t="str">
            <v>I2023019873</v>
          </cell>
          <cell r="F381">
            <v>45117</v>
          </cell>
          <cell r="G381">
            <v>86135</v>
          </cell>
          <cell r="H381">
            <v>86135</v>
          </cell>
          <cell r="I381">
            <v>86135</v>
          </cell>
          <cell r="J381">
            <v>86135</v>
          </cell>
          <cell r="K381">
            <v>86135</v>
          </cell>
          <cell r="L381">
            <v>86135</v>
          </cell>
          <cell r="M381">
            <v>86737</v>
          </cell>
          <cell r="N381">
            <v>87205</v>
          </cell>
          <cell r="O381">
            <v>87423</v>
          </cell>
          <cell r="P381">
            <v>87833</v>
          </cell>
          <cell r="Q381">
            <v>88228</v>
          </cell>
          <cell r="R381">
            <v>89039</v>
          </cell>
          <cell r="S381">
            <v>90009</v>
          </cell>
          <cell r="T381">
            <v>90639</v>
          </cell>
          <cell r="U381">
            <v>91173</v>
          </cell>
          <cell r="V381">
            <v>5038</v>
          </cell>
          <cell r="W381">
            <v>5.8489580309978521E-2</v>
          </cell>
        </row>
        <row r="382">
          <cell r="B382" t="str">
            <v>ROPA DE CALLE BLUSA</v>
          </cell>
          <cell r="C382" t="str">
            <v>blusa</v>
          </cell>
          <cell r="D382" t="str">
            <v>Unidad</v>
          </cell>
          <cell r="E382" t="str">
            <v>I2024014734</v>
          </cell>
          <cell r="F382" t="str">
            <v>0</v>
          </cell>
          <cell r="G382">
            <v>54600</v>
          </cell>
          <cell r="H382">
            <v>54600</v>
          </cell>
          <cell r="I382">
            <v>54600</v>
          </cell>
          <cell r="J382">
            <v>54600</v>
          </cell>
          <cell r="K382">
            <v>54600</v>
          </cell>
          <cell r="L382">
            <v>54600</v>
          </cell>
          <cell r="M382">
            <v>54600</v>
          </cell>
          <cell r="N382">
            <v>54600</v>
          </cell>
          <cell r="O382">
            <v>54600</v>
          </cell>
          <cell r="P382">
            <v>54600</v>
          </cell>
          <cell r="Q382">
            <v>54600</v>
          </cell>
          <cell r="R382">
            <v>54600</v>
          </cell>
          <cell r="S382">
            <v>54600</v>
          </cell>
          <cell r="T382">
            <v>54600</v>
          </cell>
          <cell r="U382">
            <v>54600</v>
          </cell>
          <cell r="V382">
            <v>0</v>
          </cell>
          <cell r="W382">
            <v>0</v>
          </cell>
        </row>
        <row r="383">
          <cell r="B383" t="str">
            <v>ROPA DE CALLE CAMISETA DAMA</v>
          </cell>
          <cell r="C383" t="str">
            <v>camiseta</v>
          </cell>
          <cell r="D383" t="str">
            <v>UNIDAD</v>
          </cell>
          <cell r="E383" t="str">
            <v>I2023004856</v>
          </cell>
          <cell r="F383">
            <v>44974</v>
          </cell>
          <cell r="G383">
            <v>26063</v>
          </cell>
          <cell r="H383">
            <v>26336</v>
          </cell>
          <cell r="I383">
            <v>26541</v>
          </cell>
          <cell r="J383">
            <v>26655</v>
          </cell>
          <cell r="K383">
            <v>26734</v>
          </cell>
          <cell r="L383">
            <v>26867</v>
          </cell>
          <cell r="M383">
            <v>27055</v>
          </cell>
          <cell r="N383">
            <v>27201</v>
          </cell>
          <cell r="O383">
            <v>27269</v>
          </cell>
          <cell r="P383">
            <v>27397</v>
          </cell>
          <cell r="Q383">
            <v>27520</v>
          </cell>
          <cell r="R383">
            <v>27773</v>
          </cell>
          <cell r="S383">
            <v>28075</v>
          </cell>
          <cell r="T383">
            <v>28271</v>
          </cell>
          <cell r="U383">
            <v>28437</v>
          </cell>
          <cell r="V383">
            <v>2374</v>
          </cell>
          <cell r="W383">
            <v>9.1086981544718573E-2</v>
          </cell>
        </row>
        <row r="384">
          <cell r="B384" t="str">
            <v>ROPA DE CALLE FALDA O PANTALÓN</v>
          </cell>
          <cell r="C384" t="str">
            <v>Pantalon Jean</v>
          </cell>
          <cell r="D384" t="str">
            <v>Unidad</v>
          </cell>
          <cell r="E384" t="str">
            <v>I2024014734</v>
          </cell>
          <cell r="F384" t="str">
            <v>0</v>
          </cell>
          <cell r="G384">
            <v>101833</v>
          </cell>
          <cell r="H384">
            <v>101833</v>
          </cell>
          <cell r="I384">
            <v>101833</v>
          </cell>
          <cell r="J384">
            <v>101833</v>
          </cell>
          <cell r="K384">
            <v>101833</v>
          </cell>
          <cell r="L384">
            <v>101833</v>
          </cell>
          <cell r="M384">
            <v>101833</v>
          </cell>
          <cell r="N384">
            <v>101833</v>
          </cell>
          <cell r="O384">
            <v>101833</v>
          </cell>
          <cell r="P384">
            <v>101833</v>
          </cell>
          <cell r="Q384">
            <v>101833</v>
          </cell>
          <cell r="R384">
            <v>101833</v>
          </cell>
          <cell r="S384">
            <v>101833</v>
          </cell>
          <cell r="T384">
            <v>101833</v>
          </cell>
          <cell r="U384">
            <v>101833</v>
          </cell>
          <cell r="V384">
            <v>0</v>
          </cell>
          <cell r="W384">
            <v>0</v>
          </cell>
        </row>
        <row r="385">
          <cell r="B385" t="str">
            <v>ROPA DE CALLE LEGGINS</v>
          </cell>
          <cell r="C385" t="str">
            <v>Pantalon Leggins</v>
          </cell>
          <cell r="D385" t="str">
            <v>Unidad</v>
          </cell>
          <cell r="E385" t="str">
            <v>I2024014734</v>
          </cell>
          <cell r="F385" t="str">
            <v>0</v>
          </cell>
          <cell r="G385">
            <v>88345</v>
          </cell>
          <cell r="H385">
            <v>88345</v>
          </cell>
          <cell r="I385">
            <v>88345</v>
          </cell>
          <cell r="J385">
            <v>88345</v>
          </cell>
          <cell r="K385">
            <v>88345</v>
          </cell>
          <cell r="L385">
            <v>88345</v>
          </cell>
          <cell r="M385">
            <v>88345</v>
          </cell>
          <cell r="N385">
            <v>88345</v>
          </cell>
          <cell r="O385">
            <v>88345</v>
          </cell>
          <cell r="P385">
            <v>88345</v>
          </cell>
          <cell r="Q385">
            <v>88345</v>
          </cell>
          <cell r="R385">
            <v>88345</v>
          </cell>
          <cell r="S385">
            <v>88345</v>
          </cell>
          <cell r="T385">
            <v>88345</v>
          </cell>
          <cell r="U385">
            <v>88345</v>
          </cell>
          <cell r="V385">
            <v>0</v>
          </cell>
          <cell r="W385">
            <v>0</v>
          </cell>
        </row>
        <row r="386">
          <cell r="B386" t="str">
            <v>SUDADERA MUJER</v>
          </cell>
          <cell r="C386" t="str">
            <v xml:space="preserve"> (1) sudadera con chaqueta y pantalón con pretina elástica (caucho en la cintura), sin cordón, con bolsillos</v>
          </cell>
          <cell r="D386" t="str">
            <v>Unidad</v>
          </cell>
          <cell r="E386" t="str">
            <v>I2023004856</v>
          </cell>
          <cell r="F386">
            <v>44974</v>
          </cell>
          <cell r="G386">
            <v>134119</v>
          </cell>
          <cell r="H386">
            <v>135527</v>
          </cell>
          <cell r="I386">
            <v>136584</v>
          </cell>
          <cell r="J386">
            <v>137171</v>
          </cell>
          <cell r="K386">
            <v>137582</v>
          </cell>
          <cell r="L386">
            <v>138269</v>
          </cell>
          <cell r="M386">
            <v>139236</v>
          </cell>
          <cell r="N386">
            <v>139987</v>
          </cell>
          <cell r="O386">
            <v>140336</v>
          </cell>
          <cell r="P386">
            <v>140995</v>
          </cell>
          <cell r="Q386">
            <v>141629</v>
          </cell>
          <cell r="R386">
            <v>142931</v>
          </cell>
          <cell r="S386">
            <v>144488</v>
          </cell>
          <cell r="T386">
            <v>145499</v>
          </cell>
          <cell r="U386">
            <v>146357</v>
          </cell>
          <cell r="V386">
            <v>12238</v>
          </cell>
          <cell r="W386">
            <v>9.124732513663239E-2</v>
          </cell>
        </row>
        <row r="387">
          <cell r="B387" t="str">
            <v>ROPA DE CALLE CAMISA</v>
          </cell>
          <cell r="C387" t="str">
            <v>camisa</v>
          </cell>
          <cell r="D387" t="str">
            <v>Unidad</v>
          </cell>
          <cell r="E387" t="str">
            <v>I2024014734</v>
          </cell>
          <cell r="F387" t="str">
            <v>0</v>
          </cell>
          <cell r="G387">
            <v>67400</v>
          </cell>
          <cell r="H387">
            <v>67400</v>
          </cell>
          <cell r="I387">
            <v>67400</v>
          </cell>
          <cell r="J387">
            <v>67400</v>
          </cell>
          <cell r="K387">
            <v>67400</v>
          </cell>
          <cell r="L387">
            <v>67400</v>
          </cell>
          <cell r="M387">
            <v>67400</v>
          </cell>
          <cell r="N387">
            <v>67400</v>
          </cell>
          <cell r="O387">
            <v>67400</v>
          </cell>
          <cell r="P387">
            <v>67400</v>
          </cell>
          <cell r="Q387">
            <v>67400</v>
          </cell>
          <cell r="R387">
            <v>67400</v>
          </cell>
          <cell r="S387">
            <v>67400</v>
          </cell>
          <cell r="T387">
            <v>67400</v>
          </cell>
          <cell r="U387">
            <v>67400</v>
          </cell>
          <cell r="V387">
            <v>0</v>
          </cell>
          <cell r="W387">
            <v>0</v>
          </cell>
        </row>
        <row r="388">
          <cell r="B388" t="str">
            <v>ROPA DE CALLE CAMISETA HOMBRE</v>
          </cell>
          <cell r="C388" t="str">
            <v>camiseta</v>
          </cell>
          <cell r="D388" t="str">
            <v>Unidad</v>
          </cell>
          <cell r="E388" t="str">
            <v>I2023004856</v>
          </cell>
          <cell r="F388">
            <v>44974</v>
          </cell>
          <cell r="G388">
            <v>26063</v>
          </cell>
          <cell r="H388">
            <v>26336</v>
          </cell>
          <cell r="I388">
            <v>26541</v>
          </cell>
          <cell r="J388">
            <v>26655</v>
          </cell>
          <cell r="K388">
            <v>26734</v>
          </cell>
          <cell r="L388">
            <v>26867</v>
          </cell>
          <cell r="M388">
            <v>27055</v>
          </cell>
          <cell r="N388">
            <v>27201</v>
          </cell>
          <cell r="O388">
            <v>27269</v>
          </cell>
          <cell r="P388">
            <v>27397</v>
          </cell>
          <cell r="Q388">
            <v>27520</v>
          </cell>
          <cell r="R388">
            <v>27773</v>
          </cell>
          <cell r="S388">
            <v>28075</v>
          </cell>
          <cell r="T388">
            <v>28271</v>
          </cell>
          <cell r="U388">
            <v>28437</v>
          </cell>
          <cell r="V388">
            <v>2374</v>
          </cell>
          <cell r="W388">
            <v>9.1086981544718573E-2</v>
          </cell>
        </row>
        <row r="389">
          <cell r="B389" t="str">
            <v>ROPA DE CALLE DRIL</v>
          </cell>
          <cell r="C389" t="str">
            <v>pantalon Dril</v>
          </cell>
          <cell r="D389" t="str">
            <v>Unidad</v>
          </cell>
          <cell r="E389" t="str">
            <v>I2024014734</v>
          </cell>
          <cell r="F389" t="str">
            <v>0</v>
          </cell>
          <cell r="G389">
            <v>91594</v>
          </cell>
          <cell r="H389">
            <v>91594</v>
          </cell>
          <cell r="I389">
            <v>91594</v>
          </cell>
          <cell r="J389">
            <v>91594</v>
          </cell>
          <cell r="K389">
            <v>91594</v>
          </cell>
          <cell r="L389">
            <v>91594</v>
          </cell>
          <cell r="M389">
            <v>91594</v>
          </cell>
          <cell r="N389">
            <v>91594</v>
          </cell>
          <cell r="O389">
            <v>91594</v>
          </cell>
          <cell r="P389">
            <v>91594</v>
          </cell>
          <cell r="Q389">
            <v>91594</v>
          </cell>
          <cell r="R389">
            <v>91594</v>
          </cell>
          <cell r="S389">
            <v>91594</v>
          </cell>
          <cell r="T389">
            <v>91594</v>
          </cell>
          <cell r="U389">
            <v>91594</v>
          </cell>
          <cell r="V389">
            <v>0</v>
          </cell>
          <cell r="W389">
            <v>0</v>
          </cell>
        </row>
        <row r="390">
          <cell r="B390" t="str">
            <v>ROPA DE CALLE JEAN</v>
          </cell>
          <cell r="C390" t="str">
            <v>Pantalon Jean</v>
          </cell>
          <cell r="D390" t="str">
            <v>Unidad</v>
          </cell>
          <cell r="E390" t="str">
            <v>I2024014734</v>
          </cell>
          <cell r="F390" t="str">
            <v>0</v>
          </cell>
          <cell r="G390">
            <v>91594</v>
          </cell>
          <cell r="H390">
            <v>91594</v>
          </cell>
          <cell r="I390">
            <v>91594</v>
          </cell>
          <cell r="J390">
            <v>91594</v>
          </cell>
          <cell r="K390">
            <v>91594</v>
          </cell>
          <cell r="L390">
            <v>91594</v>
          </cell>
          <cell r="M390">
            <v>91594</v>
          </cell>
          <cell r="N390">
            <v>91594</v>
          </cell>
          <cell r="O390">
            <v>91594</v>
          </cell>
          <cell r="P390">
            <v>91594</v>
          </cell>
          <cell r="Q390">
            <v>91594</v>
          </cell>
          <cell r="R390">
            <v>91594</v>
          </cell>
          <cell r="S390">
            <v>91594</v>
          </cell>
          <cell r="T390">
            <v>91594</v>
          </cell>
          <cell r="U390">
            <v>91594</v>
          </cell>
          <cell r="V390">
            <v>0</v>
          </cell>
          <cell r="W390">
            <v>0</v>
          </cell>
        </row>
        <row r="391">
          <cell r="B391" t="str">
            <v>SUDADERA HOMBRE</v>
          </cell>
          <cell r="C391" t="str">
            <v xml:space="preserve"> (1) sudadera con chaqueta y pantalón con pretina elástica (caucho en la cintura), sin cordón, con bolsillos</v>
          </cell>
          <cell r="D391" t="str">
            <v>Unidad</v>
          </cell>
          <cell r="E391" t="str">
            <v>I2023004856</v>
          </cell>
          <cell r="F391">
            <v>44974</v>
          </cell>
          <cell r="G391">
            <v>134119</v>
          </cell>
          <cell r="H391">
            <v>135527</v>
          </cell>
          <cell r="I391">
            <v>136584</v>
          </cell>
          <cell r="J391">
            <v>137171</v>
          </cell>
          <cell r="K391">
            <v>137582</v>
          </cell>
          <cell r="L391">
            <v>138269</v>
          </cell>
          <cell r="M391">
            <v>139236</v>
          </cell>
          <cell r="N391">
            <v>139987</v>
          </cell>
          <cell r="O391">
            <v>140336</v>
          </cell>
          <cell r="P391">
            <v>140995</v>
          </cell>
          <cell r="Q391">
            <v>141629</v>
          </cell>
          <cell r="R391">
            <v>142931</v>
          </cell>
          <cell r="S391">
            <v>144488</v>
          </cell>
          <cell r="T391">
            <v>145499</v>
          </cell>
          <cell r="U391">
            <v>146357</v>
          </cell>
          <cell r="V391">
            <v>12238</v>
          </cell>
          <cell r="W391">
            <v>9.124732513663239E-2</v>
          </cell>
        </row>
        <row r="392">
          <cell r="B392" t="str">
            <v>ROPA PARA ACTIVIDAD DEPORTIVA PANTALONETA</v>
          </cell>
          <cell r="C392" t="str">
            <v>una (1) pantaloneta  para hombres y mujeres</v>
          </cell>
          <cell r="D392" t="str">
            <v>Unidad</v>
          </cell>
          <cell r="E392" t="str">
            <v>I2023019873</v>
          </cell>
          <cell r="F392">
            <v>45117</v>
          </cell>
          <cell r="G392">
            <v>54892</v>
          </cell>
          <cell r="H392">
            <v>54892</v>
          </cell>
          <cell r="I392">
            <v>54892</v>
          </cell>
          <cell r="J392">
            <v>54892</v>
          </cell>
          <cell r="K392">
            <v>54892</v>
          </cell>
          <cell r="L392">
            <v>54892</v>
          </cell>
          <cell r="M392">
            <v>55276</v>
          </cell>
          <cell r="N392">
            <v>55574</v>
          </cell>
          <cell r="O392">
            <v>55712</v>
          </cell>
          <cell r="P392">
            <v>55973</v>
          </cell>
          <cell r="Q392">
            <v>56224</v>
          </cell>
          <cell r="R392">
            <v>56741</v>
          </cell>
          <cell r="S392">
            <v>57359</v>
          </cell>
          <cell r="T392">
            <v>57760</v>
          </cell>
          <cell r="U392">
            <v>58100</v>
          </cell>
          <cell r="V392">
            <v>3208</v>
          </cell>
          <cell r="W392">
            <v>5.8442031625737814E-2</v>
          </cell>
        </row>
        <row r="393">
          <cell r="B393" t="str">
            <v>ROPA PARA ACTIVIDAD DEPORTIVA CAMISETA</v>
          </cell>
          <cell r="C393" t="str">
            <v>una (1) camiseta para hombres y mujeres</v>
          </cell>
          <cell r="D393" t="str">
            <v>Unidad</v>
          </cell>
          <cell r="E393" t="str">
            <v>I2023004856</v>
          </cell>
          <cell r="F393">
            <v>44974</v>
          </cell>
          <cell r="G393">
            <v>26063</v>
          </cell>
          <cell r="H393">
            <v>26336</v>
          </cell>
          <cell r="I393">
            <v>26541</v>
          </cell>
          <cell r="J393">
            <v>26655</v>
          </cell>
          <cell r="K393">
            <v>26734</v>
          </cell>
          <cell r="L393">
            <v>26867</v>
          </cell>
          <cell r="M393">
            <v>27055</v>
          </cell>
          <cell r="N393">
            <v>27201</v>
          </cell>
          <cell r="O393">
            <v>27269</v>
          </cell>
          <cell r="P393">
            <v>27397</v>
          </cell>
          <cell r="Q393">
            <v>27520</v>
          </cell>
          <cell r="R393">
            <v>27773</v>
          </cell>
          <cell r="S393">
            <v>28075</v>
          </cell>
          <cell r="T393">
            <v>28271</v>
          </cell>
          <cell r="U393">
            <v>28437</v>
          </cell>
          <cell r="V393">
            <v>2374</v>
          </cell>
          <cell r="W393">
            <v>9.1086981544718573E-2</v>
          </cell>
        </row>
        <row r="394">
          <cell r="B394" t="str">
            <v>BABERO PARA ADULTO</v>
          </cell>
          <cell r="C394" t="str">
            <v>Babero reusable, suave tejido de poliéster elástico sin rizo que evite la acumulación de residuos de alimento. En el reverso tejido de uretano impermeable, las dos caras son hidrófugas, lo cual
impide que se humedezca.</v>
          </cell>
          <cell r="D394" t="str">
            <v>Unidad</v>
          </cell>
          <cell r="E394" t="str">
            <v>I2023019873</v>
          </cell>
          <cell r="F394">
            <v>45117</v>
          </cell>
          <cell r="G394">
            <v>44774</v>
          </cell>
          <cell r="H394">
            <v>44774</v>
          </cell>
          <cell r="I394">
            <v>44774</v>
          </cell>
          <cell r="J394">
            <v>44774</v>
          </cell>
          <cell r="K394">
            <v>44774</v>
          </cell>
          <cell r="L394">
            <v>44774</v>
          </cell>
          <cell r="M394">
            <v>45087</v>
          </cell>
          <cell r="N394">
            <v>45330</v>
          </cell>
          <cell r="O394">
            <v>45443</v>
          </cell>
          <cell r="P394">
            <v>45656</v>
          </cell>
          <cell r="Q394">
            <v>45861</v>
          </cell>
          <cell r="R394">
            <v>46282</v>
          </cell>
          <cell r="S394">
            <v>46786</v>
          </cell>
          <cell r="T394">
            <v>47113</v>
          </cell>
          <cell r="U394">
            <v>47390</v>
          </cell>
          <cell r="V394">
            <v>2616</v>
          </cell>
          <cell r="W394">
            <v>5.8426765533568591E-2</v>
          </cell>
        </row>
        <row r="395">
          <cell r="B395" t="str">
            <v>TRAJE DE BAÑO:  MUJER - PARA EL CASO DE QUE EL SERVICIO SE PRESTE EN CLIMA CÁLIDO</v>
          </cell>
          <cell r="C395" t="str">
            <v>Para mujeres: traje enterizo y elástico</v>
          </cell>
          <cell r="D395" t="str">
            <v>Unidad</v>
          </cell>
          <cell r="E395" t="str">
            <v>I2023004856</v>
          </cell>
          <cell r="F395">
            <v>44974</v>
          </cell>
          <cell r="G395">
            <v>95914</v>
          </cell>
          <cell r="H395">
            <v>96921</v>
          </cell>
          <cell r="I395">
            <v>97676</v>
          </cell>
          <cell r="J395">
            <v>98096</v>
          </cell>
          <cell r="K395">
            <v>98390</v>
          </cell>
          <cell r="L395">
            <v>98881</v>
          </cell>
          <cell r="M395">
            <v>99573</v>
          </cell>
          <cell r="N395">
            <v>100110</v>
          </cell>
          <cell r="O395">
            <v>100360</v>
          </cell>
          <cell r="P395">
            <v>100831</v>
          </cell>
          <cell r="Q395">
            <v>101284</v>
          </cell>
          <cell r="R395">
            <v>102215</v>
          </cell>
          <cell r="S395">
            <v>103329</v>
          </cell>
          <cell r="T395">
            <v>104052</v>
          </cell>
          <cell r="U395">
            <v>104665</v>
          </cell>
          <cell r="V395">
            <v>8751</v>
          </cell>
          <cell r="W395">
            <v>9.1237984027357846E-2</v>
          </cell>
        </row>
        <row r="396">
          <cell r="B396" t="str">
            <v>TRAJE DE BAÑO: HOMBRE - PARA EL CASO DE QUE EL SERVICIO SE PRESTE EN CLIMA CÁLIDO</v>
          </cell>
          <cell r="C396" t="str">
            <v>Para hombres: pantaloneta de baño</v>
          </cell>
          <cell r="D396" t="str">
            <v>Unidad</v>
          </cell>
          <cell r="E396" t="str">
            <v>I2023004856</v>
          </cell>
          <cell r="F396">
            <v>44974</v>
          </cell>
          <cell r="G396">
            <v>54892</v>
          </cell>
          <cell r="H396">
            <v>55468</v>
          </cell>
          <cell r="I396">
            <v>55900</v>
          </cell>
          <cell r="J396">
            <v>56140</v>
          </cell>
          <cell r="K396">
            <v>56308</v>
          </cell>
          <cell r="L396">
            <v>56589</v>
          </cell>
          <cell r="M396">
            <v>56985</v>
          </cell>
          <cell r="N396">
            <v>57292</v>
          </cell>
          <cell r="O396">
            <v>57435</v>
          </cell>
          <cell r="P396">
            <v>57704</v>
          </cell>
          <cell r="Q396">
            <v>57963</v>
          </cell>
          <cell r="R396">
            <v>58496</v>
          </cell>
          <cell r="S396">
            <v>59133</v>
          </cell>
          <cell r="T396">
            <v>59546</v>
          </cell>
          <cell r="U396">
            <v>59897</v>
          </cell>
          <cell r="V396">
            <v>5005</v>
          </cell>
          <cell r="W396">
            <v>9.1179042483421999E-2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persons/person.xml><?xml version="1.0" encoding="utf-8"?>
<personList xmlns="http://schemas.microsoft.com/office/spreadsheetml/2018/threadedcomments" xmlns:x="http://schemas.openxmlformats.org/spreadsheetml/2006/main">
  <person displayName="Luis Octavio Lara Tello" id="{E3053AB9-2DFF-4756-B879-C62F1EA803E5}" userId="S::lolarat@sdis.gov.co::8545a624-6476-4d55-87ed-531a3347dea5"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W1" dT="2024-05-26T03:24:44.45" personId="{E3053AB9-2DFF-4756-B879-C62F1EA803E5}" id="{DDDF002B-7217-48FB-8D34-F901625E6C62}">
    <text xml:space="preserve">Se suman solamente los IPC 2023 Resaltados en verde
</text>
  </threadedComment>
</ThreadedComments>
</file>

<file path=xl/worksheets/_rels/sheet1.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31"/>
  <sheetViews>
    <sheetView workbookViewId="0">
      <selection activeCell="B23" sqref="B23"/>
    </sheetView>
  </sheetViews>
  <sheetFormatPr defaultColWidth="11.42578125" defaultRowHeight="15"/>
  <cols>
    <col min="1" max="1" width="16.42578125" customWidth="1"/>
    <col min="2" max="2" width="34" customWidth="1"/>
    <col min="3" max="3" width="15.42578125" customWidth="1"/>
    <col min="21" max="21" width="0" hidden="1" customWidth="1"/>
    <col min="23" max="23" width="8.85546875" customWidth="1"/>
    <col min="24" max="24" width="10.42578125" customWidth="1"/>
    <col min="25" max="25" width="9.85546875" customWidth="1"/>
    <col min="26" max="26" width="12.140625" customWidth="1"/>
  </cols>
  <sheetData>
    <row r="1" spans="1:26">
      <c r="A1" s="72" t="s">
        <v>0</v>
      </c>
      <c r="B1" s="72" t="s">
        <v>1</v>
      </c>
      <c r="C1" s="107" t="s">
        <v>2</v>
      </c>
      <c r="D1" s="266" t="s">
        <v>3</v>
      </c>
      <c r="E1" s="267" t="s">
        <v>4</v>
      </c>
      <c r="F1" s="266" t="s">
        <v>5</v>
      </c>
      <c r="G1" s="267" t="s">
        <v>6</v>
      </c>
      <c r="H1" s="266" t="s">
        <v>7</v>
      </c>
      <c r="I1" s="267" t="s">
        <v>8</v>
      </c>
      <c r="J1" s="266" t="s">
        <v>9</v>
      </c>
      <c r="K1" s="267" t="s">
        <v>10</v>
      </c>
      <c r="L1" s="266" t="s">
        <v>11</v>
      </c>
      <c r="M1" s="267" t="s">
        <v>12</v>
      </c>
      <c r="N1" s="266" t="s">
        <v>13</v>
      </c>
      <c r="O1" s="267" t="s">
        <v>14</v>
      </c>
      <c r="P1" s="267" t="s">
        <v>15</v>
      </c>
      <c r="Q1" s="266" t="s">
        <v>16</v>
      </c>
      <c r="R1" s="267" t="s">
        <v>17</v>
      </c>
      <c r="S1" s="266" t="s">
        <v>18</v>
      </c>
      <c r="T1" s="267" t="s">
        <v>19</v>
      </c>
      <c r="U1" s="266" t="s">
        <v>20</v>
      </c>
      <c r="V1" s="267" t="s">
        <v>21</v>
      </c>
      <c r="W1" s="267" t="s">
        <v>22</v>
      </c>
      <c r="X1" s="266" t="s">
        <v>23</v>
      </c>
      <c r="Y1" s="267" t="s">
        <v>24</v>
      </c>
      <c r="Z1" s="266" t="s">
        <v>25</v>
      </c>
    </row>
    <row r="2" spans="1:26">
      <c r="A2" s="72" t="s">
        <v>26</v>
      </c>
      <c r="B2" s="72" t="s">
        <v>27</v>
      </c>
      <c r="C2" s="111">
        <v>44939</v>
      </c>
      <c r="D2" s="268">
        <v>1.78</v>
      </c>
      <c r="E2" s="269">
        <v>1.66</v>
      </c>
      <c r="F2" s="269">
        <v>1.05</v>
      </c>
      <c r="G2" s="269">
        <v>0.78</v>
      </c>
      <c r="H2" s="269">
        <v>0.43</v>
      </c>
      <c r="I2" s="269">
        <v>0.3</v>
      </c>
      <c r="J2" s="269">
        <v>0.5</v>
      </c>
      <c r="K2" s="269">
        <v>0.7</v>
      </c>
      <c r="L2" s="269">
        <v>0.54</v>
      </c>
      <c r="M2" s="269">
        <v>0.25</v>
      </c>
      <c r="N2" s="269">
        <v>0.47</v>
      </c>
      <c r="O2" s="269">
        <v>0.45</v>
      </c>
      <c r="P2" s="270">
        <v>9.2799999999999994</v>
      </c>
      <c r="Q2" s="109">
        <v>0.92</v>
      </c>
      <c r="R2" s="271">
        <v>1.0900000000000001</v>
      </c>
      <c r="S2" s="271">
        <v>0.7</v>
      </c>
      <c r="T2" s="271">
        <v>0.59</v>
      </c>
      <c r="U2" s="72"/>
      <c r="V2" s="110">
        <f>Q2+R2+S2+T2</f>
        <v>3.3</v>
      </c>
      <c r="W2" s="112">
        <f>SUM(E2:O2)</f>
        <v>7.1300000000000008</v>
      </c>
      <c r="X2" s="112">
        <f t="shared" ref="X2:X20" si="0">SUM(Q2:U2)</f>
        <v>3.3</v>
      </c>
      <c r="Y2" s="112">
        <f>W2+X2</f>
        <v>10.43</v>
      </c>
      <c r="Z2" s="113">
        <f t="shared" ref="Z2:Z20" si="1">IF(Y2&gt;P2,P2,Y2)</f>
        <v>9.2799999999999994</v>
      </c>
    </row>
    <row r="3" spans="1:26">
      <c r="A3" s="72" t="s">
        <v>28</v>
      </c>
      <c r="B3" s="72" t="s">
        <v>29</v>
      </c>
      <c r="C3" s="111">
        <v>44939</v>
      </c>
      <c r="D3" s="272">
        <v>1.78</v>
      </c>
      <c r="E3" s="269">
        <v>1.66</v>
      </c>
      <c r="F3" s="269">
        <v>1.05</v>
      </c>
      <c r="G3" s="269">
        <v>0.78</v>
      </c>
      <c r="H3" s="269">
        <v>0.43</v>
      </c>
      <c r="I3" s="269">
        <v>0.3</v>
      </c>
      <c r="J3" s="269">
        <v>0.5</v>
      </c>
      <c r="K3" s="269">
        <v>0.7</v>
      </c>
      <c r="L3" s="269">
        <v>0.54</v>
      </c>
      <c r="M3" s="269">
        <v>0.25</v>
      </c>
      <c r="N3" s="269">
        <v>0.47</v>
      </c>
      <c r="O3" s="269">
        <v>0.45</v>
      </c>
      <c r="P3" s="270">
        <v>9.2799999999999994</v>
      </c>
      <c r="Q3" s="109">
        <v>0.92</v>
      </c>
      <c r="R3" s="271">
        <v>1.0900000000000001</v>
      </c>
      <c r="S3" s="271">
        <v>0.7</v>
      </c>
      <c r="T3" s="271">
        <v>0.59</v>
      </c>
      <c r="U3" s="72"/>
      <c r="V3" s="110">
        <f t="shared" ref="V3:V20" si="2">Q3+R3+S3+T3</f>
        <v>3.3</v>
      </c>
      <c r="W3" s="112">
        <f>SUM(E3:O3)</f>
        <v>7.1300000000000008</v>
      </c>
      <c r="X3" s="112">
        <f t="shared" si="0"/>
        <v>3.3</v>
      </c>
      <c r="Y3" s="112">
        <f>W3+X3</f>
        <v>10.43</v>
      </c>
      <c r="Z3" s="113">
        <f t="shared" si="1"/>
        <v>9.2799999999999994</v>
      </c>
    </row>
    <row r="4" spans="1:26">
      <c r="A4" s="72" t="s">
        <v>30</v>
      </c>
      <c r="B4" s="72" t="s">
        <v>31</v>
      </c>
      <c r="C4" s="111">
        <v>44939</v>
      </c>
      <c r="D4" s="272">
        <v>1.78</v>
      </c>
      <c r="E4" s="269">
        <v>1.66</v>
      </c>
      <c r="F4" s="269">
        <v>1.05</v>
      </c>
      <c r="G4" s="269">
        <v>0.78</v>
      </c>
      <c r="H4" s="269">
        <v>0.43</v>
      </c>
      <c r="I4" s="269">
        <v>0.3</v>
      </c>
      <c r="J4" s="269">
        <v>0.5</v>
      </c>
      <c r="K4" s="269">
        <v>0.7</v>
      </c>
      <c r="L4" s="269">
        <v>0.54</v>
      </c>
      <c r="M4" s="269">
        <v>0.25</v>
      </c>
      <c r="N4" s="269">
        <v>0.47</v>
      </c>
      <c r="O4" s="269">
        <v>0.45</v>
      </c>
      <c r="P4" s="270">
        <v>9.2799999999999994</v>
      </c>
      <c r="Q4" s="109">
        <v>0.92</v>
      </c>
      <c r="R4" s="271">
        <v>1.0900000000000001</v>
      </c>
      <c r="S4" s="271">
        <v>0.7</v>
      </c>
      <c r="T4" s="271">
        <v>0.59</v>
      </c>
      <c r="U4" s="72"/>
      <c r="V4" s="110">
        <f t="shared" si="2"/>
        <v>3.3</v>
      </c>
      <c r="W4" s="112">
        <f>SUM(E4:O4)</f>
        <v>7.1300000000000008</v>
      </c>
      <c r="X4" s="112">
        <f t="shared" si="0"/>
        <v>3.3</v>
      </c>
      <c r="Y4" s="112">
        <f>W4+X4</f>
        <v>10.43</v>
      </c>
      <c r="Z4" s="113">
        <f t="shared" si="1"/>
        <v>9.2799999999999994</v>
      </c>
    </row>
    <row r="5" spans="1:26">
      <c r="A5" s="72" t="s">
        <v>32</v>
      </c>
      <c r="B5" s="72" t="s">
        <v>33</v>
      </c>
      <c r="C5" s="111">
        <v>44940</v>
      </c>
      <c r="D5" s="272">
        <v>1.78</v>
      </c>
      <c r="E5" s="269">
        <v>1.66</v>
      </c>
      <c r="F5" s="269">
        <v>1.05</v>
      </c>
      <c r="G5" s="269">
        <v>0.78</v>
      </c>
      <c r="H5" s="269">
        <v>0.43</v>
      </c>
      <c r="I5" s="269">
        <v>0.3</v>
      </c>
      <c r="J5" s="269">
        <v>0.5</v>
      </c>
      <c r="K5" s="269">
        <v>0.7</v>
      </c>
      <c r="L5" s="269">
        <v>0.54</v>
      </c>
      <c r="M5" s="269">
        <v>0.25</v>
      </c>
      <c r="N5" s="269">
        <v>0.47</v>
      </c>
      <c r="O5" s="269">
        <v>0.45</v>
      </c>
      <c r="P5" s="270">
        <v>9.2799999999999994</v>
      </c>
      <c r="Q5" s="109">
        <v>0.92</v>
      </c>
      <c r="R5" s="271">
        <v>1.0900000000000001</v>
      </c>
      <c r="S5" s="271">
        <v>0.7</v>
      </c>
      <c r="T5" s="271">
        <v>0.59</v>
      </c>
      <c r="U5" s="72"/>
      <c r="V5" s="110">
        <f t="shared" si="2"/>
        <v>3.3</v>
      </c>
      <c r="W5" s="112">
        <f>SUM(E5:O5)</f>
        <v>7.1300000000000008</v>
      </c>
      <c r="X5" s="112">
        <f t="shared" si="0"/>
        <v>3.3</v>
      </c>
      <c r="Y5" s="112">
        <f>W5+X5</f>
        <v>10.43</v>
      </c>
      <c r="Z5" s="113">
        <f t="shared" si="1"/>
        <v>9.2799999999999994</v>
      </c>
    </row>
    <row r="6" spans="1:26">
      <c r="A6" s="72" t="s">
        <v>34</v>
      </c>
      <c r="B6" s="72" t="s">
        <v>35</v>
      </c>
      <c r="C6" s="111">
        <v>44940</v>
      </c>
      <c r="D6" s="272">
        <v>1.78</v>
      </c>
      <c r="E6" s="269">
        <v>1.66</v>
      </c>
      <c r="F6" s="269">
        <v>1.05</v>
      </c>
      <c r="G6" s="269">
        <v>0.78</v>
      </c>
      <c r="H6" s="269">
        <v>0.43</v>
      </c>
      <c r="I6" s="269">
        <v>0.3</v>
      </c>
      <c r="J6" s="269">
        <v>0.5</v>
      </c>
      <c r="K6" s="269">
        <v>0.7</v>
      </c>
      <c r="L6" s="269">
        <v>0.54</v>
      </c>
      <c r="M6" s="269">
        <v>0.25</v>
      </c>
      <c r="N6" s="269">
        <v>0.47</v>
      </c>
      <c r="O6" s="269">
        <v>0.45</v>
      </c>
      <c r="P6" s="270">
        <v>9.2799999999999994</v>
      </c>
      <c r="Q6" s="109">
        <v>0.92</v>
      </c>
      <c r="R6" s="271">
        <v>1.0900000000000001</v>
      </c>
      <c r="S6" s="271">
        <v>0.7</v>
      </c>
      <c r="T6" s="271">
        <v>0.59</v>
      </c>
      <c r="U6" s="72"/>
      <c r="V6" s="110">
        <f t="shared" si="2"/>
        <v>3.3</v>
      </c>
      <c r="W6" s="112">
        <f>SUM(E6:O6)</f>
        <v>7.1300000000000008</v>
      </c>
      <c r="X6" s="112">
        <f t="shared" si="0"/>
        <v>3.3</v>
      </c>
      <c r="Y6" s="112">
        <f>W6+X6</f>
        <v>10.43</v>
      </c>
      <c r="Z6" s="113">
        <f t="shared" si="1"/>
        <v>9.2799999999999994</v>
      </c>
    </row>
    <row r="7" spans="1:26">
      <c r="A7" s="72" t="s">
        <v>36</v>
      </c>
      <c r="B7" s="72" t="s">
        <v>37</v>
      </c>
      <c r="C7" s="111">
        <v>44974</v>
      </c>
      <c r="D7" s="272">
        <v>1.78</v>
      </c>
      <c r="E7" s="272">
        <v>1.66</v>
      </c>
      <c r="F7" s="269">
        <v>1.05</v>
      </c>
      <c r="G7" s="269">
        <v>0.78</v>
      </c>
      <c r="H7" s="269">
        <v>0.43</v>
      </c>
      <c r="I7" s="269">
        <v>0.3</v>
      </c>
      <c r="J7" s="269">
        <v>0.5</v>
      </c>
      <c r="K7" s="269">
        <v>0.7</v>
      </c>
      <c r="L7" s="269">
        <v>0.54</v>
      </c>
      <c r="M7" s="269">
        <v>0.25</v>
      </c>
      <c r="N7" s="269">
        <v>0.47</v>
      </c>
      <c r="O7" s="269">
        <v>0.45</v>
      </c>
      <c r="P7" s="270">
        <v>9.2799999999999994</v>
      </c>
      <c r="Q7" s="109">
        <v>0.92</v>
      </c>
      <c r="R7" s="271">
        <v>1.0900000000000001</v>
      </c>
      <c r="S7" s="271">
        <v>0.7</v>
      </c>
      <c r="T7" s="271">
        <v>0.59</v>
      </c>
      <c r="U7" s="72"/>
      <c r="V7" s="110">
        <f t="shared" si="2"/>
        <v>3.3</v>
      </c>
      <c r="W7" s="112">
        <f>SUM(F7:O7)</f>
        <v>5.47</v>
      </c>
      <c r="X7" s="112">
        <f t="shared" si="0"/>
        <v>3.3</v>
      </c>
      <c r="Y7" s="112">
        <f t="shared" ref="Y7:Y20" si="3">W7+X7</f>
        <v>8.77</v>
      </c>
      <c r="Z7" s="113">
        <f t="shared" si="1"/>
        <v>8.77</v>
      </c>
    </row>
    <row r="8" spans="1:26">
      <c r="A8" s="72" t="s">
        <v>38</v>
      </c>
      <c r="B8" s="72" t="s">
        <v>39</v>
      </c>
      <c r="C8" s="111">
        <v>45002</v>
      </c>
      <c r="D8" s="272">
        <v>1.78</v>
      </c>
      <c r="E8" s="272">
        <v>1.66</v>
      </c>
      <c r="F8" s="272">
        <v>1.05</v>
      </c>
      <c r="G8" s="269">
        <v>0.78</v>
      </c>
      <c r="H8" s="269">
        <v>0.43</v>
      </c>
      <c r="I8" s="269">
        <v>0.3</v>
      </c>
      <c r="J8" s="269">
        <v>0.5</v>
      </c>
      <c r="K8" s="269">
        <v>0.7</v>
      </c>
      <c r="L8" s="269">
        <v>0.54</v>
      </c>
      <c r="M8" s="269">
        <v>0.25</v>
      </c>
      <c r="N8" s="269">
        <v>0.47</v>
      </c>
      <c r="O8" s="269">
        <v>0.45</v>
      </c>
      <c r="P8" s="270">
        <v>9.2799999999999994</v>
      </c>
      <c r="Q8" s="109">
        <v>0.92</v>
      </c>
      <c r="R8" s="271">
        <v>1.0900000000000001</v>
      </c>
      <c r="S8" s="271">
        <v>0.7</v>
      </c>
      <c r="T8" s="271">
        <v>0.59</v>
      </c>
      <c r="U8" s="72"/>
      <c r="V8" s="110">
        <f t="shared" si="2"/>
        <v>3.3</v>
      </c>
      <c r="W8" s="112">
        <f>SUM(H8:O8)</f>
        <v>3.6399999999999997</v>
      </c>
      <c r="X8" s="112">
        <f t="shared" si="0"/>
        <v>3.3</v>
      </c>
      <c r="Y8" s="112">
        <f t="shared" si="3"/>
        <v>6.9399999999999995</v>
      </c>
      <c r="Z8" s="113">
        <f t="shared" si="1"/>
        <v>6.9399999999999995</v>
      </c>
    </row>
    <row r="9" spans="1:26">
      <c r="A9" s="72" t="s">
        <v>40</v>
      </c>
      <c r="B9" s="72" t="s">
        <v>41</v>
      </c>
      <c r="C9" s="111">
        <v>45030</v>
      </c>
      <c r="D9" s="272">
        <v>1.78</v>
      </c>
      <c r="E9" s="272">
        <v>1.66</v>
      </c>
      <c r="F9" s="272">
        <v>1.05</v>
      </c>
      <c r="G9" s="272">
        <v>0.78</v>
      </c>
      <c r="H9" s="269">
        <v>0.43</v>
      </c>
      <c r="I9" s="269">
        <v>0.3</v>
      </c>
      <c r="J9" s="269">
        <v>0.5</v>
      </c>
      <c r="K9" s="269">
        <v>0.7</v>
      </c>
      <c r="L9" s="269">
        <v>0.54</v>
      </c>
      <c r="M9" s="269">
        <v>0.25</v>
      </c>
      <c r="N9" s="269">
        <v>0.47</v>
      </c>
      <c r="O9" s="269">
        <v>0.45</v>
      </c>
      <c r="P9" s="270">
        <v>9.2799999999999994</v>
      </c>
      <c r="Q9" s="109">
        <v>0.92</v>
      </c>
      <c r="R9" s="271">
        <v>1.0900000000000001</v>
      </c>
      <c r="S9" s="271">
        <v>0.7</v>
      </c>
      <c r="T9" s="271">
        <v>0.59</v>
      </c>
      <c r="U9" s="72"/>
      <c r="V9" s="110">
        <f t="shared" si="2"/>
        <v>3.3</v>
      </c>
      <c r="W9" s="112">
        <f t="shared" ref="W9" si="4">SUM(G9:O9)</f>
        <v>4.42</v>
      </c>
      <c r="X9" s="112">
        <f t="shared" si="0"/>
        <v>3.3</v>
      </c>
      <c r="Y9" s="112">
        <f t="shared" si="3"/>
        <v>7.72</v>
      </c>
      <c r="Z9" s="113">
        <f t="shared" si="1"/>
        <v>7.72</v>
      </c>
    </row>
    <row r="10" spans="1:26">
      <c r="A10" s="72" t="s">
        <v>42</v>
      </c>
      <c r="B10" s="72" t="s">
        <v>43</v>
      </c>
      <c r="C10" s="111">
        <v>45076</v>
      </c>
      <c r="D10" s="272">
        <v>1.78</v>
      </c>
      <c r="E10" s="272">
        <v>1.66</v>
      </c>
      <c r="F10" s="272">
        <v>1.05</v>
      </c>
      <c r="G10" s="272">
        <v>0.78</v>
      </c>
      <c r="H10" s="272">
        <v>0.43</v>
      </c>
      <c r="I10" s="269">
        <v>0.3</v>
      </c>
      <c r="J10" s="269">
        <v>0.5</v>
      </c>
      <c r="K10" s="269">
        <v>0.7</v>
      </c>
      <c r="L10" s="269">
        <v>0.54</v>
      </c>
      <c r="M10" s="269">
        <v>0.25</v>
      </c>
      <c r="N10" s="269">
        <v>0.47</v>
      </c>
      <c r="O10" s="269">
        <v>0.45</v>
      </c>
      <c r="P10" s="270">
        <v>9.2799999999999994</v>
      </c>
      <c r="Q10" s="109">
        <v>0.92</v>
      </c>
      <c r="R10" s="271">
        <v>1.0900000000000001</v>
      </c>
      <c r="S10" s="271">
        <v>0.7</v>
      </c>
      <c r="T10" s="271">
        <v>0.59</v>
      </c>
      <c r="U10" s="72"/>
      <c r="V10" s="110">
        <f t="shared" si="2"/>
        <v>3.3</v>
      </c>
      <c r="W10" s="112">
        <f>SUM(I10:O10)</f>
        <v>3.21</v>
      </c>
      <c r="X10" s="112">
        <f t="shared" si="0"/>
        <v>3.3</v>
      </c>
      <c r="Y10" s="112">
        <f t="shared" si="3"/>
        <v>6.51</v>
      </c>
      <c r="Z10" s="113">
        <f t="shared" si="1"/>
        <v>6.51</v>
      </c>
    </row>
    <row r="11" spans="1:26">
      <c r="A11" s="72" t="s">
        <v>44</v>
      </c>
      <c r="B11" s="72" t="s">
        <v>45</v>
      </c>
      <c r="C11" s="111">
        <v>45100</v>
      </c>
      <c r="D11" s="272">
        <v>1.78</v>
      </c>
      <c r="E11" s="272">
        <v>1.66</v>
      </c>
      <c r="F11" s="272">
        <v>1.05</v>
      </c>
      <c r="G11" s="272">
        <v>0.78</v>
      </c>
      <c r="H11" s="272">
        <v>0.43</v>
      </c>
      <c r="I11" s="272">
        <v>0.3</v>
      </c>
      <c r="J11" s="269">
        <v>0.5</v>
      </c>
      <c r="K11" s="269">
        <v>0.7</v>
      </c>
      <c r="L11" s="269">
        <v>0.54</v>
      </c>
      <c r="M11" s="269">
        <v>0.25</v>
      </c>
      <c r="N11" s="269">
        <v>0.47</v>
      </c>
      <c r="O11" s="269">
        <v>0.45</v>
      </c>
      <c r="P11" s="270">
        <v>9.2799999999999994</v>
      </c>
      <c r="Q11" s="109">
        <v>0.92</v>
      </c>
      <c r="R11" s="271">
        <v>1.0900000000000001</v>
      </c>
      <c r="S11" s="271">
        <v>0.7</v>
      </c>
      <c r="T11" s="271">
        <v>0.59</v>
      </c>
      <c r="U11" s="72"/>
      <c r="V11" s="110">
        <f t="shared" si="2"/>
        <v>3.3</v>
      </c>
      <c r="W11" s="112">
        <f>SUM(J11:O11)</f>
        <v>2.91</v>
      </c>
      <c r="X11" s="112">
        <f t="shared" si="0"/>
        <v>3.3</v>
      </c>
      <c r="Y11" s="112">
        <f t="shared" si="3"/>
        <v>6.21</v>
      </c>
      <c r="Z11" s="113">
        <f t="shared" si="1"/>
        <v>6.21</v>
      </c>
    </row>
    <row r="12" spans="1:26">
      <c r="A12" s="72" t="s">
        <v>46</v>
      </c>
      <c r="B12" s="72" t="s">
        <v>47</v>
      </c>
      <c r="C12" s="111">
        <v>45117</v>
      </c>
      <c r="D12" s="272">
        <v>1.78</v>
      </c>
      <c r="E12" s="272">
        <v>1.66</v>
      </c>
      <c r="F12" s="272">
        <v>1.05</v>
      </c>
      <c r="G12" s="272">
        <v>0.78</v>
      </c>
      <c r="H12" s="272">
        <v>0.43</v>
      </c>
      <c r="I12" s="272">
        <v>0.3</v>
      </c>
      <c r="J12" s="272">
        <v>0.5</v>
      </c>
      <c r="K12" s="269">
        <v>0.7</v>
      </c>
      <c r="L12" s="269">
        <v>0.54</v>
      </c>
      <c r="M12" s="269">
        <v>0.25</v>
      </c>
      <c r="N12" s="269">
        <v>0.47</v>
      </c>
      <c r="O12" s="269">
        <v>0.45</v>
      </c>
      <c r="P12" s="270">
        <v>9.2799999999999994</v>
      </c>
      <c r="Q12" s="109">
        <v>0.92</v>
      </c>
      <c r="R12" s="271">
        <v>1.0900000000000001</v>
      </c>
      <c r="S12" s="271">
        <v>0.7</v>
      </c>
      <c r="T12" s="271">
        <v>0.59</v>
      </c>
      <c r="U12" s="72"/>
      <c r="V12" s="110">
        <f t="shared" si="2"/>
        <v>3.3</v>
      </c>
      <c r="W12" s="112">
        <f>SUM(K12:O12)</f>
        <v>2.41</v>
      </c>
      <c r="X12" s="112">
        <f t="shared" si="0"/>
        <v>3.3</v>
      </c>
      <c r="Y12" s="112">
        <f t="shared" si="3"/>
        <v>5.71</v>
      </c>
      <c r="Z12" s="113">
        <f t="shared" si="1"/>
        <v>5.71</v>
      </c>
    </row>
    <row r="13" spans="1:26">
      <c r="A13" s="72" t="s">
        <v>48</v>
      </c>
      <c r="B13" s="72" t="s">
        <v>49</v>
      </c>
      <c r="C13" s="111">
        <v>45161</v>
      </c>
      <c r="D13" s="272">
        <v>1.78</v>
      </c>
      <c r="E13" s="272">
        <v>1.66</v>
      </c>
      <c r="F13" s="272">
        <v>1.05</v>
      </c>
      <c r="G13" s="272">
        <v>0.78</v>
      </c>
      <c r="H13" s="272">
        <v>0.43</v>
      </c>
      <c r="I13" s="272">
        <v>0.3</v>
      </c>
      <c r="J13" s="272">
        <v>0.5</v>
      </c>
      <c r="K13" s="272">
        <v>0.7</v>
      </c>
      <c r="L13" s="269">
        <v>0.54</v>
      </c>
      <c r="M13" s="269">
        <v>0.25</v>
      </c>
      <c r="N13" s="269">
        <v>0.47</v>
      </c>
      <c r="O13" s="269">
        <v>0.45</v>
      </c>
      <c r="P13" s="270">
        <v>9.2799999999999994</v>
      </c>
      <c r="Q13" s="109">
        <v>0.92</v>
      </c>
      <c r="R13" s="271">
        <v>1.0900000000000001</v>
      </c>
      <c r="S13" s="271">
        <v>0.7</v>
      </c>
      <c r="T13" s="271">
        <v>0.59</v>
      </c>
      <c r="U13" s="72"/>
      <c r="V13" s="110">
        <f t="shared" si="2"/>
        <v>3.3</v>
      </c>
      <c r="W13" s="112">
        <f>SUM(L13:O13)</f>
        <v>1.71</v>
      </c>
      <c r="X13" s="112">
        <f t="shared" si="0"/>
        <v>3.3</v>
      </c>
      <c r="Y13" s="112">
        <f t="shared" si="3"/>
        <v>5.01</v>
      </c>
      <c r="Z13" s="113">
        <f t="shared" si="1"/>
        <v>5.01</v>
      </c>
    </row>
    <row r="14" spans="1:26">
      <c r="A14" s="72" t="s">
        <v>50</v>
      </c>
      <c r="B14" s="72" t="s">
        <v>51</v>
      </c>
      <c r="C14" s="111">
        <v>45182</v>
      </c>
      <c r="D14" s="272">
        <v>1.78</v>
      </c>
      <c r="E14" s="272">
        <v>1.66</v>
      </c>
      <c r="F14" s="272">
        <v>1.05</v>
      </c>
      <c r="G14" s="272">
        <v>0.78</v>
      </c>
      <c r="H14" s="272">
        <v>0.43</v>
      </c>
      <c r="I14" s="272">
        <v>0.3</v>
      </c>
      <c r="J14" s="272">
        <v>0.5</v>
      </c>
      <c r="K14" s="272">
        <v>0.7</v>
      </c>
      <c r="L14" s="272">
        <v>0.54</v>
      </c>
      <c r="M14" s="269">
        <v>0.25</v>
      </c>
      <c r="N14" s="269">
        <v>0.47</v>
      </c>
      <c r="O14" s="269">
        <v>0.45</v>
      </c>
      <c r="P14" s="270">
        <v>9.2799999999999994</v>
      </c>
      <c r="Q14" s="109">
        <v>0.92</v>
      </c>
      <c r="R14" s="271">
        <v>1.0900000000000001</v>
      </c>
      <c r="S14" s="271">
        <v>0.7</v>
      </c>
      <c r="T14" s="271">
        <v>0.59</v>
      </c>
      <c r="U14" s="72"/>
      <c r="V14" s="110">
        <f t="shared" si="2"/>
        <v>3.3</v>
      </c>
      <c r="W14" s="112">
        <f>SUM(M14:O14)</f>
        <v>1.17</v>
      </c>
      <c r="X14" s="112">
        <f t="shared" si="0"/>
        <v>3.3</v>
      </c>
      <c r="Y14" s="112">
        <f t="shared" si="3"/>
        <v>4.47</v>
      </c>
      <c r="Z14" s="113">
        <f t="shared" si="1"/>
        <v>4.47</v>
      </c>
    </row>
    <row r="15" spans="1:26">
      <c r="A15" s="72" t="s">
        <v>52</v>
      </c>
      <c r="B15" s="72" t="s">
        <v>53</v>
      </c>
      <c r="C15" s="111">
        <v>45210</v>
      </c>
      <c r="D15" s="272">
        <v>1.78</v>
      </c>
      <c r="E15" s="272">
        <v>1.66</v>
      </c>
      <c r="F15" s="272">
        <v>1.05</v>
      </c>
      <c r="G15" s="272">
        <v>0.78</v>
      </c>
      <c r="H15" s="272">
        <v>0.43</v>
      </c>
      <c r="I15" s="272">
        <v>0.3</v>
      </c>
      <c r="J15" s="272">
        <v>0.5</v>
      </c>
      <c r="K15" s="272">
        <v>0.7</v>
      </c>
      <c r="L15" s="272">
        <v>0.54</v>
      </c>
      <c r="M15" s="272">
        <v>0.25</v>
      </c>
      <c r="N15" s="269">
        <v>0.47</v>
      </c>
      <c r="O15" s="269">
        <v>0.45</v>
      </c>
      <c r="P15" s="270">
        <v>9.2799999999999994</v>
      </c>
      <c r="Q15" s="109">
        <v>0.92</v>
      </c>
      <c r="R15" s="271">
        <v>1.0900000000000001</v>
      </c>
      <c r="S15" s="271">
        <v>0.7</v>
      </c>
      <c r="T15" s="271">
        <v>0.59</v>
      </c>
      <c r="U15" s="72"/>
      <c r="V15" s="110">
        <f t="shared" si="2"/>
        <v>3.3</v>
      </c>
      <c r="W15" s="112">
        <f>SUM(N15:O15)</f>
        <v>0.91999999999999993</v>
      </c>
      <c r="X15" s="112">
        <f t="shared" si="0"/>
        <v>3.3</v>
      </c>
      <c r="Y15" s="112">
        <f t="shared" si="3"/>
        <v>4.22</v>
      </c>
      <c r="Z15" s="113">
        <f t="shared" si="1"/>
        <v>4.22</v>
      </c>
    </row>
    <row r="16" spans="1:26">
      <c r="A16" s="72" t="s">
        <v>54</v>
      </c>
      <c r="B16" s="72" t="s">
        <v>55</v>
      </c>
      <c r="C16" s="111">
        <v>45210</v>
      </c>
      <c r="D16" s="272">
        <v>1.78</v>
      </c>
      <c r="E16" s="272">
        <v>1.66</v>
      </c>
      <c r="F16" s="272">
        <v>1.05</v>
      </c>
      <c r="G16" s="272">
        <v>0.78</v>
      </c>
      <c r="H16" s="272">
        <v>0.43</v>
      </c>
      <c r="I16" s="272">
        <v>0.3</v>
      </c>
      <c r="J16" s="272">
        <v>0.5</v>
      </c>
      <c r="K16" s="272">
        <v>0.7</v>
      </c>
      <c r="L16" s="272">
        <v>0.54</v>
      </c>
      <c r="M16" s="272">
        <v>0.25</v>
      </c>
      <c r="N16" s="269">
        <v>0.47</v>
      </c>
      <c r="O16" s="269">
        <v>0.45</v>
      </c>
      <c r="P16" s="270">
        <v>9.2799999999999994</v>
      </c>
      <c r="Q16" s="109">
        <v>0.92</v>
      </c>
      <c r="R16" s="271">
        <v>1.0900000000000001</v>
      </c>
      <c r="S16" s="271">
        <v>0.7</v>
      </c>
      <c r="T16" s="271">
        <v>0.59</v>
      </c>
      <c r="U16" s="72"/>
      <c r="V16" s="110">
        <f t="shared" si="2"/>
        <v>3.3</v>
      </c>
      <c r="W16" s="112">
        <f>SUM(N16:O16)</f>
        <v>0.91999999999999993</v>
      </c>
      <c r="X16" s="112">
        <f t="shared" si="0"/>
        <v>3.3</v>
      </c>
      <c r="Y16" s="112">
        <f t="shared" si="3"/>
        <v>4.22</v>
      </c>
      <c r="Z16" s="113">
        <f t="shared" si="1"/>
        <v>4.22</v>
      </c>
    </row>
    <row r="17" spans="1:26">
      <c r="A17" s="72" t="s">
        <v>56</v>
      </c>
      <c r="B17" s="72" t="s">
        <v>57</v>
      </c>
      <c r="C17" s="111">
        <v>45212</v>
      </c>
      <c r="D17" s="272">
        <v>1.78</v>
      </c>
      <c r="E17" s="272">
        <v>1.66</v>
      </c>
      <c r="F17" s="272">
        <v>1.05</v>
      </c>
      <c r="G17" s="272">
        <v>0.78</v>
      </c>
      <c r="H17" s="272">
        <v>0.43</v>
      </c>
      <c r="I17" s="272">
        <v>0.3</v>
      </c>
      <c r="J17" s="272">
        <v>0.5</v>
      </c>
      <c r="K17" s="272">
        <v>0.7</v>
      </c>
      <c r="L17" s="272">
        <v>0.54</v>
      </c>
      <c r="M17" s="272">
        <v>0.25</v>
      </c>
      <c r="N17" s="269">
        <v>0.47</v>
      </c>
      <c r="O17" s="269">
        <v>0.45</v>
      </c>
      <c r="P17" s="270">
        <v>9.2799999999999994</v>
      </c>
      <c r="Q17" s="109">
        <v>0.92</v>
      </c>
      <c r="R17" s="271">
        <v>1.0900000000000001</v>
      </c>
      <c r="S17" s="271">
        <v>0.7</v>
      </c>
      <c r="T17" s="271">
        <v>0.59</v>
      </c>
      <c r="U17" s="72"/>
      <c r="V17" s="110">
        <f t="shared" si="2"/>
        <v>3.3</v>
      </c>
      <c r="W17" s="112">
        <f>SUM(N17:O17)</f>
        <v>0.91999999999999993</v>
      </c>
      <c r="X17" s="112">
        <f t="shared" si="0"/>
        <v>3.3</v>
      </c>
      <c r="Y17" s="112">
        <f t="shared" si="3"/>
        <v>4.22</v>
      </c>
      <c r="Z17" s="113">
        <f t="shared" si="1"/>
        <v>4.22</v>
      </c>
    </row>
    <row r="18" spans="1:26">
      <c r="A18" s="72" t="s">
        <v>58</v>
      </c>
      <c r="B18" s="72" t="s">
        <v>59</v>
      </c>
      <c r="C18" s="111">
        <v>45212</v>
      </c>
      <c r="D18" s="272">
        <v>1.78</v>
      </c>
      <c r="E18" s="272">
        <v>1.66</v>
      </c>
      <c r="F18" s="272">
        <v>1.05</v>
      </c>
      <c r="G18" s="272">
        <v>0.78</v>
      </c>
      <c r="H18" s="272">
        <v>0.43</v>
      </c>
      <c r="I18" s="272">
        <v>0.3</v>
      </c>
      <c r="J18" s="272">
        <v>0.5</v>
      </c>
      <c r="K18" s="272">
        <v>0.7</v>
      </c>
      <c r="L18" s="272">
        <v>0.54</v>
      </c>
      <c r="M18" s="272">
        <v>0.25</v>
      </c>
      <c r="N18" s="269">
        <v>0.47</v>
      </c>
      <c r="O18" s="269">
        <v>0.45</v>
      </c>
      <c r="P18" s="270">
        <v>9.2799999999999994</v>
      </c>
      <c r="Q18" s="109">
        <v>0.92</v>
      </c>
      <c r="R18" s="271">
        <v>1.0900000000000001</v>
      </c>
      <c r="S18" s="271">
        <v>0.7</v>
      </c>
      <c r="T18" s="271">
        <v>0.59</v>
      </c>
      <c r="U18" s="72"/>
      <c r="V18" s="110">
        <f t="shared" si="2"/>
        <v>3.3</v>
      </c>
      <c r="W18" s="112">
        <f t="shared" ref="W18:W20" si="5">SUM(N18:O18)</f>
        <v>0.91999999999999993</v>
      </c>
      <c r="X18" s="112">
        <f t="shared" si="0"/>
        <v>3.3</v>
      </c>
      <c r="Y18" s="112">
        <f t="shared" si="3"/>
        <v>4.22</v>
      </c>
      <c r="Z18" s="113">
        <f t="shared" si="1"/>
        <v>4.22</v>
      </c>
    </row>
    <row r="19" spans="1:26">
      <c r="A19" s="72" t="s">
        <v>60</v>
      </c>
      <c r="B19" s="72" t="s">
        <v>61</v>
      </c>
      <c r="C19" s="111">
        <v>45219</v>
      </c>
      <c r="D19" s="272">
        <v>1.78</v>
      </c>
      <c r="E19" s="272">
        <v>1.66</v>
      </c>
      <c r="F19" s="272">
        <v>1.05</v>
      </c>
      <c r="G19" s="272">
        <v>0.78</v>
      </c>
      <c r="H19" s="272">
        <v>0.43</v>
      </c>
      <c r="I19" s="272">
        <v>0.3</v>
      </c>
      <c r="J19" s="272">
        <v>0.5</v>
      </c>
      <c r="K19" s="272">
        <v>0.7</v>
      </c>
      <c r="L19" s="272">
        <v>0.54</v>
      </c>
      <c r="M19" s="272">
        <v>0.25</v>
      </c>
      <c r="N19" s="269">
        <v>0.47</v>
      </c>
      <c r="O19" s="269">
        <v>0.45</v>
      </c>
      <c r="P19" s="270">
        <v>9.2799999999999994</v>
      </c>
      <c r="Q19" s="109">
        <v>0.92</v>
      </c>
      <c r="R19" s="271">
        <v>1.0900000000000001</v>
      </c>
      <c r="S19" s="271">
        <v>0.7</v>
      </c>
      <c r="T19" s="271">
        <v>0.59</v>
      </c>
      <c r="U19" s="72"/>
      <c r="V19" s="110">
        <f t="shared" si="2"/>
        <v>3.3</v>
      </c>
      <c r="W19" s="112">
        <f t="shared" si="5"/>
        <v>0.91999999999999993</v>
      </c>
      <c r="X19" s="112">
        <f t="shared" si="0"/>
        <v>3.3</v>
      </c>
      <c r="Y19" s="112">
        <f t="shared" si="3"/>
        <v>4.22</v>
      </c>
      <c r="Z19" s="113">
        <f t="shared" si="1"/>
        <v>4.22</v>
      </c>
    </row>
    <row r="20" spans="1:26">
      <c r="A20" s="72" t="s">
        <v>62</v>
      </c>
      <c r="B20" s="72" t="s">
        <v>63</v>
      </c>
      <c r="C20" s="111">
        <v>45220</v>
      </c>
      <c r="D20" s="272">
        <v>1.78</v>
      </c>
      <c r="E20" s="272">
        <v>1.66</v>
      </c>
      <c r="F20" s="272">
        <v>1.05</v>
      </c>
      <c r="G20" s="272">
        <v>0.78</v>
      </c>
      <c r="H20" s="272">
        <v>0.43</v>
      </c>
      <c r="I20" s="272">
        <v>0.3</v>
      </c>
      <c r="J20" s="272">
        <v>0.5</v>
      </c>
      <c r="K20" s="272">
        <v>0.7</v>
      </c>
      <c r="L20" s="272">
        <v>0.54</v>
      </c>
      <c r="M20" s="272">
        <v>0.25</v>
      </c>
      <c r="N20" s="269">
        <v>0.47</v>
      </c>
      <c r="O20" s="269">
        <v>0.45</v>
      </c>
      <c r="P20" s="270">
        <v>9.2799999999999994</v>
      </c>
      <c r="Q20" s="109">
        <v>0.92</v>
      </c>
      <c r="R20" s="271">
        <v>1.0900000000000001</v>
      </c>
      <c r="S20" s="271">
        <v>0.7</v>
      </c>
      <c r="T20" s="271">
        <v>0.59</v>
      </c>
      <c r="U20" s="72"/>
      <c r="V20" s="110">
        <f t="shared" si="2"/>
        <v>3.3</v>
      </c>
      <c r="W20" s="112">
        <f t="shared" si="5"/>
        <v>0.91999999999999993</v>
      </c>
      <c r="X20" s="112">
        <f t="shared" si="0"/>
        <v>3.3</v>
      </c>
      <c r="Y20" s="112">
        <f t="shared" si="3"/>
        <v>4.22</v>
      </c>
      <c r="Z20" s="113">
        <f t="shared" si="1"/>
        <v>4.22</v>
      </c>
    </row>
    <row r="21" spans="1:26">
      <c r="A21" s="604" t="s">
        <v>64</v>
      </c>
      <c r="B21" s="72" t="s">
        <v>65</v>
      </c>
      <c r="C21" s="111">
        <v>45338</v>
      </c>
    </row>
    <row r="22" spans="1:26">
      <c r="A22" s="604" t="s">
        <v>66</v>
      </c>
      <c r="B22" s="72" t="s">
        <v>67</v>
      </c>
      <c r="C22" s="111">
        <v>45341</v>
      </c>
    </row>
    <row r="23" spans="1:26">
      <c r="A23" s="604" t="s">
        <v>68</v>
      </c>
      <c r="B23" s="72" t="s">
        <v>69</v>
      </c>
      <c r="C23" s="111">
        <v>45341</v>
      </c>
    </row>
    <row r="24" spans="1:26">
      <c r="A24" s="604" t="s">
        <v>70</v>
      </c>
      <c r="B24" s="72" t="s">
        <v>71</v>
      </c>
      <c r="C24" s="111">
        <v>45344</v>
      </c>
    </row>
    <row r="25" spans="1:26">
      <c r="A25" s="604" t="s">
        <v>72</v>
      </c>
      <c r="B25" s="72" t="s">
        <v>73</v>
      </c>
      <c r="C25" s="111">
        <v>45346</v>
      </c>
    </row>
    <row r="26" spans="1:26">
      <c r="A26" s="604" t="s">
        <v>74</v>
      </c>
      <c r="B26" s="72" t="s">
        <v>75</v>
      </c>
      <c r="C26" s="111">
        <v>45408</v>
      </c>
    </row>
    <row r="27" spans="1:26">
      <c r="A27" s="604" t="s">
        <v>76</v>
      </c>
      <c r="B27" s="72" t="s">
        <v>77</v>
      </c>
      <c r="C27" s="111">
        <v>45411</v>
      </c>
    </row>
    <row r="28" spans="1:26">
      <c r="A28" s="604" t="s">
        <v>78</v>
      </c>
      <c r="B28" s="72" t="s">
        <v>79</v>
      </c>
      <c r="C28" s="111">
        <v>45413</v>
      </c>
    </row>
    <row r="29" spans="1:26">
      <c r="A29" s="604" t="s">
        <v>80</v>
      </c>
      <c r="B29" s="72" t="s">
        <v>81</v>
      </c>
      <c r="C29" s="111">
        <v>45426</v>
      </c>
    </row>
    <row r="30" spans="1:26">
      <c r="A30" s="604" t="s">
        <v>82</v>
      </c>
      <c r="B30" s="72" t="s">
        <v>83</v>
      </c>
      <c r="C30" s="111">
        <v>45414</v>
      </c>
    </row>
    <row r="31" spans="1:26">
      <c r="A31" s="604" t="s">
        <v>84</v>
      </c>
      <c r="B31" s="72" t="s">
        <v>85</v>
      </c>
      <c r="C31" s="111">
        <v>45441</v>
      </c>
    </row>
  </sheetData>
  <pageMargins left="0.7" right="0.7" top="0.75" bottom="0.75" header="0.3" footer="0.3"/>
  <legacy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414"/>
  <sheetViews>
    <sheetView topLeftCell="A335" workbookViewId="0">
      <selection activeCell="E348" sqref="E348"/>
    </sheetView>
  </sheetViews>
  <sheetFormatPr defaultColWidth="11.42578125" defaultRowHeight="15"/>
  <cols>
    <col min="1" max="1" width="31.7109375" customWidth="1"/>
    <col min="2" max="2" width="44" style="58" customWidth="1"/>
    <col min="3" max="3" width="55.42578125" style="273" customWidth="1"/>
    <col min="5" max="5" width="15.7109375" customWidth="1"/>
    <col min="6" max="6" width="19.85546875" customWidth="1"/>
    <col min="7" max="7" width="19.28515625" customWidth="1"/>
    <col min="8" max="8" width="17.7109375" customWidth="1"/>
    <col min="9" max="11" width="13.42578125" customWidth="1"/>
    <col min="12" max="14" width="13.140625" customWidth="1"/>
    <col min="15" max="16" width="12.85546875" customWidth="1"/>
    <col min="17" max="17" width="13.140625" customWidth="1"/>
    <col min="18" max="18" width="12.85546875" customWidth="1"/>
    <col min="19" max="20" width="13.140625" customWidth="1"/>
    <col min="21" max="21" width="12.85546875" customWidth="1"/>
    <col min="22" max="22" width="16.42578125" bestFit="1" customWidth="1"/>
    <col min="23" max="23" width="15.7109375" customWidth="1"/>
    <col min="24" max="24" width="13.28515625" customWidth="1"/>
    <col min="26" max="26" width="14.140625" customWidth="1"/>
  </cols>
  <sheetData>
    <row r="1" spans="1:23">
      <c r="B1" s="58">
        <v>1</v>
      </c>
      <c r="C1" s="273">
        <v>2</v>
      </c>
      <c r="D1" s="273">
        <v>3</v>
      </c>
      <c r="E1" s="273">
        <v>4</v>
      </c>
      <c r="F1" s="273">
        <v>5</v>
      </c>
      <c r="G1" s="273">
        <v>6</v>
      </c>
      <c r="H1" s="273">
        <v>7</v>
      </c>
      <c r="I1" s="273">
        <v>8</v>
      </c>
      <c r="J1" s="273">
        <v>9</v>
      </c>
      <c r="K1" s="273">
        <v>10</v>
      </c>
      <c r="L1" s="273">
        <v>11</v>
      </c>
      <c r="M1" s="273">
        <v>12</v>
      </c>
      <c r="N1" s="273">
        <v>13</v>
      </c>
      <c r="O1" s="273">
        <v>14</v>
      </c>
      <c r="P1" s="273">
        <v>15</v>
      </c>
      <c r="Q1" s="273">
        <v>16</v>
      </c>
      <c r="R1" s="273">
        <v>17</v>
      </c>
      <c r="S1" s="273">
        <v>18</v>
      </c>
      <c r="T1" s="273">
        <v>19</v>
      </c>
      <c r="U1" s="273">
        <v>20</v>
      </c>
      <c r="V1" s="273">
        <v>21</v>
      </c>
      <c r="W1" s="273">
        <v>22</v>
      </c>
    </row>
    <row r="2" spans="1:23" ht="27.75" customHeight="1">
      <c r="A2" s="663" t="s">
        <v>86</v>
      </c>
      <c r="B2" s="662" t="s">
        <v>87</v>
      </c>
      <c r="C2" s="662" t="s">
        <v>88</v>
      </c>
      <c r="D2" s="662" t="s">
        <v>89</v>
      </c>
      <c r="E2" s="662" t="s">
        <v>90</v>
      </c>
      <c r="F2" s="662" t="s">
        <v>91</v>
      </c>
      <c r="G2" s="657" t="s">
        <v>92</v>
      </c>
      <c r="H2" s="658" t="s">
        <v>93</v>
      </c>
      <c r="I2" s="658"/>
      <c r="J2" s="658"/>
      <c r="K2" s="658"/>
      <c r="L2" s="658"/>
      <c r="M2" s="658"/>
      <c r="N2" s="658"/>
      <c r="O2" s="658"/>
      <c r="P2" s="658"/>
      <c r="Q2" s="658"/>
      <c r="R2" s="658"/>
      <c r="S2" s="658"/>
      <c r="T2" s="658"/>
      <c r="U2" s="658"/>
      <c r="V2" s="658"/>
      <c r="W2" s="658"/>
    </row>
    <row r="3" spans="1:23">
      <c r="A3" s="663"/>
      <c r="B3" s="662"/>
      <c r="C3" s="662"/>
      <c r="D3" s="662"/>
      <c r="E3" s="662"/>
      <c r="F3" s="662"/>
      <c r="G3" s="657"/>
      <c r="H3" s="107" t="s">
        <v>5</v>
      </c>
      <c r="I3" s="108" t="s">
        <v>6</v>
      </c>
      <c r="J3" s="107" t="s">
        <v>7</v>
      </c>
      <c r="K3" s="108" t="s">
        <v>8</v>
      </c>
      <c r="L3" s="107" t="s">
        <v>9</v>
      </c>
      <c r="M3" s="108" t="s">
        <v>10</v>
      </c>
      <c r="N3" s="107" t="s">
        <v>11</v>
      </c>
      <c r="O3" s="108" t="s">
        <v>12</v>
      </c>
      <c r="P3" s="107" t="s">
        <v>13</v>
      </c>
      <c r="Q3" s="108" t="s">
        <v>14</v>
      </c>
      <c r="R3" s="107" t="s">
        <v>16</v>
      </c>
      <c r="S3" s="108" t="s">
        <v>17</v>
      </c>
      <c r="T3" s="107" t="s">
        <v>18</v>
      </c>
      <c r="U3" s="108" t="s">
        <v>19</v>
      </c>
      <c r="V3" s="655" t="s">
        <v>94</v>
      </c>
      <c r="W3" s="655" t="s">
        <v>95</v>
      </c>
    </row>
    <row r="4" spans="1:23" ht="21.75" customHeight="1">
      <c r="A4" s="663"/>
      <c r="B4" s="662"/>
      <c r="C4" s="662"/>
      <c r="D4" s="662"/>
      <c r="E4" s="662"/>
      <c r="F4" s="662"/>
      <c r="G4" s="657"/>
      <c r="H4" s="127">
        <v>1.05</v>
      </c>
      <c r="I4" s="274">
        <v>0.78</v>
      </c>
      <c r="J4" s="274">
        <v>0.43</v>
      </c>
      <c r="K4" s="274">
        <v>0.3</v>
      </c>
      <c r="L4" s="274">
        <v>0.5</v>
      </c>
      <c r="M4" s="274">
        <v>0.7</v>
      </c>
      <c r="N4" s="274">
        <v>0.54</v>
      </c>
      <c r="O4" s="274">
        <v>0.25</v>
      </c>
      <c r="P4" s="274">
        <v>0.47</v>
      </c>
      <c r="Q4" s="274">
        <v>0.45</v>
      </c>
      <c r="R4" s="275">
        <v>0.92</v>
      </c>
      <c r="S4" s="275">
        <v>1.0900000000000001</v>
      </c>
      <c r="T4" s="275">
        <v>0.7</v>
      </c>
      <c r="U4" s="275">
        <v>0.59</v>
      </c>
      <c r="V4" s="656"/>
      <c r="W4" s="656"/>
    </row>
    <row r="5" spans="1:23" s="282" customFormat="1" ht="51">
      <c r="A5" s="276" t="s">
        <v>96</v>
      </c>
      <c r="B5" s="140" t="s">
        <v>97</v>
      </c>
      <c r="C5" s="78" t="s">
        <v>98</v>
      </c>
      <c r="D5" s="173" t="s">
        <v>99</v>
      </c>
      <c r="E5" s="77" t="s">
        <v>84</v>
      </c>
      <c r="F5" s="277" t="str">
        <f>IFERROR((VLOOKUP(E5,'MEMORANDOS E IPC 2023 Y 2024'!$A$1:$C$20,3,0)),"0")</f>
        <v>0</v>
      </c>
      <c r="G5" s="278">
        <v>218088</v>
      </c>
      <c r="H5" s="279">
        <f t="shared" ref="H5:U12" si="0">IF(($F5="0"),$G5,(ROUNDDOWN((G5*(1+(H$4/100))),0)))</f>
        <v>218088</v>
      </c>
      <c r="I5" s="279">
        <f t="shared" si="0"/>
        <v>218088</v>
      </c>
      <c r="J5" s="279">
        <f t="shared" si="0"/>
        <v>218088</v>
      </c>
      <c r="K5" s="279">
        <f t="shared" si="0"/>
        <v>218088</v>
      </c>
      <c r="L5" s="279">
        <f t="shared" si="0"/>
        <v>218088</v>
      </c>
      <c r="M5" s="279">
        <f t="shared" si="0"/>
        <v>218088</v>
      </c>
      <c r="N5" s="279">
        <f t="shared" si="0"/>
        <v>218088</v>
      </c>
      <c r="O5" s="279">
        <f t="shared" si="0"/>
        <v>218088</v>
      </c>
      <c r="P5" s="279">
        <f t="shared" si="0"/>
        <v>218088</v>
      </c>
      <c r="Q5" s="279">
        <f t="shared" si="0"/>
        <v>218088</v>
      </c>
      <c r="R5" s="279">
        <f t="shared" si="0"/>
        <v>218088</v>
      </c>
      <c r="S5" s="279">
        <f t="shared" si="0"/>
        <v>218088</v>
      </c>
      <c r="T5" s="279">
        <f t="shared" si="0"/>
        <v>218088</v>
      </c>
      <c r="U5" s="279">
        <f t="shared" si="0"/>
        <v>218088</v>
      </c>
      <c r="V5" s="280">
        <f t="shared" ref="V5:V71" si="1">U5-G5</f>
        <v>0</v>
      </c>
      <c r="W5" s="281">
        <f t="shared" ref="W5:W71" si="2">V5/G5</f>
        <v>0</v>
      </c>
    </row>
    <row r="6" spans="1:23" s="282" customFormat="1" ht="51">
      <c r="A6" s="276" t="s">
        <v>96</v>
      </c>
      <c r="B6" s="140" t="s">
        <v>100</v>
      </c>
      <c r="C6" s="78" t="s">
        <v>101</v>
      </c>
      <c r="D6" s="173" t="s">
        <v>99</v>
      </c>
      <c r="E6" s="77" t="s">
        <v>84</v>
      </c>
      <c r="F6" s="277" t="str">
        <f>IFERROR((VLOOKUP(E6,'MEMORANDOS E IPC 2023 Y 2024'!$A$1:$C$20,3,0)),"0")</f>
        <v>0</v>
      </c>
      <c r="G6" s="278">
        <v>83785</v>
      </c>
      <c r="H6" s="279">
        <f t="shared" si="0"/>
        <v>83785</v>
      </c>
      <c r="I6" s="279">
        <f t="shared" si="0"/>
        <v>83785</v>
      </c>
      <c r="J6" s="279">
        <f t="shared" si="0"/>
        <v>83785</v>
      </c>
      <c r="K6" s="279">
        <f t="shared" si="0"/>
        <v>83785</v>
      </c>
      <c r="L6" s="279">
        <f t="shared" si="0"/>
        <v>83785</v>
      </c>
      <c r="M6" s="279">
        <f t="shared" si="0"/>
        <v>83785</v>
      </c>
      <c r="N6" s="279">
        <f t="shared" si="0"/>
        <v>83785</v>
      </c>
      <c r="O6" s="279">
        <f t="shared" si="0"/>
        <v>83785</v>
      </c>
      <c r="P6" s="279">
        <f t="shared" si="0"/>
        <v>83785</v>
      </c>
      <c r="Q6" s="279">
        <f t="shared" si="0"/>
        <v>83785</v>
      </c>
      <c r="R6" s="279">
        <f t="shared" si="0"/>
        <v>83785</v>
      </c>
      <c r="S6" s="279">
        <f t="shared" si="0"/>
        <v>83785</v>
      </c>
      <c r="T6" s="279">
        <f t="shared" si="0"/>
        <v>83785</v>
      </c>
      <c r="U6" s="279">
        <f t="shared" si="0"/>
        <v>83785</v>
      </c>
      <c r="V6" s="280">
        <f t="shared" si="1"/>
        <v>0</v>
      </c>
      <c r="W6" s="281">
        <f t="shared" si="2"/>
        <v>0</v>
      </c>
    </row>
    <row r="7" spans="1:23" s="282" customFormat="1" ht="51">
      <c r="A7" s="276" t="s">
        <v>96</v>
      </c>
      <c r="B7" s="140" t="s">
        <v>102</v>
      </c>
      <c r="C7" s="78" t="s">
        <v>103</v>
      </c>
      <c r="D7" s="173" t="s">
        <v>99</v>
      </c>
      <c r="E7" s="77" t="s">
        <v>84</v>
      </c>
      <c r="F7" s="277" t="str">
        <f>IFERROR((VLOOKUP(E7,'MEMORANDOS E IPC 2023 Y 2024'!$A$1:$C$20,3,0)),"0")</f>
        <v>0</v>
      </c>
      <c r="G7" s="278">
        <v>83785</v>
      </c>
      <c r="H7" s="279">
        <f t="shared" si="0"/>
        <v>83785</v>
      </c>
      <c r="I7" s="279">
        <f t="shared" si="0"/>
        <v>83785</v>
      </c>
      <c r="J7" s="279">
        <f t="shared" si="0"/>
        <v>83785</v>
      </c>
      <c r="K7" s="279">
        <f t="shared" si="0"/>
        <v>83785</v>
      </c>
      <c r="L7" s="279">
        <f t="shared" si="0"/>
        <v>83785</v>
      </c>
      <c r="M7" s="279">
        <f t="shared" si="0"/>
        <v>83785</v>
      </c>
      <c r="N7" s="279">
        <f t="shared" si="0"/>
        <v>83785</v>
      </c>
      <c r="O7" s="279">
        <f t="shared" si="0"/>
        <v>83785</v>
      </c>
      <c r="P7" s="279">
        <f t="shared" si="0"/>
        <v>83785</v>
      </c>
      <c r="Q7" s="279">
        <f t="shared" si="0"/>
        <v>83785</v>
      </c>
      <c r="R7" s="279">
        <f t="shared" si="0"/>
        <v>83785</v>
      </c>
      <c r="S7" s="279">
        <f t="shared" si="0"/>
        <v>83785</v>
      </c>
      <c r="T7" s="279">
        <f t="shared" si="0"/>
        <v>83785</v>
      </c>
      <c r="U7" s="279">
        <f t="shared" si="0"/>
        <v>83785</v>
      </c>
      <c r="V7" s="280">
        <f t="shared" si="1"/>
        <v>0</v>
      </c>
      <c r="W7" s="281">
        <f t="shared" si="2"/>
        <v>0</v>
      </c>
    </row>
    <row r="8" spans="1:23" s="282" customFormat="1" ht="51">
      <c r="A8" s="276" t="s">
        <v>96</v>
      </c>
      <c r="B8" s="140" t="s">
        <v>104</v>
      </c>
      <c r="C8" s="78" t="s">
        <v>105</v>
      </c>
      <c r="D8" s="173" t="s">
        <v>99</v>
      </c>
      <c r="E8" s="77" t="s">
        <v>84</v>
      </c>
      <c r="F8" s="277" t="str">
        <f>IFERROR((VLOOKUP(E8,'MEMORANDOS E IPC 2023 Y 2024'!$A$1:$C$20,3,0)),"0")</f>
        <v>0</v>
      </c>
      <c r="G8" s="278">
        <v>83785</v>
      </c>
      <c r="H8" s="279">
        <f t="shared" si="0"/>
        <v>83785</v>
      </c>
      <c r="I8" s="279">
        <f t="shared" si="0"/>
        <v>83785</v>
      </c>
      <c r="J8" s="279">
        <f t="shared" si="0"/>
        <v>83785</v>
      </c>
      <c r="K8" s="279">
        <f t="shared" si="0"/>
        <v>83785</v>
      </c>
      <c r="L8" s="279">
        <f t="shared" si="0"/>
        <v>83785</v>
      </c>
      <c r="M8" s="279">
        <f t="shared" si="0"/>
        <v>83785</v>
      </c>
      <c r="N8" s="279">
        <f t="shared" si="0"/>
        <v>83785</v>
      </c>
      <c r="O8" s="279">
        <f t="shared" si="0"/>
        <v>83785</v>
      </c>
      <c r="P8" s="279">
        <f t="shared" si="0"/>
        <v>83785</v>
      </c>
      <c r="Q8" s="279">
        <f t="shared" si="0"/>
        <v>83785</v>
      </c>
      <c r="R8" s="279">
        <f t="shared" si="0"/>
        <v>83785</v>
      </c>
      <c r="S8" s="279">
        <f t="shared" si="0"/>
        <v>83785</v>
      </c>
      <c r="T8" s="279">
        <f t="shared" si="0"/>
        <v>83785</v>
      </c>
      <c r="U8" s="279">
        <f t="shared" si="0"/>
        <v>83785</v>
      </c>
      <c r="V8" s="280">
        <f t="shared" si="1"/>
        <v>0</v>
      </c>
      <c r="W8" s="281">
        <f t="shared" si="2"/>
        <v>0</v>
      </c>
    </row>
    <row r="9" spans="1:23" s="282" customFormat="1" ht="25.5">
      <c r="A9" s="276" t="s">
        <v>96</v>
      </c>
      <c r="B9" s="140" t="s">
        <v>106</v>
      </c>
      <c r="C9" s="78" t="s">
        <v>107</v>
      </c>
      <c r="D9" s="173" t="s">
        <v>108</v>
      </c>
      <c r="E9" s="77" t="s">
        <v>109</v>
      </c>
      <c r="F9" s="277" t="str">
        <f>IFERROR((VLOOKUP(E9,'MEMORANDOS E IPC 2023 Y 2024'!$A$1:$C$20,3,0)),"0")</f>
        <v>0</v>
      </c>
      <c r="G9" s="278">
        <v>73814</v>
      </c>
      <c r="H9" s="279">
        <f t="shared" si="0"/>
        <v>73814</v>
      </c>
      <c r="I9" s="279">
        <f t="shared" si="0"/>
        <v>73814</v>
      </c>
      <c r="J9" s="279">
        <f t="shared" si="0"/>
        <v>73814</v>
      </c>
      <c r="K9" s="279">
        <f t="shared" si="0"/>
        <v>73814</v>
      </c>
      <c r="L9" s="279">
        <f t="shared" si="0"/>
        <v>73814</v>
      </c>
      <c r="M9" s="279">
        <f t="shared" si="0"/>
        <v>73814</v>
      </c>
      <c r="N9" s="279">
        <f t="shared" si="0"/>
        <v>73814</v>
      </c>
      <c r="O9" s="279">
        <f t="shared" si="0"/>
        <v>73814</v>
      </c>
      <c r="P9" s="279">
        <f t="shared" si="0"/>
        <v>73814</v>
      </c>
      <c r="Q9" s="279">
        <f t="shared" si="0"/>
        <v>73814</v>
      </c>
      <c r="R9" s="279">
        <f t="shared" si="0"/>
        <v>73814</v>
      </c>
      <c r="S9" s="279">
        <f t="shared" si="0"/>
        <v>73814</v>
      </c>
      <c r="T9" s="279">
        <f t="shared" si="0"/>
        <v>73814</v>
      </c>
      <c r="U9" s="279">
        <f t="shared" si="0"/>
        <v>73814</v>
      </c>
      <c r="V9" s="280">
        <f t="shared" si="1"/>
        <v>0</v>
      </c>
      <c r="W9" s="281">
        <f t="shared" si="2"/>
        <v>0</v>
      </c>
    </row>
    <row r="10" spans="1:23" s="282" customFormat="1" ht="25.5">
      <c r="A10" s="276" t="s">
        <v>96</v>
      </c>
      <c r="B10" s="140" t="s">
        <v>110</v>
      </c>
      <c r="C10" s="78" t="s">
        <v>111</v>
      </c>
      <c r="D10" s="173" t="s">
        <v>99</v>
      </c>
      <c r="E10" s="77" t="s">
        <v>84</v>
      </c>
      <c r="F10" s="277" t="str">
        <f>IFERROR((VLOOKUP(E10,'MEMORANDOS E IPC 2023 Y 2024'!$A$1:$C$20,3,0)),"0")</f>
        <v>0</v>
      </c>
      <c r="G10" s="278">
        <v>102814</v>
      </c>
      <c r="H10" s="279">
        <f t="shared" si="0"/>
        <v>102814</v>
      </c>
      <c r="I10" s="279">
        <f t="shared" si="0"/>
        <v>102814</v>
      </c>
      <c r="J10" s="279">
        <f t="shared" si="0"/>
        <v>102814</v>
      </c>
      <c r="K10" s="279">
        <f t="shared" si="0"/>
        <v>102814</v>
      </c>
      <c r="L10" s="279">
        <f t="shared" si="0"/>
        <v>102814</v>
      </c>
      <c r="M10" s="279">
        <f t="shared" si="0"/>
        <v>102814</v>
      </c>
      <c r="N10" s="279">
        <f t="shared" si="0"/>
        <v>102814</v>
      </c>
      <c r="O10" s="279">
        <f t="shared" si="0"/>
        <v>102814</v>
      </c>
      <c r="P10" s="279">
        <f t="shared" si="0"/>
        <v>102814</v>
      </c>
      <c r="Q10" s="279">
        <f t="shared" si="0"/>
        <v>102814</v>
      </c>
      <c r="R10" s="279">
        <f t="shared" si="0"/>
        <v>102814</v>
      </c>
      <c r="S10" s="279">
        <f t="shared" si="0"/>
        <v>102814</v>
      </c>
      <c r="T10" s="279">
        <f t="shared" si="0"/>
        <v>102814</v>
      </c>
      <c r="U10" s="279">
        <f t="shared" si="0"/>
        <v>102814</v>
      </c>
      <c r="V10" s="280">
        <f t="shared" si="1"/>
        <v>0</v>
      </c>
      <c r="W10" s="281">
        <f t="shared" si="2"/>
        <v>0</v>
      </c>
    </row>
    <row r="11" spans="1:23" s="282" customFormat="1">
      <c r="A11" s="276" t="s">
        <v>96</v>
      </c>
      <c r="B11" s="133" t="s">
        <v>112</v>
      </c>
      <c r="C11" s="134" t="s">
        <v>113</v>
      </c>
      <c r="D11" s="76" t="s">
        <v>108</v>
      </c>
      <c r="E11" s="77" t="s">
        <v>64</v>
      </c>
      <c r="F11" s="277" t="str">
        <f>IFERROR((VLOOKUP(E11,'MEMORANDOS E IPC 2023 Y 2024'!$A$1:$C$20,3,0)),"0")</f>
        <v>0</v>
      </c>
      <c r="G11" s="278">
        <v>31104</v>
      </c>
      <c r="H11" s="279">
        <f t="shared" si="0"/>
        <v>31104</v>
      </c>
      <c r="I11" s="279">
        <f t="shared" si="0"/>
        <v>31104</v>
      </c>
      <c r="J11" s="279">
        <f t="shared" si="0"/>
        <v>31104</v>
      </c>
      <c r="K11" s="279">
        <f t="shared" si="0"/>
        <v>31104</v>
      </c>
      <c r="L11" s="279">
        <f t="shared" si="0"/>
        <v>31104</v>
      </c>
      <c r="M11" s="279">
        <f t="shared" si="0"/>
        <v>31104</v>
      </c>
      <c r="N11" s="279">
        <f t="shared" si="0"/>
        <v>31104</v>
      </c>
      <c r="O11" s="279">
        <f t="shared" si="0"/>
        <v>31104</v>
      </c>
      <c r="P11" s="279">
        <f t="shared" si="0"/>
        <v>31104</v>
      </c>
      <c r="Q11" s="279">
        <f t="shared" si="0"/>
        <v>31104</v>
      </c>
      <c r="R11" s="279">
        <f t="shared" si="0"/>
        <v>31104</v>
      </c>
      <c r="S11" s="279">
        <f t="shared" si="0"/>
        <v>31104</v>
      </c>
      <c r="T11" s="279">
        <f t="shared" si="0"/>
        <v>31104</v>
      </c>
      <c r="U11" s="279">
        <f t="shared" si="0"/>
        <v>31104</v>
      </c>
      <c r="V11" s="280">
        <f t="shared" si="1"/>
        <v>0</v>
      </c>
      <c r="W11" s="281">
        <f t="shared" si="2"/>
        <v>0</v>
      </c>
    </row>
    <row r="12" spans="1:23" s="282" customFormat="1" ht="25.5">
      <c r="A12" s="276" t="s">
        <v>96</v>
      </c>
      <c r="B12" s="133" t="s">
        <v>114</v>
      </c>
      <c r="C12" s="78" t="s">
        <v>115</v>
      </c>
      <c r="D12" s="76" t="s">
        <v>116</v>
      </c>
      <c r="E12" s="77" t="s">
        <v>109</v>
      </c>
      <c r="F12" s="277" t="str">
        <f>IFERROR((VLOOKUP(E12,'MEMORANDOS E IPC 2023 Y 2024'!$A$1:$C$20,3,0)),"0")</f>
        <v>0</v>
      </c>
      <c r="G12" s="278">
        <v>27310</v>
      </c>
      <c r="H12" s="279">
        <f t="shared" si="0"/>
        <v>27310</v>
      </c>
      <c r="I12" s="279">
        <f t="shared" si="0"/>
        <v>27310</v>
      </c>
      <c r="J12" s="279">
        <f t="shared" si="0"/>
        <v>27310</v>
      </c>
      <c r="K12" s="279">
        <f t="shared" si="0"/>
        <v>27310</v>
      </c>
      <c r="L12" s="279">
        <f t="shared" si="0"/>
        <v>27310</v>
      </c>
      <c r="M12" s="279">
        <f t="shared" si="0"/>
        <v>27310</v>
      </c>
      <c r="N12" s="279">
        <f t="shared" si="0"/>
        <v>27310</v>
      </c>
      <c r="O12" s="279">
        <f t="shared" si="0"/>
        <v>27310</v>
      </c>
      <c r="P12" s="279">
        <f t="shared" si="0"/>
        <v>27310</v>
      </c>
      <c r="Q12" s="279">
        <f t="shared" si="0"/>
        <v>27310</v>
      </c>
      <c r="R12" s="279">
        <f t="shared" si="0"/>
        <v>27310</v>
      </c>
      <c r="S12" s="279">
        <f t="shared" si="0"/>
        <v>27310</v>
      </c>
      <c r="T12" s="279">
        <f t="shared" si="0"/>
        <v>27310</v>
      </c>
      <c r="U12" s="279">
        <f t="shared" si="0"/>
        <v>27310</v>
      </c>
      <c r="V12" s="280">
        <f t="shared" si="1"/>
        <v>0</v>
      </c>
      <c r="W12" s="281">
        <f t="shared" si="2"/>
        <v>0</v>
      </c>
    </row>
    <row r="13" spans="1:23" s="282" customFormat="1" ht="25.5">
      <c r="A13" s="276" t="s">
        <v>96</v>
      </c>
      <c r="B13" s="140" t="s">
        <v>117</v>
      </c>
      <c r="C13" s="78" t="s">
        <v>118</v>
      </c>
      <c r="D13" s="76" t="s">
        <v>119</v>
      </c>
      <c r="E13" s="77" t="s">
        <v>38</v>
      </c>
      <c r="F13" s="277">
        <f>IFERROR((VLOOKUP(E13,'MEMORANDOS E IPC 2023 Y 2024'!$A$1:$C$20,3,0)),"0")</f>
        <v>45002</v>
      </c>
      <c r="G13" s="278">
        <v>71607</v>
      </c>
      <c r="H13" s="278">
        <f>G13</f>
        <v>71607</v>
      </c>
      <c r="I13" s="279">
        <f>IF(($F13="0"),$F13,(ROUNDDOWN((H13*(1+(I$4/100))),0)))</f>
        <v>72165</v>
      </c>
      <c r="J13" s="279">
        <f t="shared" ref="J13:U13" si="3">IF(($F13="0"),$F13,(ROUNDDOWN((I13*(1+(J$4/100))),0)))</f>
        <v>72475</v>
      </c>
      <c r="K13" s="279">
        <f t="shared" si="3"/>
        <v>72692</v>
      </c>
      <c r="L13" s="279">
        <f t="shared" si="3"/>
        <v>73055</v>
      </c>
      <c r="M13" s="279">
        <f t="shared" si="3"/>
        <v>73566</v>
      </c>
      <c r="N13" s="279">
        <f t="shared" si="3"/>
        <v>73963</v>
      </c>
      <c r="O13" s="279">
        <f t="shared" si="3"/>
        <v>74147</v>
      </c>
      <c r="P13" s="279">
        <f t="shared" si="3"/>
        <v>74495</v>
      </c>
      <c r="Q13" s="279">
        <f t="shared" si="3"/>
        <v>74830</v>
      </c>
      <c r="R13" s="279">
        <f t="shared" si="3"/>
        <v>75518</v>
      </c>
      <c r="S13" s="279">
        <f t="shared" si="3"/>
        <v>76341</v>
      </c>
      <c r="T13" s="279">
        <f t="shared" si="3"/>
        <v>76875</v>
      </c>
      <c r="U13" s="279">
        <f t="shared" si="3"/>
        <v>77328</v>
      </c>
      <c r="V13" s="280">
        <f t="shared" si="1"/>
        <v>5721</v>
      </c>
      <c r="W13" s="281">
        <f t="shared" si="2"/>
        <v>7.9894423729523656E-2</v>
      </c>
    </row>
    <row r="14" spans="1:23" s="282" customFormat="1" ht="25.5">
      <c r="A14" s="276" t="s">
        <v>96</v>
      </c>
      <c r="B14" s="140" t="s">
        <v>120</v>
      </c>
      <c r="C14" s="78" t="s">
        <v>121</v>
      </c>
      <c r="D14" s="76" t="s">
        <v>119</v>
      </c>
      <c r="E14" s="77" t="s">
        <v>36</v>
      </c>
      <c r="F14" s="277">
        <f>IFERROR((VLOOKUP(E14,'MEMORANDOS E IPC 2023 Y 2024'!$A$1:$C$20,3,0)),"0")</f>
        <v>44974</v>
      </c>
      <c r="G14" s="278">
        <v>14418</v>
      </c>
      <c r="H14" s="279">
        <f>IF(($F14="0"),$F14,(ROUNDDOWN((G14*(1+(H$4/100))),0)))</f>
        <v>14569</v>
      </c>
      <c r="I14" s="279">
        <f t="shared" ref="I14:U19" si="4">IF(($F14="0"),$F14,(ROUNDDOWN((H14*(1+(I$4/100))),0)))</f>
        <v>14682</v>
      </c>
      <c r="J14" s="279">
        <f t="shared" si="4"/>
        <v>14745</v>
      </c>
      <c r="K14" s="279">
        <f t="shared" si="4"/>
        <v>14789</v>
      </c>
      <c r="L14" s="279">
        <f t="shared" si="4"/>
        <v>14862</v>
      </c>
      <c r="M14" s="279">
        <f t="shared" si="4"/>
        <v>14966</v>
      </c>
      <c r="N14" s="279">
        <f t="shared" si="4"/>
        <v>15046</v>
      </c>
      <c r="O14" s="279">
        <f t="shared" si="4"/>
        <v>15083</v>
      </c>
      <c r="P14" s="279">
        <f t="shared" si="4"/>
        <v>15153</v>
      </c>
      <c r="Q14" s="279">
        <f t="shared" si="4"/>
        <v>15221</v>
      </c>
      <c r="R14" s="279">
        <f t="shared" si="4"/>
        <v>15361</v>
      </c>
      <c r="S14" s="279">
        <f t="shared" si="4"/>
        <v>15528</v>
      </c>
      <c r="T14" s="279">
        <f t="shared" si="4"/>
        <v>15636</v>
      </c>
      <c r="U14" s="279">
        <f t="shared" si="4"/>
        <v>15728</v>
      </c>
      <c r="V14" s="280">
        <f t="shared" si="1"/>
        <v>1310</v>
      </c>
      <c r="W14" s="281">
        <f t="shared" si="2"/>
        <v>9.0858648911083362E-2</v>
      </c>
    </row>
    <row r="15" spans="1:23" s="282" customFormat="1" ht="38.25">
      <c r="A15" s="276" t="s">
        <v>96</v>
      </c>
      <c r="B15" s="140" t="s">
        <v>122</v>
      </c>
      <c r="C15" s="78" t="s">
        <v>123</v>
      </c>
      <c r="D15" s="76" t="s">
        <v>124</v>
      </c>
      <c r="E15" s="77" t="s">
        <v>64</v>
      </c>
      <c r="F15" s="277" t="str">
        <f>IFERROR((VLOOKUP(E15,'MEMORANDOS E IPC 2023 Y 2024'!$A$1:$C$20,3,0)),"0")</f>
        <v>0</v>
      </c>
      <c r="G15" s="278">
        <v>49216</v>
      </c>
      <c r="H15" s="279">
        <f>IF(($F15="0"),$G15,(ROUNDDOWN((G15*(1+(H$4/100))),0)))</f>
        <v>49216</v>
      </c>
      <c r="I15" s="279">
        <f t="shared" ref="I15:U15" si="5">IF(($F15="0"),$G15,(ROUNDDOWN((H15*(1+(I$4/100))),0)))</f>
        <v>49216</v>
      </c>
      <c r="J15" s="279">
        <f t="shared" si="5"/>
        <v>49216</v>
      </c>
      <c r="K15" s="279">
        <f t="shared" si="5"/>
        <v>49216</v>
      </c>
      <c r="L15" s="279">
        <f t="shared" si="5"/>
        <v>49216</v>
      </c>
      <c r="M15" s="279">
        <f t="shared" si="5"/>
        <v>49216</v>
      </c>
      <c r="N15" s="279">
        <f t="shared" si="5"/>
        <v>49216</v>
      </c>
      <c r="O15" s="279">
        <f t="shared" si="5"/>
        <v>49216</v>
      </c>
      <c r="P15" s="279">
        <f t="shared" si="5"/>
        <v>49216</v>
      </c>
      <c r="Q15" s="279">
        <f t="shared" si="5"/>
        <v>49216</v>
      </c>
      <c r="R15" s="279">
        <f t="shared" si="5"/>
        <v>49216</v>
      </c>
      <c r="S15" s="279">
        <f t="shared" si="5"/>
        <v>49216</v>
      </c>
      <c r="T15" s="279">
        <f t="shared" si="5"/>
        <v>49216</v>
      </c>
      <c r="U15" s="279">
        <f t="shared" si="5"/>
        <v>49216</v>
      </c>
      <c r="V15" s="280">
        <f t="shared" si="1"/>
        <v>0</v>
      </c>
      <c r="W15" s="281">
        <f t="shared" si="2"/>
        <v>0</v>
      </c>
    </row>
    <row r="16" spans="1:23" s="282" customFormat="1">
      <c r="A16" s="276" t="s">
        <v>96</v>
      </c>
      <c r="B16" s="140" t="s">
        <v>125</v>
      </c>
      <c r="C16" s="256" t="s">
        <v>126</v>
      </c>
      <c r="D16" s="76" t="s">
        <v>124</v>
      </c>
      <c r="E16" s="77" t="s">
        <v>36</v>
      </c>
      <c r="F16" s="277">
        <f>IFERROR((VLOOKUP(E16,'MEMORANDOS E IPC 2023 Y 2024'!$A$1:$C$20,3,0)),"0")</f>
        <v>44974</v>
      </c>
      <c r="G16" s="278">
        <v>59564</v>
      </c>
      <c r="H16" s="279">
        <f>IF(($F16="0"),$F16,(ROUNDDOWN((G16*(1+(H$4/100))),0)))</f>
        <v>60189</v>
      </c>
      <c r="I16" s="279">
        <f t="shared" si="4"/>
        <v>60658</v>
      </c>
      <c r="J16" s="279">
        <f t="shared" si="4"/>
        <v>60918</v>
      </c>
      <c r="K16" s="279">
        <f t="shared" si="4"/>
        <v>61100</v>
      </c>
      <c r="L16" s="279">
        <f t="shared" si="4"/>
        <v>61405</v>
      </c>
      <c r="M16" s="279">
        <f t="shared" si="4"/>
        <v>61834</v>
      </c>
      <c r="N16" s="279">
        <f t="shared" si="4"/>
        <v>62167</v>
      </c>
      <c r="O16" s="279">
        <f t="shared" si="4"/>
        <v>62322</v>
      </c>
      <c r="P16" s="279">
        <f t="shared" si="4"/>
        <v>62614</v>
      </c>
      <c r="Q16" s="279">
        <f t="shared" si="4"/>
        <v>62895</v>
      </c>
      <c r="R16" s="279">
        <f t="shared" si="4"/>
        <v>63473</v>
      </c>
      <c r="S16" s="279">
        <f t="shared" si="4"/>
        <v>64164</v>
      </c>
      <c r="T16" s="279">
        <f t="shared" si="4"/>
        <v>64613</v>
      </c>
      <c r="U16" s="279">
        <f t="shared" si="4"/>
        <v>64994</v>
      </c>
      <c r="V16" s="280">
        <f t="shared" si="1"/>
        <v>5430</v>
      </c>
      <c r="W16" s="281">
        <f t="shared" si="2"/>
        <v>9.1162447115707479E-2</v>
      </c>
    </row>
    <row r="17" spans="1:23" s="282" customFormat="1" ht="25.5">
      <c r="A17" s="276" t="s">
        <v>96</v>
      </c>
      <c r="B17" s="190" t="s">
        <v>127</v>
      </c>
      <c r="C17" s="78" t="s">
        <v>128</v>
      </c>
      <c r="D17" s="76" t="s">
        <v>119</v>
      </c>
      <c r="E17" s="77" t="s">
        <v>38</v>
      </c>
      <c r="F17" s="277">
        <f>IFERROR((VLOOKUP(E17,'MEMORANDOS E IPC 2023 Y 2024'!$A$1:$C$20,3,0)),"0")</f>
        <v>45002</v>
      </c>
      <c r="G17" s="278">
        <v>71607</v>
      </c>
      <c r="H17" s="278">
        <f>G17</f>
        <v>71607</v>
      </c>
      <c r="I17" s="279">
        <f>IF(($F17="0"),$F17,(ROUNDDOWN((H17*(1+(I$4/100))),0)))</f>
        <v>72165</v>
      </c>
      <c r="J17" s="279">
        <f t="shared" si="4"/>
        <v>72475</v>
      </c>
      <c r="K17" s="279">
        <f t="shared" si="4"/>
        <v>72692</v>
      </c>
      <c r="L17" s="279">
        <f t="shared" si="4"/>
        <v>73055</v>
      </c>
      <c r="M17" s="279">
        <f t="shared" si="4"/>
        <v>73566</v>
      </c>
      <c r="N17" s="279">
        <f t="shared" si="4"/>
        <v>73963</v>
      </c>
      <c r="O17" s="279">
        <f t="shared" si="4"/>
        <v>74147</v>
      </c>
      <c r="P17" s="279">
        <f t="shared" si="4"/>
        <v>74495</v>
      </c>
      <c r="Q17" s="279">
        <f t="shared" si="4"/>
        <v>74830</v>
      </c>
      <c r="R17" s="279">
        <f t="shared" si="4"/>
        <v>75518</v>
      </c>
      <c r="S17" s="279">
        <f t="shared" si="4"/>
        <v>76341</v>
      </c>
      <c r="T17" s="279">
        <f t="shared" si="4"/>
        <v>76875</v>
      </c>
      <c r="U17" s="279">
        <f t="shared" si="4"/>
        <v>77328</v>
      </c>
      <c r="V17" s="280">
        <f t="shared" si="1"/>
        <v>5721</v>
      </c>
      <c r="W17" s="281">
        <f t="shared" si="2"/>
        <v>7.9894423729523656E-2</v>
      </c>
    </row>
    <row r="18" spans="1:23" s="282" customFormat="1" ht="25.5">
      <c r="A18" s="276" t="s">
        <v>96</v>
      </c>
      <c r="B18" s="190" t="s">
        <v>129</v>
      </c>
      <c r="C18" s="78" t="s">
        <v>130</v>
      </c>
      <c r="D18" s="76" t="s">
        <v>131</v>
      </c>
      <c r="E18" s="77" t="s">
        <v>36</v>
      </c>
      <c r="F18" s="277">
        <f>IFERROR((VLOOKUP(E18,'MEMORANDOS E IPC 2023 Y 2024'!$A$1:$C$20,3,0)),"0")</f>
        <v>44974</v>
      </c>
      <c r="G18" s="278">
        <v>18247</v>
      </c>
      <c r="H18" s="279">
        <f>IF(($F18="0"),$F18,(ROUNDDOWN((G18*(1+(H$4/100))),0)))</f>
        <v>18438</v>
      </c>
      <c r="I18" s="279">
        <f t="shared" si="4"/>
        <v>18581</v>
      </c>
      <c r="J18" s="279">
        <f t="shared" si="4"/>
        <v>18660</v>
      </c>
      <c r="K18" s="279">
        <f t="shared" si="4"/>
        <v>18715</v>
      </c>
      <c r="L18" s="279">
        <f t="shared" si="4"/>
        <v>18808</v>
      </c>
      <c r="M18" s="279">
        <f t="shared" si="4"/>
        <v>18939</v>
      </c>
      <c r="N18" s="279">
        <f t="shared" si="4"/>
        <v>19041</v>
      </c>
      <c r="O18" s="279">
        <f t="shared" si="4"/>
        <v>19088</v>
      </c>
      <c r="P18" s="279">
        <f t="shared" si="4"/>
        <v>19177</v>
      </c>
      <c r="Q18" s="279">
        <f t="shared" si="4"/>
        <v>19263</v>
      </c>
      <c r="R18" s="279">
        <f t="shared" si="4"/>
        <v>19440</v>
      </c>
      <c r="S18" s="279">
        <f t="shared" si="4"/>
        <v>19651</v>
      </c>
      <c r="T18" s="279">
        <f t="shared" si="4"/>
        <v>19788</v>
      </c>
      <c r="U18" s="279">
        <f t="shared" si="4"/>
        <v>19904</v>
      </c>
      <c r="V18" s="280">
        <f t="shared" si="1"/>
        <v>1657</v>
      </c>
      <c r="W18" s="281">
        <f t="shared" si="2"/>
        <v>9.0809448128459466E-2</v>
      </c>
    </row>
    <row r="19" spans="1:23" s="282" customFormat="1" ht="25.5">
      <c r="A19" s="283" t="s">
        <v>132</v>
      </c>
      <c r="B19" s="284" t="s">
        <v>133</v>
      </c>
      <c r="C19" s="284" t="s">
        <v>134</v>
      </c>
      <c r="D19" s="173" t="s">
        <v>108</v>
      </c>
      <c r="E19" s="77" t="s">
        <v>44</v>
      </c>
      <c r="F19" s="277">
        <f>IFERROR((VLOOKUP(E19,'MEMORANDOS E IPC 2023 Y 2024'!$A$1:$C$20,3,0)),"0")</f>
        <v>45100</v>
      </c>
      <c r="G19" s="278">
        <v>14313</v>
      </c>
      <c r="H19" s="278">
        <f>G19</f>
        <v>14313</v>
      </c>
      <c r="I19" s="278">
        <f t="shared" ref="I19:K19" si="6">H19</f>
        <v>14313</v>
      </c>
      <c r="J19" s="278">
        <f t="shared" si="6"/>
        <v>14313</v>
      </c>
      <c r="K19" s="278">
        <f t="shared" si="6"/>
        <v>14313</v>
      </c>
      <c r="L19" s="279">
        <f>IF(($F19="0"),$F19,(ROUNDDOWN((K19*(1+(L$4/100))),0)))</f>
        <v>14384</v>
      </c>
      <c r="M19" s="279">
        <f t="shared" si="4"/>
        <v>14484</v>
      </c>
      <c r="N19" s="279">
        <f t="shared" si="4"/>
        <v>14562</v>
      </c>
      <c r="O19" s="279">
        <f t="shared" si="4"/>
        <v>14598</v>
      </c>
      <c r="P19" s="279">
        <f t="shared" si="4"/>
        <v>14666</v>
      </c>
      <c r="Q19" s="279">
        <f t="shared" si="4"/>
        <v>14731</v>
      </c>
      <c r="R19" s="279">
        <f t="shared" si="4"/>
        <v>14866</v>
      </c>
      <c r="S19" s="279">
        <f t="shared" si="4"/>
        <v>15028</v>
      </c>
      <c r="T19" s="279">
        <f t="shared" si="4"/>
        <v>15133</v>
      </c>
      <c r="U19" s="279">
        <f t="shared" si="4"/>
        <v>15222</v>
      </c>
      <c r="V19" s="280">
        <f t="shared" si="1"/>
        <v>909</v>
      </c>
      <c r="W19" s="281">
        <f t="shared" si="2"/>
        <v>6.3508698386082585E-2</v>
      </c>
    </row>
    <row r="20" spans="1:23" s="282" customFormat="1" ht="51">
      <c r="A20" s="283" t="s">
        <v>132</v>
      </c>
      <c r="B20" s="284" t="s">
        <v>135</v>
      </c>
      <c r="C20" s="284" t="s">
        <v>136</v>
      </c>
      <c r="D20" s="173" t="s">
        <v>137</v>
      </c>
      <c r="E20" s="77" t="s">
        <v>36</v>
      </c>
      <c r="F20" s="277">
        <f>IFERROR((VLOOKUP(E20,'MEMORANDOS E IPC 2023 Y 2024'!$A$1:$C$20,3,0)),"0")</f>
        <v>44974</v>
      </c>
      <c r="G20" s="278">
        <v>45654</v>
      </c>
      <c r="H20" s="279">
        <f>IF(($F20="0"),$F20,(ROUNDDOWN((G20*(1+(H$4/100))),0)))</f>
        <v>46133</v>
      </c>
      <c r="I20" s="279">
        <f t="shared" ref="I20:U23" si="7">IF(($F20="0"),$F20,(ROUNDDOWN((H20*(1+(I$4/100))),0)))</f>
        <v>46492</v>
      </c>
      <c r="J20" s="279">
        <f t="shared" si="7"/>
        <v>46691</v>
      </c>
      <c r="K20" s="279">
        <f t="shared" si="7"/>
        <v>46831</v>
      </c>
      <c r="L20" s="279">
        <f t="shared" si="7"/>
        <v>47065</v>
      </c>
      <c r="M20" s="279">
        <f t="shared" si="7"/>
        <v>47394</v>
      </c>
      <c r="N20" s="279">
        <f t="shared" si="7"/>
        <v>47649</v>
      </c>
      <c r="O20" s="279">
        <f t="shared" si="7"/>
        <v>47768</v>
      </c>
      <c r="P20" s="279">
        <f t="shared" si="7"/>
        <v>47992</v>
      </c>
      <c r="Q20" s="279">
        <f t="shared" si="7"/>
        <v>48207</v>
      </c>
      <c r="R20" s="279">
        <f t="shared" si="7"/>
        <v>48650</v>
      </c>
      <c r="S20" s="279">
        <f t="shared" si="7"/>
        <v>49180</v>
      </c>
      <c r="T20" s="279">
        <f t="shared" si="7"/>
        <v>49524</v>
      </c>
      <c r="U20" s="279">
        <f t="shared" si="7"/>
        <v>49816</v>
      </c>
      <c r="V20" s="280">
        <f t="shared" si="1"/>
        <v>4162</v>
      </c>
      <c r="W20" s="281">
        <f t="shared" si="2"/>
        <v>9.1163972488719505E-2</v>
      </c>
    </row>
    <row r="21" spans="1:23" s="282" customFormat="1" ht="51">
      <c r="A21" s="283" t="s">
        <v>132</v>
      </c>
      <c r="B21" s="284" t="s">
        <v>138</v>
      </c>
      <c r="C21" s="284" t="s">
        <v>139</v>
      </c>
      <c r="D21" s="173" t="s">
        <v>137</v>
      </c>
      <c r="E21" s="77" t="s">
        <v>36</v>
      </c>
      <c r="F21" s="277">
        <f>IFERROR((VLOOKUP(E21,'MEMORANDOS E IPC 2023 Y 2024'!$A$1:$C$20,3,0)),"0")</f>
        <v>44974</v>
      </c>
      <c r="G21" s="278">
        <v>312375</v>
      </c>
      <c r="H21" s="279">
        <f>IF(($F21="0"),$F21,(ROUNDDOWN((G21*(1+(H$4/100))),0)))</f>
        <v>315654</v>
      </c>
      <c r="I21" s="279">
        <f t="shared" si="7"/>
        <v>318116</v>
      </c>
      <c r="J21" s="279">
        <f t="shared" si="7"/>
        <v>319483</v>
      </c>
      <c r="K21" s="279">
        <f t="shared" si="7"/>
        <v>320441</v>
      </c>
      <c r="L21" s="279">
        <f t="shared" si="7"/>
        <v>322043</v>
      </c>
      <c r="M21" s="279">
        <f t="shared" si="7"/>
        <v>324297</v>
      </c>
      <c r="N21" s="279">
        <f t="shared" si="7"/>
        <v>326048</v>
      </c>
      <c r="O21" s="279">
        <f t="shared" si="7"/>
        <v>326863</v>
      </c>
      <c r="P21" s="279">
        <f t="shared" si="7"/>
        <v>328399</v>
      </c>
      <c r="Q21" s="279">
        <f t="shared" si="7"/>
        <v>329876</v>
      </c>
      <c r="R21" s="279">
        <f t="shared" si="7"/>
        <v>332910</v>
      </c>
      <c r="S21" s="279">
        <f t="shared" si="7"/>
        <v>336538</v>
      </c>
      <c r="T21" s="279">
        <f t="shared" si="7"/>
        <v>338893</v>
      </c>
      <c r="U21" s="279">
        <f t="shared" si="7"/>
        <v>340892</v>
      </c>
      <c r="V21" s="280">
        <f t="shared" si="1"/>
        <v>28517</v>
      </c>
      <c r="W21" s="281">
        <f t="shared" si="2"/>
        <v>9.1290916366546612E-2</v>
      </c>
    </row>
    <row r="22" spans="1:23" s="282" customFormat="1" ht="89.25">
      <c r="A22" s="283" t="s">
        <v>132</v>
      </c>
      <c r="B22" s="284" t="s">
        <v>140</v>
      </c>
      <c r="C22" s="284" t="s">
        <v>141</v>
      </c>
      <c r="D22" s="173" t="s">
        <v>108</v>
      </c>
      <c r="E22" s="77" t="s">
        <v>44</v>
      </c>
      <c r="F22" s="277">
        <f>IFERROR((VLOOKUP(E22,'MEMORANDOS E IPC 2023 Y 2024'!$A$1:$C$20,3,0)),"0")</f>
        <v>45100</v>
      </c>
      <c r="G22" s="278">
        <v>718794</v>
      </c>
      <c r="H22" s="278">
        <f>G22</f>
        <v>718794</v>
      </c>
      <c r="I22" s="278">
        <f t="shared" ref="I22:L23" si="8">H22</f>
        <v>718794</v>
      </c>
      <c r="J22" s="278">
        <f t="shared" si="8"/>
        <v>718794</v>
      </c>
      <c r="K22" s="278">
        <f t="shared" si="8"/>
        <v>718794</v>
      </c>
      <c r="L22" s="279">
        <f>IF(($F22="0"),$F22,(ROUNDDOWN((K22*(1+(L$4/100))),0)))</f>
        <v>722387</v>
      </c>
      <c r="M22" s="279">
        <f t="shared" si="7"/>
        <v>727443</v>
      </c>
      <c r="N22" s="279">
        <f t="shared" si="7"/>
        <v>731371</v>
      </c>
      <c r="O22" s="279">
        <f t="shared" si="7"/>
        <v>733199</v>
      </c>
      <c r="P22" s="279">
        <f t="shared" si="7"/>
        <v>736645</v>
      </c>
      <c r="Q22" s="279">
        <f t="shared" si="7"/>
        <v>739959</v>
      </c>
      <c r="R22" s="279">
        <f t="shared" si="7"/>
        <v>746766</v>
      </c>
      <c r="S22" s="279">
        <f t="shared" si="7"/>
        <v>754905</v>
      </c>
      <c r="T22" s="279">
        <f t="shared" si="7"/>
        <v>760189</v>
      </c>
      <c r="U22" s="279">
        <f t="shared" si="7"/>
        <v>764674</v>
      </c>
      <c r="V22" s="280">
        <f t="shared" si="1"/>
        <v>45880</v>
      </c>
      <c r="W22" s="281">
        <f t="shared" si="2"/>
        <v>6.3829136025064209E-2</v>
      </c>
    </row>
    <row r="23" spans="1:23" s="282" customFormat="1" ht="51">
      <c r="A23" s="283" t="s">
        <v>132</v>
      </c>
      <c r="B23" s="284" t="s">
        <v>142</v>
      </c>
      <c r="C23" s="172" t="s">
        <v>143</v>
      </c>
      <c r="D23" s="173" t="s">
        <v>137</v>
      </c>
      <c r="E23" s="77" t="s">
        <v>46</v>
      </c>
      <c r="F23" s="277">
        <f>IFERROR((VLOOKUP(E23,'MEMORANDOS E IPC 2023 Y 2024'!$A$1:$C$20,3,0)),"0")</f>
        <v>45117</v>
      </c>
      <c r="G23" s="285">
        <v>140987</v>
      </c>
      <c r="H23" s="285">
        <f>G23</f>
        <v>140987</v>
      </c>
      <c r="I23" s="285">
        <f t="shared" si="8"/>
        <v>140987</v>
      </c>
      <c r="J23" s="285">
        <f t="shared" si="8"/>
        <v>140987</v>
      </c>
      <c r="K23" s="285">
        <f t="shared" si="8"/>
        <v>140987</v>
      </c>
      <c r="L23" s="285">
        <f t="shared" si="8"/>
        <v>140987</v>
      </c>
      <c r="M23" s="279">
        <f>IF(($F23="0"),$F23,(ROUNDDOWN((L23*(1+(M$4/100))),0)))</f>
        <v>141973</v>
      </c>
      <c r="N23" s="279">
        <f t="shared" si="7"/>
        <v>142739</v>
      </c>
      <c r="O23" s="279">
        <f t="shared" si="7"/>
        <v>143095</v>
      </c>
      <c r="P23" s="279">
        <f t="shared" si="7"/>
        <v>143767</v>
      </c>
      <c r="Q23" s="279">
        <f t="shared" si="7"/>
        <v>144413</v>
      </c>
      <c r="R23" s="279">
        <f t="shared" si="7"/>
        <v>145741</v>
      </c>
      <c r="S23" s="279">
        <f t="shared" si="7"/>
        <v>147329</v>
      </c>
      <c r="T23" s="279">
        <f t="shared" si="7"/>
        <v>148360</v>
      </c>
      <c r="U23" s="279">
        <f t="shared" si="7"/>
        <v>149235</v>
      </c>
      <c r="V23" s="280">
        <f t="shared" si="1"/>
        <v>8248</v>
      </c>
      <c r="W23" s="281">
        <f t="shared" si="2"/>
        <v>5.8501847688084717E-2</v>
      </c>
    </row>
    <row r="24" spans="1:23" s="282" customFormat="1">
      <c r="A24" s="283" t="s">
        <v>132</v>
      </c>
      <c r="B24" s="284" t="s">
        <v>144</v>
      </c>
      <c r="C24" s="284" t="s">
        <v>145</v>
      </c>
      <c r="D24" s="173" t="s">
        <v>108</v>
      </c>
      <c r="E24" s="77" t="s">
        <v>84</v>
      </c>
      <c r="F24" s="277" t="str">
        <f>IFERROR((VLOOKUP(E24,'MEMORANDOS E IPC 2023 Y 2024'!$A$1:$C$20,3,0)),"0")</f>
        <v>0</v>
      </c>
      <c r="G24" s="278">
        <v>109564</v>
      </c>
      <c r="H24" s="279">
        <f>IF(($F24="0"),$G24,(ROUNDDOWN((G24*(1+(H$4/100))),0)))</f>
        <v>109564</v>
      </c>
      <c r="I24" s="279">
        <f t="shared" ref="I24:U25" si="9">IF(($F24="0"),$G24,(ROUNDDOWN((H24*(1+(I$4/100))),0)))</f>
        <v>109564</v>
      </c>
      <c r="J24" s="279">
        <f t="shared" si="9"/>
        <v>109564</v>
      </c>
      <c r="K24" s="279">
        <f t="shared" si="9"/>
        <v>109564</v>
      </c>
      <c r="L24" s="279">
        <f t="shared" si="9"/>
        <v>109564</v>
      </c>
      <c r="M24" s="279">
        <f t="shared" si="9"/>
        <v>109564</v>
      </c>
      <c r="N24" s="279">
        <f t="shared" si="9"/>
        <v>109564</v>
      </c>
      <c r="O24" s="279">
        <f t="shared" si="9"/>
        <v>109564</v>
      </c>
      <c r="P24" s="279">
        <f t="shared" si="9"/>
        <v>109564</v>
      </c>
      <c r="Q24" s="279">
        <f t="shared" si="9"/>
        <v>109564</v>
      </c>
      <c r="R24" s="279">
        <f t="shared" si="9"/>
        <v>109564</v>
      </c>
      <c r="S24" s="279">
        <f t="shared" si="9"/>
        <v>109564</v>
      </c>
      <c r="T24" s="279">
        <f t="shared" si="9"/>
        <v>109564</v>
      </c>
      <c r="U24" s="279">
        <f t="shared" si="9"/>
        <v>109564</v>
      </c>
      <c r="V24" s="280">
        <f t="shared" si="1"/>
        <v>0</v>
      </c>
      <c r="W24" s="281">
        <f t="shared" si="2"/>
        <v>0</v>
      </c>
    </row>
    <row r="25" spans="1:23" s="282" customFormat="1">
      <c r="A25" s="283" t="s">
        <v>132</v>
      </c>
      <c r="B25" s="284" t="s">
        <v>146</v>
      </c>
      <c r="C25" s="284" t="s">
        <v>147</v>
      </c>
      <c r="D25" s="173" t="s">
        <v>108</v>
      </c>
      <c r="E25" s="77" t="s">
        <v>84</v>
      </c>
      <c r="F25" s="277" t="str">
        <f>IFERROR((VLOOKUP(E25,'MEMORANDOS E IPC 2023 Y 2024'!$A$1:$C$20,3,0)),"0")</f>
        <v>0</v>
      </c>
      <c r="G25" s="278">
        <v>112447</v>
      </c>
      <c r="H25" s="279">
        <f>IF(($F25="0"),$G25,(ROUNDDOWN((G25*(1+(H$4/100))),0)))</f>
        <v>112447</v>
      </c>
      <c r="I25" s="279">
        <f t="shared" si="9"/>
        <v>112447</v>
      </c>
      <c r="J25" s="279">
        <f t="shared" si="9"/>
        <v>112447</v>
      </c>
      <c r="K25" s="279">
        <f t="shared" si="9"/>
        <v>112447</v>
      </c>
      <c r="L25" s="279">
        <f t="shared" si="9"/>
        <v>112447</v>
      </c>
      <c r="M25" s="279">
        <f t="shared" si="9"/>
        <v>112447</v>
      </c>
      <c r="N25" s="279">
        <f t="shared" si="9"/>
        <v>112447</v>
      </c>
      <c r="O25" s="279">
        <f t="shared" si="9"/>
        <v>112447</v>
      </c>
      <c r="P25" s="279">
        <f t="shared" si="9"/>
        <v>112447</v>
      </c>
      <c r="Q25" s="279">
        <f t="shared" si="9"/>
        <v>112447</v>
      </c>
      <c r="R25" s="279">
        <f t="shared" si="9"/>
        <v>112447</v>
      </c>
      <c r="S25" s="279">
        <f t="shared" si="9"/>
        <v>112447</v>
      </c>
      <c r="T25" s="279">
        <f t="shared" si="9"/>
        <v>112447</v>
      </c>
      <c r="U25" s="279">
        <f t="shared" si="9"/>
        <v>112447</v>
      </c>
      <c r="V25" s="280">
        <f t="shared" si="1"/>
        <v>0</v>
      </c>
      <c r="W25" s="281">
        <f t="shared" si="2"/>
        <v>0</v>
      </c>
    </row>
    <row r="26" spans="1:23" s="282" customFormat="1" ht="25.5">
      <c r="A26" s="283" t="s">
        <v>132</v>
      </c>
      <c r="B26" s="284" t="s">
        <v>148</v>
      </c>
      <c r="C26" s="284" t="s">
        <v>149</v>
      </c>
      <c r="D26" s="173" t="s">
        <v>108</v>
      </c>
      <c r="E26" s="77" t="s">
        <v>44</v>
      </c>
      <c r="F26" s="277">
        <f>IFERROR((VLOOKUP(E26,'MEMORANDOS E IPC 2023 Y 2024'!$A$1:$C$20,3,0)),"0")</f>
        <v>45100</v>
      </c>
      <c r="G26" s="278">
        <v>23503</v>
      </c>
      <c r="H26" s="278">
        <f>G26</f>
        <v>23503</v>
      </c>
      <c r="I26" s="278">
        <f t="shared" ref="I26:K26" si="10">H26</f>
        <v>23503</v>
      </c>
      <c r="J26" s="278">
        <f t="shared" si="10"/>
        <v>23503</v>
      </c>
      <c r="K26" s="278">
        <f t="shared" si="10"/>
        <v>23503</v>
      </c>
      <c r="L26" s="279">
        <f>IF(($F26="0"),$F26,(ROUNDDOWN((K26*(1+(L$4/100))),0)))</f>
        <v>23620</v>
      </c>
      <c r="M26" s="279">
        <f t="shared" ref="M26:U26" si="11">IF(($F26="0"),$F26,(ROUNDDOWN((L26*(1+(M$4/100))),0)))</f>
        <v>23785</v>
      </c>
      <c r="N26" s="279">
        <f t="shared" si="11"/>
        <v>23913</v>
      </c>
      <c r="O26" s="279">
        <f t="shared" si="11"/>
        <v>23972</v>
      </c>
      <c r="P26" s="279">
        <f t="shared" si="11"/>
        <v>24084</v>
      </c>
      <c r="Q26" s="279">
        <f t="shared" si="11"/>
        <v>24192</v>
      </c>
      <c r="R26" s="279">
        <f t="shared" si="11"/>
        <v>24414</v>
      </c>
      <c r="S26" s="279">
        <f t="shared" si="11"/>
        <v>24680</v>
      </c>
      <c r="T26" s="279">
        <f t="shared" si="11"/>
        <v>24852</v>
      </c>
      <c r="U26" s="279">
        <f t="shared" si="11"/>
        <v>24998</v>
      </c>
      <c r="V26" s="280">
        <f t="shared" si="1"/>
        <v>1495</v>
      </c>
      <c r="W26" s="281">
        <f t="shared" si="2"/>
        <v>6.3608900991362807E-2</v>
      </c>
    </row>
    <row r="27" spans="1:23" s="282" customFormat="1" ht="51">
      <c r="A27" s="283" t="s">
        <v>132</v>
      </c>
      <c r="B27" s="284" t="s">
        <v>150</v>
      </c>
      <c r="C27" s="172" t="s">
        <v>151</v>
      </c>
      <c r="D27" s="173" t="s">
        <v>137</v>
      </c>
      <c r="E27" s="77" t="s">
        <v>36</v>
      </c>
      <c r="F27" s="277">
        <f>IFERROR((VLOOKUP(E27,'MEMORANDOS E IPC 2023 Y 2024'!$A$1:$C$20,3,0)),"0")</f>
        <v>44974</v>
      </c>
      <c r="G27" s="285">
        <v>11208</v>
      </c>
      <c r="H27" s="279">
        <f>IF(($F27="0"),$F27,(ROUNDDOWN((G27*(1+(H$4/100))),0)))</f>
        <v>11325</v>
      </c>
      <c r="I27" s="279">
        <f t="shared" ref="I27:U30" si="12">IF(($F27="0"),$F27,(ROUNDDOWN((H27*(1+(I$4/100))),0)))</f>
        <v>11413</v>
      </c>
      <c r="J27" s="279">
        <f t="shared" si="12"/>
        <v>11462</v>
      </c>
      <c r="K27" s="279">
        <f t="shared" si="12"/>
        <v>11496</v>
      </c>
      <c r="L27" s="279">
        <f t="shared" si="12"/>
        <v>11553</v>
      </c>
      <c r="M27" s="279">
        <f t="shared" si="12"/>
        <v>11633</v>
      </c>
      <c r="N27" s="279">
        <f t="shared" si="12"/>
        <v>11695</v>
      </c>
      <c r="O27" s="279">
        <f t="shared" si="12"/>
        <v>11724</v>
      </c>
      <c r="P27" s="279">
        <f t="shared" si="12"/>
        <v>11779</v>
      </c>
      <c r="Q27" s="279">
        <f t="shared" si="12"/>
        <v>11832</v>
      </c>
      <c r="R27" s="279">
        <f t="shared" si="12"/>
        <v>11940</v>
      </c>
      <c r="S27" s="279">
        <f t="shared" si="12"/>
        <v>12070</v>
      </c>
      <c r="T27" s="279">
        <f t="shared" si="12"/>
        <v>12154</v>
      </c>
      <c r="U27" s="279">
        <f t="shared" si="12"/>
        <v>12225</v>
      </c>
      <c r="V27" s="280">
        <f t="shared" si="1"/>
        <v>1017</v>
      </c>
      <c r="W27" s="281">
        <f t="shared" si="2"/>
        <v>9.0738758029978592E-2</v>
      </c>
    </row>
    <row r="28" spans="1:23" s="282" customFormat="1" ht="51">
      <c r="A28" s="283" t="s">
        <v>132</v>
      </c>
      <c r="B28" s="284" t="s">
        <v>152</v>
      </c>
      <c r="C28" s="172" t="s">
        <v>153</v>
      </c>
      <c r="D28" s="173" t="s">
        <v>137</v>
      </c>
      <c r="E28" s="77" t="s">
        <v>36</v>
      </c>
      <c r="F28" s="277">
        <f>IFERROR((VLOOKUP(E28,'MEMORANDOS E IPC 2023 Y 2024'!$A$1:$C$20,3,0)),"0")</f>
        <v>44974</v>
      </c>
      <c r="G28" s="285">
        <v>359859</v>
      </c>
      <c r="H28" s="279">
        <f>IF(($F28="0"),$F28,(ROUNDDOWN((G28*(1+(H$4/100))),0)))</f>
        <v>363637</v>
      </c>
      <c r="I28" s="279">
        <f t="shared" si="12"/>
        <v>366473</v>
      </c>
      <c r="J28" s="279">
        <f t="shared" si="12"/>
        <v>368048</v>
      </c>
      <c r="K28" s="279">
        <f t="shared" si="12"/>
        <v>369152</v>
      </c>
      <c r="L28" s="279">
        <f t="shared" si="12"/>
        <v>370997</v>
      </c>
      <c r="M28" s="279">
        <f t="shared" si="12"/>
        <v>373593</v>
      </c>
      <c r="N28" s="279">
        <f t="shared" si="12"/>
        <v>375610</v>
      </c>
      <c r="O28" s="279">
        <f t="shared" si="12"/>
        <v>376549</v>
      </c>
      <c r="P28" s="279">
        <f t="shared" si="12"/>
        <v>378318</v>
      </c>
      <c r="Q28" s="279">
        <f t="shared" si="12"/>
        <v>380020</v>
      </c>
      <c r="R28" s="279">
        <f t="shared" si="12"/>
        <v>383516</v>
      </c>
      <c r="S28" s="279">
        <f t="shared" si="12"/>
        <v>387696</v>
      </c>
      <c r="T28" s="279">
        <f t="shared" si="12"/>
        <v>390409</v>
      </c>
      <c r="U28" s="279">
        <f t="shared" si="12"/>
        <v>392712</v>
      </c>
      <c r="V28" s="280">
        <f t="shared" si="1"/>
        <v>32853</v>
      </c>
      <c r="W28" s="281">
        <f t="shared" si="2"/>
        <v>9.1294090185322585E-2</v>
      </c>
    </row>
    <row r="29" spans="1:23" s="282" customFormat="1" ht="280.5">
      <c r="A29" s="283" t="s">
        <v>132</v>
      </c>
      <c r="B29" s="284" t="s">
        <v>154</v>
      </c>
      <c r="C29" s="172" t="s">
        <v>155</v>
      </c>
      <c r="D29" s="173" t="s">
        <v>137</v>
      </c>
      <c r="E29" s="77" t="s">
        <v>60</v>
      </c>
      <c r="F29" s="277">
        <f>IFERROR((VLOOKUP(E29,'MEMORANDOS E IPC 2023 Y 2024'!$A$1:$C$20,3,0)),"0")</f>
        <v>45219</v>
      </c>
      <c r="G29" s="285">
        <v>1160000</v>
      </c>
      <c r="H29" s="285">
        <f>G29</f>
        <v>1160000</v>
      </c>
      <c r="I29" s="285">
        <f t="shared" ref="I29:O30" si="13">H29</f>
        <v>1160000</v>
      </c>
      <c r="J29" s="285">
        <f t="shared" si="13"/>
        <v>1160000</v>
      </c>
      <c r="K29" s="285">
        <f t="shared" si="13"/>
        <v>1160000</v>
      </c>
      <c r="L29" s="285">
        <f t="shared" si="13"/>
        <v>1160000</v>
      </c>
      <c r="M29" s="285">
        <f t="shared" si="13"/>
        <v>1160000</v>
      </c>
      <c r="N29" s="285">
        <f t="shared" si="13"/>
        <v>1160000</v>
      </c>
      <c r="O29" s="285">
        <f t="shared" si="13"/>
        <v>1160000</v>
      </c>
      <c r="P29" s="279">
        <f>IF(($F29="0"),$F29,(ROUNDDOWN((O29*(1+(P$4/100))),0)))</f>
        <v>1165452</v>
      </c>
      <c r="Q29" s="279">
        <f t="shared" si="12"/>
        <v>1170696</v>
      </c>
      <c r="R29" s="279">
        <f t="shared" si="12"/>
        <v>1181466</v>
      </c>
      <c r="S29" s="279">
        <f t="shared" si="12"/>
        <v>1194343</v>
      </c>
      <c r="T29" s="279">
        <f t="shared" si="12"/>
        <v>1202703</v>
      </c>
      <c r="U29" s="279">
        <f t="shared" si="12"/>
        <v>1209798</v>
      </c>
      <c r="V29" s="280">
        <f t="shared" si="1"/>
        <v>49798</v>
      </c>
      <c r="W29" s="281">
        <f t="shared" si="2"/>
        <v>4.2929310344827588E-2</v>
      </c>
    </row>
    <row r="30" spans="1:23" s="282" customFormat="1" ht="140.25">
      <c r="A30" s="283" t="s">
        <v>132</v>
      </c>
      <c r="B30" s="284" t="s">
        <v>156</v>
      </c>
      <c r="C30" s="284" t="s">
        <v>157</v>
      </c>
      <c r="D30" s="173" t="s">
        <v>108</v>
      </c>
      <c r="E30" s="77" t="s">
        <v>56</v>
      </c>
      <c r="F30" s="277">
        <f>IFERROR((VLOOKUP(E30,'MEMORANDOS E IPC 2023 Y 2024'!$A$1:$C$20,3,0)),"0")</f>
        <v>45212</v>
      </c>
      <c r="G30" s="278">
        <v>279950</v>
      </c>
      <c r="H30" s="285">
        <f>G30</f>
        <v>279950</v>
      </c>
      <c r="I30" s="285">
        <f t="shared" si="13"/>
        <v>279950</v>
      </c>
      <c r="J30" s="285">
        <f t="shared" si="13"/>
        <v>279950</v>
      </c>
      <c r="K30" s="285">
        <f t="shared" si="13"/>
        <v>279950</v>
      </c>
      <c r="L30" s="285">
        <f t="shared" si="13"/>
        <v>279950</v>
      </c>
      <c r="M30" s="285">
        <f t="shared" si="13"/>
        <v>279950</v>
      </c>
      <c r="N30" s="285">
        <f t="shared" si="13"/>
        <v>279950</v>
      </c>
      <c r="O30" s="285">
        <f t="shared" si="13"/>
        <v>279950</v>
      </c>
      <c r="P30" s="279">
        <f>IF(($F30="0"),$F30,(ROUNDDOWN((O30*(1+(P$4/100))),0)))</f>
        <v>281265</v>
      </c>
      <c r="Q30" s="279">
        <f t="shared" si="12"/>
        <v>282530</v>
      </c>
      <c r="R30" s="279">
        <f t="shared" si="12"/>
        <v>285129</v>
      </c>
      <c r="S30" s="279">
        <f t="shared" si="12"/>
        <v>288236</v>
      </c>
      <c r="T30" s="279">
        <f t="shared" si="12"/>
        <v>290253</v>
      </c>
      <c r="U30" s="279">
        <f t="shared" si="12"/>
        <v>291965</v>
      </c>
      <c r="V30" s="280">
        <f t="shared" si="1"/>
        <v>12015</v>
      </c>
      <c r="W30" s="281">
        <f t="shared" si="2"/>
        <v>4.2918378281836041E-2</v>
      </c>
    </row>
    <row r="31" spans="1:23" s="282" customFormat="1" ht="51">
      <c r="A31" s="283" t="s">
        <v>132</v>
      </c>
      <c r="B31" s="284" t="s">
        <v>158</v>
      </c>
      <c r="C31" s="172" t="s">
        <v>159</v>
      </c>
      <c r="D31" s="173" t="s">
        <v>137</v>
      </c>
      <c r="E31" s="77" t="s">
        <v>36</v>
      </c>
      <c r="F31" s="277">
        <f>IFERROR((VLOOKUP(E31,'MEMORANDOS E IPC 2023 Y 2024'!$A$1:$C$20,3,0)),"0")</f>
        <v>44974</v>
      </c>
      <c r="G31" s="285">
        <v>49609</v>
      </c>
      <c r="H31" s="279">
        <f>IF(($F31="0"),$F31,(ROUNDDOWN((G31*(1+(H$4/100))),0)))</f>
        <v>50129</v>
      </c>
      <c r="I31" s="279">
        <f t="shared" ref="I31:U33" si="14">IF(($F31="0"),$F31,(ROUNDDOWN((H31*(1+(I$4/100))),0)))</f>
        <v>50520</v>
      </c>
      <c r="J31" s="279">
        <f t="shared" si="14"/>
        <v>50737</v>
      </c>
      <c r="K31" s="279">
        <f t="shared" si="14"/>
        <v>50889</v>
      </c>
      <c r="L31" s="279">
        <f t="shared" si="14"/>
        <v>51143</v>
      </c>
      <c r="M31" s="279">
        <f t="shared" si="14"/>
        <v>51501</v>
      </c>
      <c r="N31" s="279">
        <f t="shared" si="14"/>
        <v>51779</v>
      </c>
      <c r="O31" s="279">
        <f t="shared" si="14"/>
        <v>51908</v>
      </c>
      <c r="P31" s="279">
        <f t="shared" si="14"/>
        <v>52151</v>
      </c>
      <c r="Q31" s="279">
        <f t="shared" si="14"/>
        <v>52385</v>
      </c>
      <c r="R31" s="279">
        <f t="shared" si="14"/>
        <v>52866</v>
      </c>
      <c r="S31" s="279">
        <f t="shared" si="14"/>
        <v>53442</v>
      </c>
      <c r="T31" s="279">
        <f t="shared" si="14"/>
        <v>53816</v>
      </c>
      <c r="U31" s="279">
        <f t="shared" si="14"/>
        <v>54133</v>
      </c>
      <c r="V31" s="280">
        <f t="shared" si="1"/>
        <v>4524</v>
      </c>
      <c r="W31" s="281">
        <f t="shared" si="2"/>
        <v>9.1193130278780066E-2</v>
      </c>
    </row>
    <row r="32" spans="1:23" s="282" customFormat="1" ht="63.75">
      <c r="A32" s="283" t="s">
        <v>132</v>
      </c>
      <c r="B32" s="284" t="s">
        <v>160</v>
      </c>
      <c r="C32" s="284" t="s">
        <v>161</v>
      </c>
      <c r="D32" s="173" t="s">
        <v>137</v>
      </c>
      <c r="E32" s="77" t="s">
        <v>38</v>
      </c>
      <c r="F32" s="277">
        <f>IFERROR((VLOOKUP(E32,'MEMORANDOS E IPC 2023 Y 2024'!$A$1:$C$20,3,0)),"0")</f>
        <v>45002</v>
      </c>
      <c r="G32" s="278">
        <v>159628</v>
      </c>
      <c r="H32" s="278">
        <f>G32</f>
        <v>159628</v>
      </c>
      <c r="I32" s="279">
        <f>IF(($F32="0"),$F32,(ROUNDDOWN((H32*(1+(I$4/100))),0)))</f>
        <v>160873</v>
      </c>
      <c r="J32" s="279">
        <f t="shared" si="14"/>
        <v>161564</v>
      </c>
      <c r="K32" s="279">
        <f t="shared" si="14"/>
        <v>162048</v>
      </c>
      <c r="L32" s="279">
        <f t="shared" si="14"/>
        <v>162858</v>
      </c>
      <c r="M32" s="279">
        <f t="shared" si="14"/>
        <v>163998</v>
      </c>
      <c r="N32" s="279">
        <f t="shared" si="14"/>
        <v>164883</v>
      </c>
      <c r="O32" s="279">
        <f t="shared" si="14"/>
        <v>165295</v>
      </c>
      <c r="P32" s="279">
        <f t="shared" si="14"/>
        <v>166071</v>
      </c>
      <c r="Q32" s="279">
        <f t="shared" si="14"/>
        <v>166818</v>
      </c>
      <c r="R32" s="279">
        <f t="shared" si="14"/>
        <v>168352</v>
      </c>
      <c r="S32" s="279">
        <f t="shared" si="14"/>
        <v>170187</v>
      </c>
      <c r="T32" s="279">
        <f t="shared" si="14"/>
        <v>171378</v>
      </c>
      <c r="U32" s="279">
        <f t="shared" si="14"/>
        <v>172389</v>
      </c>
      <c r="V32" s="280">
        <f t="shared" si="1"/>
        <v>12761</v>
      </c>
      <c r="W32" s="281">
        <f t="shared" si="2"/>
        <v>7.9942115418347656E-2</v>
      </c>
    </row>
    <row r="33" spans="1:23" s="282" customFormat="1" ht="293.25">
      <c r="A33" s="283" t="s">
        <v>132</v>
      </c>
      <c r="B33" s="284" t="s">
        <v>162</v>
      </c>
      <c r="C33" s="284" t="s">
        <v>163</v>
      </c>
      <c r="D33" s="173" t="s">
        <v>137</v>
      </c>
      <c r="E33" s="77" t="s">
        <v>48</v>
      </c>
      <c r="F33" s="277">
        <f>IFERROR((VLOOKUP(E33,'MEMORANDOS E IPC 2023 Y 2024'!$A$1:$C$20,3,0)),"0")</f>
        <v>45161</v>
      </c>
      <c r="G33" s="278">
        <v>111050</v>
      </c>
      <c r="H33" s="278">
        <f>G33</f>
        <v>111050</v>
      </c>
      <c r="I33" s="278">
        <f t="shared" ref="I33:M33" si="15">H33</f>
        <v>111050</v>
      </c>
      <c r="J33" s="278">
        <f t="shared" si="15"/>
        <v>111050</v>
      </c>
      <c r="K33" s="278">
        <f t="shared" si="15"/>
        <v>111050</v>
      </c>
      <c r="L33" s="278">
        <f t="shared" si="15"/>
        <v>111050</v>
      </c>
      <c r="M33" s="278">
        <f t="shared" si="15"/>
        <v>111050</v>
      </c>
      <c r="N33" s="279">
        <f>IF(($F33="0"),$F33,(ROUNDDOWN((M33*(1+(N$4/100))),0)))</f>
        <v>111649</v>
      </c>
      <c r="O33" s="279">
        <f t="shared" si="14"/>
        <v>111928</v>
      </c>
      <c r="P33" s="279">
        <f t="shared" si="14"/>
        <v>112454</v>
      </c>
      <c r="Q33" s="279">
        <f t="shared" si="14"/>
        <v>112960</v>
      </c>
      <c r="R33" s="279">
        <f t="shared" si="14"/>
        <v>113999</v>
      </c>
      <c r="S33" s="279">
        <f t="shared" si="14"/>
        <v>115241</v>
      </c>
      <c r="T33" s="279">
        <f t="shared" si="14"/>
        <v>116047</v>
      </c>
      <c r="U33" s="279">
        <f t="shared" si="14"/>
        <v>116731</v>
      </c>
      <c r="V33" s="280">
        <f t="shared" si="1"/>
        <v>5681</v>
      </c>
      <c r="W33" s="281">
        <f t="shared" si="2"/>
        <v>5.1157136425033771E-2</v>
      </c>
    </row>
    <row r="34" spans="1:23" s="282" customFormat="1" ht="51">
      <c r="A34" s="283" t="s">
        <v>132</v>
      </c>
      <c r="B34" s="284" t="s">
        <v>164</v>
      </c>
      <c r="C34" s="172" t="s">
        <v>165</v>
      </c>
      <c r="D34" s="173" t="s">
        <v>137</v>
      </c>
      <c r="E34" s="77" t="s">
        <v>36</v>
      </c>
      <c r="F34" s="277">
        <f>IFERROR((VLOOKUP(E34,'MEMORANDOS E IPC 2023 Y 2024'!$A$1:$C$20,3,0)),"0")</f>
        <v>44974</v>
      </c>
      <c r="G34" s="285">
        <v>571791</v>
      </c>
      <c r="H34" s="279">
        <f>IF(($F34="0"),$F34,(ROUNDDOWN((G34*(1+(H$4/100))),0)))</f>
        <v>577794</v>
      </c>
      <c r="I34" s="279">
        <f t="shared" ref="I34:U34" si="16">IF(($F34="0"),$F34,(ROUNDDOWN((H34*(1+(I$4/100))),0)))</f>
        <v>582300</v>
      </c>
      <c r="J34" s="279">
        <f t="shared" si="16"/>
        <v>584803</v>
      </c>
      <c r="K34" s="279">
        <f t="shared" si="16"/>
        <v>586557</v>
      </c>
      <c r="L34" s="279">
        <f t="shared" si="16"/>
        <v>589489</v>
      </c>
      <c r="M34" s="279">
        <f t="shared" si="16"/>
        <v>593615</v>
      </c>
      <c r="N34" s="279">
        <f t="shared" si="16"/>
        <v>596820</v>
      </c>
      <c r="O34" s="279">
        <f t="shared" si="16"/>
        <v>598312</v>
      </c>
      <c r="P34" s="279">
        <f t="shared" si="16"/>
        <v>601124</v>
      </c>
      <c r="Q34" s="279">
        <f t="shared" si="16"/>
        <v>603829</v>
      </c>
      <c r="R34" s="279">
        <f t="shared" si="16"/>
        <v>609384</v>
      </c>
      <c r="S34" s="279">
        <f t="shared" si="16"/>
        <v>616026</v>
      </c>
      <c r="T34" s="279">
        <f t="shared" si="16"/>
        <v>620338</v>
      </c>
      <c r="U34" s="279">
        <f t="shared" si="16"/>
        <v>623997</v>
      </c>
      <c r="V34" s="280">
        <f t="shared" si="1"/>
        <v>52206</v>
      </c>
      <c r="W34" s="281">
        <f t="shared" si="2"/>
        <v>9.1302591331448024E-2</v>
      </c>
    </row>
    <row r="35" spans="1:23" s="282" customFormat="1" ht="51">
      <c r="A35" s="283" t="s">
        <v>132</v>
      </c>
      <c r="B35" s="284" t="s">
        <v>166</v>
      </c>
      <c r="C35" s="172" t="s">
        <v>167</v>
      </c>
      <c r="D35" s="173" t="s">
        <v>137</v>
      </c>
      <c r="E35" s="77" t="s">
        <v>64</v>
      </c>
      <c r="F35" s="277" t="str">
        <f>IFERROR((VLOOKUP(E35,'MEMORANDOS E IPC 2023 Y 2024'!$A$1:$C$20,3,0)),"0")</f>
        <v>0</v>
      </c>
      <c r="G35" s="285">
        <v>943857</v>
      </c>
      <c r="H35" s="279">
        <f>IF(($F35="0"),$G35,(ROUNDDOWN((G35*(1+(H$4/100))),0)))</f>
        <v>943857</v>
      </c>
      <c r="I35" s="279">
        <f t="shared" ref="I35:U35" si="17">IF(($F35="0"),$G35,(ROUNDDOWN((H35*(1+(I$4/100))),0)))</f>
        <v>943857</v>
      </c>
      <c r="J35" s="279">
        <f t="shared" si="17"/>
        <v>943857</v>
      </c>
      <c r="K35" s="279">
        <f t="shared" si="17"/>
        <v>943857</v>
      </c>
      <c r="L35" s="279">
        <f t="shared" si="17"/>
        <v>943857</v>
      </c>
      <c r="M35" s="279">
        <f t="shared" si="17"/>
        <v>943857</v>
      </c>
      <c r="N35" s="279">
        <f t="shared" si="17"/>
        <v>943857</v>
      </c>
      <c r="O35" s="279">
        <f t="shared" si="17"/>
        <v>943857</v>
      </c>
      <c r="P35" s="279">
        <f t="shared" si="17"/>
        <v>943857</v>
      </c>
      <c r="Q35" s="279">
        <f t="shared" si="17"/>
        <v>943857</v>
      </c>
      <c r="R35" s="279">
        <f t="shared" si="17"/>
        <v>943857</v>
      </c>
      <c r="S35" s="279">
        <f t="shared" si="17"/>
        <v>943857</v>
      </c>
      <c r="T35" s="279">
        <f t="shared" si="17"/>
        <v>943857</v>
      </c>
      <c r="U35" s="279">
        <f t="shared" si="17"/>
        <v>943857</v>
      </c>
      <c r="V35" s="280">
        <f t="shared" si="1"/>
        <v>0</v>
      </c>
      <c r="W35" s="281">
        <f t="shared" si="2"/>
        <v>0</v>
      </c>
    </row>
    <row r="36" spans="1:23" s="282" customFormat="1" ht="51">
      <c r="A36" s="283" t="s">
        <v>132</v>
      </c>
      <c r="B36" s="284" t="s">
        <v>168</v>
      </c>
      <c r="C36" s="172" t="s">
        <v>169</v>
      </c>
      <c r="D36" s="173" t="s">
        <v>137</v>
      </c>
      <c r="E36" s="77" t="s">
        <v>54</v>
      </c>
      <c r="F36" s="277">
        <f>IFERROR((VLOOKUP(E36,'MEMORANDOS E IPC 2023 Y 2024'!$A$1:$C$20,3,0)),"0")</f>
        <v>45210</v>
      </c>
      <c r="G36" s="285">
        <v>168130</v>
      </c>
      <c r="H36" s="285">
        <f>G36</f>
        <v>168130</v>
      </c>
      <c r="I36" s="285">
        <f t="shared" ref="I36:O39" si="18">H36</f>
        <v>168130</v>
      </c>
      <c r="J36" s="285">
        <f t="shared" si="18"/>
        <v>168130</v>
      </c>
      <c r="K36" s="285">
        <f t="shared" si="18"/>
        <v>168130</v>
      </c>
      <c r="L36" s="285">
        <f t="shared" si="18"/>
        <v>168130</v>
      </c>
      <c r="M36" s="285">
        <f t="shared" si="18"/>
        <v>168130</v>
      </c>
      <c r="N36" s="285">
        <f t="shared" si="18"/>
        <v>168130</v>
      </c>
      <c r="O36" s="285">
        <f t="shared" si="18"/>
        <v>168130</v>
      </c>
      <c r="P36" s="279">
        <f t="shared" ref="P36:U39" si="19">IF(($F36="0"),$F36,(ROUNDDOWN((O36*(1+(P$4/100))),0)))</f>
        <v>168920</v>
      </c>
      <c r="Q36" s="279">
        <f t="shared" si="19"/>
        <v>169680</v>
      </c>
      <c r="R36" s="279">
        <f t="shared" si="19"/>
        <v>171241</v>
      </c>
      <c r="S36" s="279">
        <f t="shared" si="19"/>
        <v>173107</v>
      </c>
      <c r="T36" s="279">
        <f t="shared" si="19"/>
        <v>174318</v>
      </c>
      <c r="U36" s="279">
        <f t="shared" si="19"/>
        <v>175346</v>
      </c>
      <c r="V36" s="280">
        <f t="shared" si="1"/>
        <v>7216</v>
      </c>
      <c r="W36" s="281">
        <f t="shared" si="2"/>
        <v>4.2919169690120738E-2</v>
      </c>
    </row>
    <row r="37" spans="1:23" s="282" customFormat="1" ht="76.5">
      <c r="A37" s="283" t="s">
        <v>132</v>
      </c>
      <c r="B37" s="284" t="s">
        <v>170</v>
      </c>
      <c r="C37" s="284" t="s">
        <v>171</v>
      </c>
      <c r="D37" s="173" t="s">
        <v>137</v>
      </c>
      <c r="E37" s="77" t="s">
        <v>58</v>
      </c>
      <c r="F37" s="277">
        <f>IFERROR((VLOOKUP(E37,'MEMORANDOS E IPC 2023 Y 2024'!$A$1:$C$20,3,0)),"0")</f>
        <v>45212</v>
      </c>
      <c r="G37" s="278">
        <v>1309250</v>
      </c>
      <c r="H37" s="285">
        <f>G37</f>
        <v>1309250</v>
      </c>
      <c r="I37" s="285">
        <f t="shared" si="18"/>
        <v>1309250</v>
      </c>
      <c r="J37" s="285">
        <f t="shared" si="18"/>
        <v>1309250</v>
      </c>
      <c r="K37" s="285">
        <f t="shared" si="18"/>
        <v>1309250</v>
      </c>
      <c r="L37" s="285">
        <f t="shared" si="18"/>
        <v>1309250</v>
      </c>
      <c r="M37" s="285">
        <f t="shared" si="18"/>
        <v>1309250</v>
      </c>
      <c r="N37" s="285">
        <f t="shared" si="18"/>
        <v>1309250</v>
      </c>
      <c r="O37" s="285">
        <f t="shared" si="18"/>
        <v>1309250</v>
      </c>
      <c r="P37" s="279">
        <f t="shared" si="19"/>
        <v>1315403</v>
      </c>
      <c r="Q37" s="279">
        <f t="shared" si="19"/>
        <v>1321322</v>
      </c>
      <c r="R37" s="279">
        <f t="shared" si="19"/>
        <v>1333478</v>
      </c>
      <c r="S37" s="279">
        <f t="shared" si="19"/>
        <v>1348012</v>
      </c>
      <c r="T37" s="279">
        <f t="shared" si="19"/>
        <v>1357448</v>
      </c>
      <c r="U37" s="279">
        <f t="shared" si="19"/>
        <v>1365456</v>
      </c>
      <c r="V37" s="280">
        <f t="shared" si="1"/>
        <v>56206</v>
      </c>
      <c r="W37" s="281">
        <f t="shared" si="2"/>
        <v>4.2929921710903186E-2</v>
      </c>
    </row>
    <row r="38" spans="1:23" s="282" customFormat="1" ht="89.25">
      <c r="A38" s="283" t="s">
        <v>132</v>
      </c>
      <c r="B38" s="284" t="s">
        <v>172</v>
      </c>
      <c r="C38" s="284" t="s">
        <v>173</v>
      </c>
      <c r="D38" s="173" t="s">
        <v>137</v>
      </c>
      <c r="E38" s="77" t="s">
        <v>56</v>
      </c>
      <c r="F38" s="277">
        <f>IFERROR((VLOOKUP(E38,'MEMORANDOS E IPC 2023 Y 2024'!$A$1:$C$20,3,0)),"0")</f>
        <v>45212</v>
      </c>
      <c r="G38" s="278">
        <v>378340</v>
      </c>
      <c r="H38" s="285">
        <f>G38</f>
        <v>378340</v>
      </c>
      <c r="I38" s="285">
        <f t="shared" si="18"/>
        <v>378340</v>
      </c>
      <c r="J38" s="285">
        <f t="shared" si="18"/>
        <v>378340</v>
      </c>
      <c r="K38" s="285">
        <f t="shared" si="18"/>
        <v>378340</v>
      </c>
      <c r="L38" s="285">
        <f t="shared" si="18"/>
        <v>378340</v>
      </c>
      <c r="M38" s="285">
        <f t="shared" si="18"/>
        <v>378340</v>
      </c>
      <c r="N38" s="285">
        <f t="shared" si="18"/>
        <v>378340</v>
      </c>
      <c r="O38" s="285">
        <f t="shared" si="18"/>
        <v>378340</v>
      </c>
      <c r="P38" s="279">
        <f t="shared" si="19"/>
        <v>380118</v>
      </c>
      <c r="Q38" s="279">
        <f t="shared" si="19"/>
        <v>381828</v>
      </c>
      <c r="R38" s="279">
        <f t="shared" si="19"/>
        <v>385340</v>
      </c>
      <c r="S38" s="279">
        <f t="shared" si="19"/>
        <v>389540</v>
      </c>
      <c r="T38" s="279">
        <f t="shared" si="19"/>
        <v>392266</v>
      </c>
      <c r="U38" s="279">
        <f t="shared" si="19"/>
        <v>394580</v>
      </c>
      <c r="V38" s="280">
        <f t="shared" si="1"/>
        <v>16240</v>
      </c>
      <c r="W38" s="281">
        <f t="shared" si="2"/>
        <v>4.2924353755880953E-2</v>
      </c>
    </row>
    <row r="39" spans="1:23" s="282" customFormat="1" ht="114.75">
      <c r="A39" s="283" t="s">
        <v>132</v>
      </c>
      <c r="B39" s="284" t="s">
        <v>174</v>
      </c>
      <c r="C39" s="172" t="s">
        <v>175</v>
      </c>
      <c r="D39" s="173" t="s">
        <v>137</v>
      </c>
      <c r="E39" s="77" t="s">
        <v>56</v>
      </c>
      <c r="F39" s="277">
        <f>IFERROR((VLOOKUP(E39,'MEMORANDOS E IPC 2023 Y 2024'!$A$1:$C$20,3,0)),"0")</f>
        <v>45212</v>
      </c>
      <c r="G39" s="285">
        <v>171325</v>
      </c>
      <c r="H39" s="285">
        <f>G39</f>
        <v>171325</v>
      </c>
      <c r="I39" s="285">
        <f t="shared" si="18"/>
        <v>171325</v>
      </c>
      <c r="J39" s="285">
        <f t="shared" si="18"/>
        <v>171325</v>
      </c>
      <c r="K39" s="285">
        <f t="shared" si="18"/>
        <v>171325</v>
      </c>
      <c r="L39" s="285">
        <f t="shared" si="18"/>
        <v>171325</v>
      </c>
      <c r="M39" s="285">
        <f t="shared" si="18"/>
        <v>171325</v>
      </c>
      <c r="N39" s="285">
        <f t="shared" si="18"/>
        <v>171325</v>
      </c>
      <c r="O39" s="285">
        <f t="shared" si="18"/>
        <v>171325</v>
      </c>
      <c r="P39" s="279">
        <f t="shared" si="19"/>
        <v>172130</v>
      </c>
      <c r="Q39" s="279">
        <f t="shared" si="19"/>
        <v>172904</v>
      </c>
      <c r="R39" s="279">
        <f t="shared" si="19"/>
        <v>174494</v>
      </c>
      <c r="S39" s="279">
        <f t="shared" si="19"/>
        <v>176395</v>
      </c>
      <c r="T39" s="279">
        <f t="shared" si="19"/>
        <v>177629</v>
      </c>
      <c r="U39" s="279">
        <f t="shared" si="19"/>
        <v>178677</v>
      </c>
      <c r="V39" s="280">
        <f t="shared" si="1"/>
        <v>7352</v>
      </c>
      <c r="W39" s="281">
        <f t="shared" si="2"/>
        <v>4.2912593024952574E-2</v>
      </c>
    </row>
    <row r="40" spans="1:23" s="282" customFormat="1" ht="51">
      <c r="A40" s="283" t="s">
        <v>132</v>
      </c>
      <c r="B40" s="284" t="s">
        <v>176</v>
      </c>
      <c r="C40" s="172" t="s">
        <v>177</v>
      </c>
      <c r="D40" s="173" t="s">
        <v>137</v>
      </c>
      <c r="E40" s="77" t="s">
        <v>36</v>
      </c>
      <c r="F40" s="277">
        <f>IFERROR((VLOOKUP(E40,'MEMORANDOS E IPC 2023 Y 2024'!$A$1:$C$20,3,0)),"0")</f>
        <v>44974</v>
      </c>
      <c r="G40" s="285">
        <v>35207</v>
      </c>
      <c r="H40" s="279">
        <f t="shared" ref="H40:U58" si="20">IF(($F40="0"),$F40,(ROUNDDOWN((G40*(1+(H$4/100))),0)))</f>
        <v>35576</v>
      </c>
      <c r="I40" s="279">
        <f t="shared" si="20"/>
        <v>35853</v>
      </c>
      <c r="J40" s="279">
        <f t="shared" si="20"/>
        <v>36007</v>
      </c>
      <c r="K40" s="279">
        <f t="shared" si="20"/>
        <v>36115</v>
      </c>
      <c r="L40" s="279">
        <f t="shared" si="20"/>
        <v>36295</v>
      </c>
      <c r="M40" s="279">
        <f t="shared" si="20"/>
        <v>36549</v>
      </c>
      <c r="N40" s="279">
        <f t="shared" si="20"/>
        <v>36746</v>
      </c>
      <c r="O40" s="279">
        <f t="shared" si="20"/>
        <v>36837</v>
      </c>
      <c r="P40" s="279">
        <f t="shared" si="20"/>
        <v>37010</v>
      </c>
      <c r="Q40" s="279">
        <f t="shared" si="20"/>
        <v>37176</v>
      </c>
      <c r="R40" s="279">
        <f t="shared" si="20"/>
        <v>37518</v>
      </c>
      <c r="S40" s="279">
        <f t="shared" si="20"/>
        <v>37926</v>
      </c>
      <c r="T40" s="279">
        <f t="shared" si="20"/>
        <v>38191</v>
      </c>
      <c r="U40" s="279">
        <f t="shared" si="20"/>
        <v>38416</v>
      </c>
      <c r="V40" s="280">
        <f t="shared" si="1"/>
        <v>3209</v>
      </c>
      <c r="W40" s="281">
        <f t="shared" si="2"/>
        <v>9.1146646973613202E-2</v>
      </c>
    </row>
    <row r="41" spans="1:23" s="282" customFormat="1" ht="51">
      <c r="A41" s="283" t="s">
        <v>132</v>
      </c>
      <c r="B41" s="284" t="s">
        <v>178</v>
      </c>
      <c r="C41" s="172" t="s">
        <v>179</v>
      </c>
      <c r="D41" s="173" t="s">
        <v>137</v>
      </c>
      <c r="E41" s="77" t="s">
        <v>36</v>
      </c>
      <c r="F41" s="277">
        <f>IFERROR((VLOOKUP(E41,'MEMORANDOS E IPC 2023 Y 2024'!$A$1:$C$20,3,0)),"0")</f>
        <v>44974</v>
      </c>
      <c r="G41" s="285">
        <v>69372</v>
      </c>
      <c r="H41" s="279">
        <f t="shared" si="20"/>
        <v>70100</v>
      </c>
      <c r="I41" s="279">
        <f t="shared" si="20"/>
        <v>70646</v>
      </c>
      <c r="J41" s="279">
        <f t="shared" si="20"/>
        <v>70949</v>
      </c>
      <c r="K41" s="279">
        <f t="shared" si="20"/>
        <v>71161</v>
      </c>
      <c r="L41" s="279">
        <f t="shared" si="20"/>
        <v>71516</v>
      </c>
      <c r="M41" s="279">
        <f t="shared" si="20"/>
        <v>72016</v>
      </c>
      <c r="N41" s="279">
        <f t="shared" si="20"/>
        <v>72404</v>
      </c>
      <c r="O41" s="279">
        <f t="shared" si="20"/>
        <v>72585</v>
      </c>
      <c r="P41" s="279">
        <f t="shared" si="20"/>
        <v>72926</v>
      </c>
      <c r="Q41" s="279">
        <f t="shared" si="20"/>
        <v>73254</v>
      </c>
      <c r="R41" s="279">
        <f t="shared" si="20"/>
        <v>73927</v>
      </c>
      <c r="S41" s="279">
        <f t="shared" si="20"/>
        <v>74732</v>
      </c>
      <c r="T41" s="279">
        <f t="shared" si="20"/>
        <v>75255</v>
      </c>
      <c r="U41" s="279">
        <f t="shared" si="20"/>
        <v>75699</v>
      </c>
      <c r="V41" s="280">
        <f t="shared" si="1"/>
        <v>6327</v>
      </c>
      <c r="W41" s="281">
        <f t="shared" si="2"/>
        <v>9.1203943954333164E-2</v>
      </c>
    </row>
    <row r="42" spans="1:23" s="282" customFormat="1" ht="51">
      <c r="A42" s="283" t="s">
        <v>132</v>
      </c>
      <c r="B42" s="284" t="s">
        <v>180</v>
      </c>
      <c r="C42" s="172" t="s">
        <v>181</v>
      </c>
      <c r="D42" s="173" t="s">
        <v>137</v>
      </c>
      <c r="E42" s="77" t="s">
        <v>36</v>
      </c>
      <c r="F42" s="277">
        <f>IFERROR((VLOOKUP(E42,'MEMORANDOS E IPC 2023 Y 2024'!$A$1:$C$20,3,0)),"0")</f>
        <v>44974</v>
      </c>
      <c r="G42" s="285">
        <v>135420</v>
      </c>
      <c r="H42" s="279">
        <f t="shared" si="20"/>
        <v>136841</v>
      </c>
      <c r="I42" s="279">
        <f t="shared" si="20"/>
        <v>137908</v>
      </c>
      <c r="J42" s="279">
        <f t="shared" si="20"/>
        <v>138501</v>
      </c>
      <c r="K42" s="279">
        <f t="shared" si="20"/>
        <v>138916</v>
      </c>
      <c r="L42" s="279">
        <f t="shared" si="20"/>
        <v>139610</v>
      </c>
      <c r="M42" s="279">
        <f t="shared" si="20"/>
        <v>140587</v>
      </c>
      <c r="N42" s="279">
        <f t="shared" si="20"/>
        <v>141346</v>
      </c>
      <c r="O42" s="279">
        <f t="shared" si="20"/>
        <v>141699</v>
      </c>
      <c r="P42" s="279">
        <f t="shared" si="20"/>
        <v>142364</v>
      </c>
      <c r="Q42" s="279">
        <f t="shared" si="20"/>
        <v>143004</v>
      </c>
      <c r="R42" s="279">
        <f t="shared" si="20"/>
        <v>144319</v>
      </c>
      <c r="S42" s="279">
        <f t="shared" si="20"/>
        <v>145892</v>
      </c>
      <c r="T42" s="279">
        <f t="shared" si="20"/>
        <v>146913</v>
      </c>
      <c r="U42" s="279">
        <f t="shared" si="20"/>
        <v>147779</v>
      </c>
      <c r="V42" s="280">
        <f t="shared" si="1"/>
        <v>12359</v>
      </c>
      <c r="W42" s="281">
        <f t="shared" si="2"/>
        <v>9.1264215034706844E-2</v>
      </c>
    </row>
    <row r="43" spans="1:23" s="282" customFormat="1" ht="51">
      <c r="A43" s="283" t="s">
        <v>132</v>
      </c>
      <c r="B43" s="284" t="s">
        <v>182</v>
      </c>
      <c r="C43" s="172" t="s">
        <v>179</v>
      </c>
      <c r="D43" s="173" t="s">
        <v>137</v>
      </c>
      <c r="E43" s="77" t="s">
        <v>36</v>
      </c>
      <c r="F43" s="277">
        <f>IFERROR((VLOOKUP(E43,'MEMORANDOS E IPC 2023 Y 2024'!$A$1:$C$20,3,0)),"0")</f>
        <v>44974</v>
      </c>
      <c r="G43" s="285">
        <v>69372</v>
      </c>
      <c r="H43" s="279">
        <f t="shared" si="20"/>
        <v>70100</v>
      </c>
      <c r="I43" s="279">
        <f t="shared" si="20"/>
        <v>70646</v>
      </c>
      <c r="J43" s="279">
        <f t="shared" si="20"/>
        <v>70949</v>
      </c>
      <c r="K43" s="279">
        <f t="shared" si="20"/>
        <v>71161</v>
      </c>
      <c r="L43" s="279">
        <f t="shared" si="20"/>
        <v>71516</v>
      </c>
      <c r="M43" s="279">
        <f t="shared" si="20"/>
        <v>72016</v>
      </c>
      <c r="N43" s="279">
        <f t="shared" si="20"/>
        <v>72404</v>
      </c>
      <c r="O43" s="279">
        <f t="shared" si="20"/>
        <v>72585</v>
      </c>
      <c r="P43" s="279">
        <f t="shared" si="20"/>
        <v>72926</v>
      </c>
      <c r="Q43" s="279">
        <f t="shared" si="20"/>
        <v>73254</v>
      </c>
      <c r="R43" s="279">
        <f t="shared" si="20"/>
        <v>73927</v>
      </c>
      <c r="S43" s="279">
        <f t="shared" si="20"/>
        <v>74732</v>
      </c>
      <c r="T43" s="279">
        <f t="shared" si="20"/>
        <v>75255</v>
      </c>
      <c r="U43" s="279">
        <f t="shared" si="20"/>
        <v>75699</v>
      </c>
      <c r="V43" s="280">
        <f t="shared" si="1"/>
        <v>6327</v>
      </c>
      <c r="W43" s="281">
        <f t="shared" si="2"/>
        <v>9.1203943954333164E-2</v>
      </c>
    </row>
    <row r="44" spans="1:23" s="282" customFormat="1" ht="51">
      <c r="A44" s="283" t="s">
        <v>132</v>
      </c>
      <c r="B44" s="284" t="s">
        <v>183</v>
      </c>
      <c r="C44" s="172" t="s">
        <v>184</v>
      </c>
      <c r="D44" s="173" t="s">
        <v>137</v>
      </c>
      <c r="E44" s="77" t="s">
        <v>36</v>
      </c>
      <c r="F44" s="277">
        <f>IFERROR((VLOOKUP(E44,'MEMORANDOS E IPC 2023 Y 2024'!$A$1:$C$20,3,0)),"0")</f>
        <v>44974</v>
      </c>
      <c r="G44" s="285">
        <v>73339</v>
      </c>
      <c r="H44" s="279">
        <f t="shared" si="20"/>
        <v>74109</v>
      </c>
      <c r="I44" s="279">
        <f t="shared" si="20"/>
        <v>74687</v>
      </c>
      <c r="J44" s="279">
        <f t="shared" si="20"/>
        <v>75008</v>
      </c>
      <c r="K44" s="279">
        <f t="shared" si="20"/>
        <v>75233</v>
      </c>
      <c r="L44" s="279">
        <f t="shared" si="20"/>
        <v>75609</v>
      </c>
      <c r="M44" s="279">
        <f t="shared" si="20"/>
        <v>76138</v>
      </c>
      <c r="N44" s="279">
        <f t="shared" si="20"/>
        <v>76549</v>
      </c>
      <c r="O44" s="279">
        <f t="shared" si="20"/>
        <v>76740</v>
      </c>
      <c r="P44" s="279">
        <f t="shared" si="20"/>
        <v>77100</v>
      </c>
      <c r="Q44" s="279">
        <f t="shared" si="20"/>
        <v>77446</v>
      </c>
      <c r="R44" s="279">
        <f t="shared" si="20"/>
        <v>78158</v>
      </c>
      <c r="S44" s="279">
        <f t="shared" si="20"/>
        <v>79009</v>
      </c>
      <c r="T44" s="279">
        <f t="shared" si="20"/>
        <v>79562</v>
      </c>
      <c r="U44" s="279">
        <f t="shared" si="20"/>
        <v>80031</v>
      </c>
      <c r="V44" s="280">
        <f t="shared" si="1"/>
        <v>6692</v>
      </c>
      <c r="W44" s="281">
        <f t="shared" si="2"/>
        <v>9.1247494511787722E-2</v>
      </c>
    </row>
    <row r="45" spans="1:23" s="282" customFormat="1" ht="51">
      <c r="A45" s="283" t="s">
        <v>132</v>
      </c>
      <c r="B45" s="284" t="s">
        <v>185</v>
      </c>
      <c r="C45" s="172" t="s">
        <v>186</v>
      </c>
      <c r="D45" s="173" t="s">
        <v>137</v>
      </c>
      <c r="E45" s="77" t="s">
        <v>36</v>
      </c>
      <c r="F45" s="277">
        <f>IFERROR((VLOOKUP(E45,'MEMORANDOS E IPC 2023 Y 2024'!$A$1:$C$20,3,0)),"0")</f>
        <v>44974</v>
      </c>
      <c r="G45" s="285">
        <v>73339</v>
      </c>
      <c r="H45" s="279">
        <f t="shared" si="20"/>
        <v>74109</v>
      </c>
      <c r="I45" s="279">
        <f t="shared" si="20"/>
        <v>74687</v>
      </c>
      <c r="J45" s="279">
        <f t="shared" si="20"/>
        <v>75008</v>
      </c>
      <c r="K45" s="279">
        <f t="shared" si="20"/>
        <v>75233</v>
      </c>
      <c r="L45" s="279">
        <f t="shared" si="20"/>
        <v>75609</v>
      </c>
      <c r="M45" s="279">
        <f t="shared" si="20"/>
        <v>76138</v>
      </c>
      <c r="N45" s="279">
        <f t="shared" si="20"/>
        <v>76549</v>
      </c>
      <c r="O45" s="279">
        <f t="shared" si="20"/>
        <v>76740</v>
      </c>
      <c r="P45" s="279">
        <f t="shared" si="20"/>
        <v>77100</v>
      </c>
      <c r="Q45" s="279">
        <f t="shared" si="20"/>
        <v>77446</v>
      </c>
      <c r="R45" s="279">
        <f t="shared" si="20"/>
        <v>78158</v>
      </c>
      <c r="S45" s="279">
        <f t="shared" si="20"/>
        <v>79009</v>
      </c>
      <c r="T45" s="279">
        <f t="shared" si="20"/>
        <v>79562</v>
      </c>
      <c r="U45" s="279">
        <f t="shared" si="20"/>
        <v>80031</v>
      </c>
      <c r="V45" s="280">
        <f t="shared" si="1"/>
        <v>6692</v>
      </c>
      <c r="W45" s="281">
        <f t="shared" si="2"/>
        <v>9.1247494511787722E-2</v>
      </c>
    </row>
    <row r="46" spans="1:23" s="282" customFormat="1" ht="51">
      <c r="A46" s="283" t="s">
        <v>132</v>
      </c>
      <c r="B46" s="284" t="s">
        <v>187</v>
      </c>
      <c r="C46" s="172" t="s">
        <v>188</v>
      </c>
      <c r="D46" s="173" t="s">
        <v>137</v>
      </c>
      <c r="E46" s="77" t="s">
        <v>36</v>
      </c>
      <c r="F46" s="277">
        <f>IFERROR((VLOOKUP(E46,'MEMORANDOS E IPC 2023 Y 2024'!$A$1:$C$20,3,0)),"0")</f>
        <v>44974</v>
      </c>
      <c r="G46" s="285">
        <v>48800</v>
      </c>
      <c r="H46" s="279">
        <f t="shared" si="20"/>
        <v>49312</v>
      </c>
      <c r="I46" s="279">
        <f t="shared" si="20"/>
        <v>49696</v>
      </c>
      <c r="J46" s="279">
        <f t="shared" si="20"/>
        <v>49909</v>
      </c>
      <c r="K46" s="279">
        <f t="shared" si="20"/>
        <v>50058</v>
      </c>
      <c r="L46" s="279">
        <f t="shared" si="20"/>
        <v>50308</v>
      </c>
      <c r="M46" s="279">
        <f t="shared" si="20"/>
        <v>50660</v>
      </c>
      <c r="N46" s="279">
        <f t="shared" si="20"/>
        <v>50933</v>
      </c>
      <c r="O46" s="279">
        <f t="shared" si="20"/>
        <v>51060</v>
      </c>
      <c r="P46" s="279">
        <f t="shared" si="20"/>
        <v>51299</v>
      </c>
      <c r="Q46" s="279">
        <f t="shared" si="20"/>
        <v>51529</v>
      </c>
      <c r="R46" s="279">
        <f t="shared" si="20"/>
        <v>52003</v>
      </c>
      <c r="S46" s="279">
        <f t="shared" si="20"/>
        <v>52569</v>
      </c>
      <c r="T46" s="279">
        <f t="shared" si="20"/>
        <v>52936</v>
      </c>
      <c r="U46" s="279">
        <f t="shared" si="20"/>
        <v>53248</v>
      </c>
      <c r="V46" s="280">
        <f t="shared" si="1"/>
        <v>4448</v>
      </c>
      <c r="W46" s="281">
        <f t="shared" si="2"/>
        <v>9.1147540983606556E-2</v>
      </c>
    </row>
    <row r="47" spans="1:23" s="282" customFormat="1" ht="51">
      <c r="A47" s="283" t="s">
        <v>132</v>
      </c>
      <c r="B47" s="284" t="s">
        <v>189</v>
      </c>
      <c r="C47" s="172" t="s">
        <v>190</v>
      </c>
      <c r="D47" s="173" t="s">
        <v>137</v>
      </c>
      <c r="E47" s="77" t="s">
        <v>36</v>
      </c>
      <c r="F47" s="277">
        <f>IFERROR((VLOOKUP(E47,'MEMORANDOS E IPC 2023 Y 2024'!$A$1:$C$20,3,0)),"0")</f>
        <v>44974</v>
      </c>
      <c r="G47" s="285">
        <v>48800</v>
      </c>
      <c r="H47" s="279">
        <f t="shared" si="20"/>
        <v>49312</v>
      </c>
      <c r="I47" s="279">
        <f t="shared" si="20"/>
        <v>49696</v>
      </c>
      <c r="J47" s="279">
        <f t="shared" si="20"/>
        <v>49909</v>
      </c>
      <c r="K47" s="279">
        <f t="shared" si="20"/>
        <v>50058</v>
      </c>
      <c r="L47" s="279">
        <f t="shared" si="20"/>
        <v>50308</v>
      </c>
      <c r="M47" s="279">
        <f t="shared" si="20"/>
        <v>50660</v>
      </c>
      <c r="N47" s="279">
        <f t="shared" si="20"/>
        <v>50933</v>
      </c>
      <c r="O47" s="279">
        <f t="shared" si="20"/>
        <v>51060</v>
      </c>
      <c r="P47" s="279">
        <f t="shared" si="20"/>
        <v>51299</v>
      </c>
      <c r="Q47" s="279">
        <f t="shared" si="20"/>
        <v>51529</v>
      </c>
      <c r="R47" s="279">
        <f t="shared" si="20"/>
        <v>52003</v>
      </c>
      <c r="S47" s="279">
        <f t="shared" si="20"/>
        <v>52569</v>
      </c>
      <c r="T47" s="279">
        <f t="shared" si="20"/>
        <v>52936</v>
      </c>
      <c r="U47" s="279">
        <f t="shared" si="20"/>
        <v>53248</v>
      </c>
      <c r="V47" s="280">
        <f t="shared" si="1"/>
        <v>4448</v>
      </c>
      <c r="W47" s="281">
        <f t="shared" si="2"/>
        <v>9.1147540983606556E-2</v>
      </c>
    </row>
    <row r="48" spans="1:23" s="282" customFormat="1" ht="51">
      <c r="A48" s="283" t="s">
        <v>132</v>
      </c>
      <c r="B48" s="284" t="s">
        <v>191</v>
      </c>
      <c r="C48" s="172" t="s">
        <v>192</v>
      </c>
      <c r="D48" s="173" t="s">
        <v>137</v>
      </c>
      <c r="E48" s="77" t="s">
        <v>36</v>
      </c>
      <c r="F48" s="277">
        <f>IFERROR((VLOOKUP(E48,'MEMORANDOS E IPC 2023 Y 2024'!$A$1:$C$20,3,0)),"0")</f>
        <v>44974</v>
      </c>
      <c r="G48" s="285">
        <v>94665</v>
      </c>
      <c r="H48" s="279">
        <f t="shared" si="20"/>
        <v>95658</v>
      </c>
      <c r="I48" s="279">
        <f t="shared" si="20"/>
        <v>96404</v>
      </c>
      <c r="J48" s="279">
        <f t="shared" si="20"/>
        <v>96818</v>
      </c>
      <c r="K48" s="279">
        <f t="shared" si="20"/>
        <v>97108</v>
      </c>
      <c r="L48" s="279">
        <f t="shared" si="20"/>
        <v>97593</v>
      </c>
      <c r="M48" s="279">
        <f t="shared" si="20"/>
        <v>98276</v>
      </c>
      <c r="N48" s="279">
        <f t="shared" si="20"/>
        <v>98806</v>
      </c>
      <c r="O48" s="279">
        <f t="shared" si="20"/>
        <v>99053</v>
      </c>
      <c r="P48" s="279">
        <f t="shared" si="20"/>
        <v>99518</v>
      </c>
      <c r="Q48" s="279">
        <f t="shared" si="20"/>
        <v>99965</v>
      </c>
      <c r="R48" s="279">
        <f t="shared" si="20"/>
        <v>100884</v>
      </c>
      <c r="S48" s="279">
        <f t="shared" si="20"/>
        <v>101983</v>
      </c>
      <c r="T48" s="279">
        <f t="shared" si="20"/>
        <v>102696</v>
      </c>
      <c r="U48" s="279">
        <f t="shared" si="20"/>
        <v>103301</v>
      </c>
      <c r="V48" s="280">
        <f t="shared" si="1"/>
        <v>8636</v>
      </c>
      <c r="W48" s="281">
        <f t="shared" si="2"/>
        <v>9.1226958221095444E-2</v>
      </c>
    </row>
    <row r="49" spans="1:23" s="282" customFormat="1" ht="51">
      <c r="A49" s="283" t="s">
        <v>132</v>
      </c>
      <c r="B49" s="284" t="s">
        <v>193</v>
      </c>
      <c r="C49" s="172" t="s">
        <v>192</v>
      </c>
      <c r="D49" s="173" t="s">
        <v>137</v>
      </c>
      <c r="E49" s="77" t="s">
        <v>36</v>
      </c>
      <c r="F49" s="277">
        <f>IFERROR((VLOOKUP(E49,'MEMORANDOS E IPC 2023 Y 2024'!$A$1:$C$20,3,0)),"0")</f>
        <v>44974</v>
      </c>
      <c r="G49" s="285">
        <v>94665</v>
      </c>
      <c r="H49" s="279">
        <f t="shared" si="20"/>
        <v>95658</v>
      </c>
      <c r="I49" s="279">
        <f t="shared" si="20"/>
        <v>96404</v>
      </c>
      <c r="J49" s="279">
        <f t="shared" si="20"/>
        <v>96818</v>
      </c>
      <c r="K49" s="279">
        <f t="shared" si="20"/>
        <v>97108</v>
      </c>
      <c r="L49" s="279">
        <f t="shared" si="20"/>
        <v>97593</v>
      </c>
      <c r="M49" s="279">
        <f t="shared" si="20"/>
        <v>98276</v>
      </c>
      <c r="N49" s="279">
        <f t="shared" si="20"/>
        <v>98806</v>
      </c>
      <c r="O49" s="279">
        <f t="shared" si="20"/>
        <v>99053</v>
      </c>
      <c r="P49" s="279">
        <f t="shared" si="20"/>
        <v>99518</v>
      </c>
      <c r="Q49" s="279">
        <f t="shared" si="20"/>
        <v>99965</v>
      </c>
      <c r="R49" s="279">
        <f t="shared" si="20"/>
        <v>100884</v>
      </c>
      <c r="S49" s="279">
        <f t="shared" si="20"/>
        <v>101983</v>
      </c>
      <c r="T49" s="279">
        <f t="shared" si="20"/>
        <v>102696</v>
      </c>
      <c r="U49" s="279">
        <f t="shared" si="20"/>
        <v>103301</v>
      </c>
      <c r="V49" s="280">
        <f t="shared" si="1"/>
        <v>8636</v>
      </c>
      <c r="W49" s="281">
        <f t="shared" si="2"/>
        <v>9.1226958221095444E-2</v>
      </c>
    </row>
    <row r="50" spans="1:23" s="282" customFormat="1" ht="51">
      <c r="A50" s="283" t="s">
        <v>132</v>
      </c>
      <c r="B50" s="284" t="s">
        <v>194</v>
      </c>
      <c r="C50" s="172" t="s">
        <v>192</v>
      </c>
      <c r="D50" s="173" t="s">
        <v>137</v>
      </c>
      <c r="E50" s="77" t="s">
        <v>36</v>
      </c>
      <c r="F50" s="277">
        <f>IFERROR((VLOOKUP(E50,'MEMORANDOS E IPC 2023 Y 2024'!$A$1:$C$20,3,0)),"0")</f>
        <v>44974</v>
      </c>
      <c r="G50" s="285">
        <v>94665</v>
      </c>
      <c r="H50" s="279">
        <f t="shared" si="20"/>
        <v>95658</v>
      </c>
      <c r="I50" s="279">
        <f t="shared" si="20"/>
        <v>96404</v>
      </c>
      <c r="J50" s="279">
        <f t="shared" si="20"/>
        <v>96818</v>
      </c>
      <c r="K50" s="279">
        <f t="shared" si="20"/>
        <v>97108</v>
      </c>
      <c r="L50" s="279">
        <f t="shared" si="20"/>
        <v>97593</v>
      </c>
      <c r="M50" s="279">
        <f t="shared" si="20"/>
        <v>98276</v>
      </c>
      <c r="N50" s="279">
        <f t="shared" si="20"/>
        <v>98806</v>
      </c>
      <c r="O50" s="279">
        <f t="shared" si="20"/>
        <v>99053</v>
      </c>
      <c r="P50" s="279">
        <f t="shared" si="20"/>
        <v>99518</v>
      </c>
      <c r="Q50" s="279">
        <f t="shared" si="20"/>
        <v>99965</v>
      </c>
      <c r="R50" s="279">
        <f t="shared" si="20"/>
        <v>100884</v>
      </c>
      <c r="S50" s="279">
        <f t="shared" si="20"/>
        <v>101983</v>
      </c>
      <c r="T50" s="279">
        <f t="shared" si="20"/>
        <v>102696</v>
      </c>
      <c r="U50" s="279">
        <f t="shared" si="20"/>
        <v>103301</v>
      </c>
      <c r="V50" s="280">
        <f t="shared" si="1"/>
        <v>8636</v>
      </c>
      <c r="W50" s="281">
        <f t="shared" si="2"/>
        <v>9.1226958221095444E-2</v>
      </c>
    </row>
    <row r="51" spans="1:23" s="282" customFormat="1" ht="51">
      <c r="A51" s="283" t="s">
        <v>132</v>
      </c>
      <c r="B51" s="284" t="s">
        <v>195</v>
      </c>
      <c r="C51" s="172" t="s">
        <v>196</v>
      </c>
      <c r="D51" s="173" t="s">
        <v>137</v>
      </c>
      <c r="E51" s="77" t="s">
        <v>36</v>
      </c>
      <c r="F51" s="277">
        <f>IFERROR((VLOOKUP(E51,'MEMORANDOS E IPC 2023 Y 2024'!$A$1:$C$20,3,0)),"0")</f>
        <v>44974</v>
      </c>
      <c r="G51" s="285">
        <v>255533</v>
      </c>
      <c r="H51" s="279">
        <f t="shared" si="20"/>
        <v>258216</v>
      </c>
      <c r="I51" s="279">
        <f t="shared" si="20"/>
        <v>260230</v>
      </c>
      <c r="J51" s="279">
        <f t="shared" si="20"/>
        <v>261348</v>
      </c>
      <c r="K51" s="279">
        <f t="shared" si="20"/>
        <v>262132</v>
      </c>
      <c r="L51" s="279">
        <f t="shared" si="20"/>
        <v>263442</v>
      </c>
      <c r="M51" s="279">
        <f t="shared" si="20"/>
        <v>265286</v>
      </c>
      <c r="N51" s="279">
        <f t="shared" si="20"/>
        <v>266718</v>
      </c>
      <c r="O51" s="279">
        <f t="shared" si="20"/>
        <v>267384</v>
      </c>
      <c r="P51" s="279">
        <f t="shared" si="20"/>
        <v>268640</v>
      </c>
      <c r="Q51" s="279">
        <f t="shared" si="20"/>
        <v>269848</v>
      </c>
      <c r="R51" s="279">
        <f t="shared" si="20"/>
        <v>272330</v>
      </c>
      <c r="S51" s="279">
        <f t="shared" si="20"/>
        <v>275298</v>
      </c>
      <c r="T51" s="279">
        <f t="shared" si="20"/>
        <v>277225</v>
      </c>
      <c r="U51" s="279">
        <f t="shared" si="20"/>
        <v>278860</v>
      </c>
      <c r="V51" s="280">
        <f t="shared" si="1"/>
        <v>23327</v>
      </c>
      <c r="W51" s="281">
        <f t="shared" si="2"/>
        <v>9.1287622342319782E-2</v>
      </c>
    </row>
    <row r="52" spans="1:23" s="282" customFormat="1" ht="51">
      <c r="A52" s="283" t="s">
        <v>132</v>
      </c>
      <c r="B52" s="284" t="s">
        <v>197</v>
      </c>
      <c r="C52" s="172" t="s">
        <v>198</v>
      </c>
      <c r="D52" s="173" t="s">
        <v>137</v>
      </c>
      <c r="E52" s="77" t="s">
        <v>36</v>
      </c>
      <c r="F52" s="277">
        <f>IFERROR((VLOOKUP(E52,'MEMORANDOS E IPC 2023 Y 2024'!$A$1:$C$20,3,0)),"0")</f>
        <v>44974</v>
      </c>
      <c r="G52" s="285">
        <v>255533</v>
      </c>
      <c r="H52" s="279">
        <f t="shared" si="20"/>
        <v>258216</v>
      </c>
      <c r="I52" s="279">
        <f t="shared" si="20"/>
        <v>260230</v>
      </c>
      <c r="J52" s="279">
        <f t="shared" si="20"/>
        <v>261348</v>
      </c>
      <c r="K52" s="279">
        <f t="shared" si="20"/>
        <v>262132</v>
      </c>
      <c r="L52" s="279">
        <f t="shared" si="20"/>
        <v>263442</v>
      </c>
      <c r="M52" s="279">
        <f t="shared" si="20"/>
        <v>265286</v>
      </c>
      <c r="N52" s="279">
        <f t="shared" si="20"/>
        <v>266718</v>
      </c>
      <c r="O52" s="279">
        <f t="shared" si="20"/>
        <v>267384</v>
      </c>
      <c r="P52" s="279">
        <f t="shared" si="20"/>
        <v>268640</v>
      </c>
      <c r="Q52" s="279">
        <f t="shared" si="20"/>
        <v>269848</v>
      </c>
      <c r="R52" s="279">
        <f t="shared" si="20"/>
        <v>272330</v>
      </c>
      <c r="S52" s="279">
        <f t="shared" si="20"/>
        <v>275298</v>
      </c>
      <c r="T52" s="279">
        <f t="shared" si="20"/>
        <v>277225</v>
      </c>
      <c r="U52" s="279">
        <f t="shared" si="20"/>
        <v>278860</v>
      </c>
      <c r="V52" s="280">
        <f t="shared" si="1"/>
        <v>23327</v>
      </c>
      <c r="W52" s="281">
        <f t="shared" si="2"/>
        <v>9.1287622342319782E-2</v>
      </c>
    </row>
    <row r="53" spans="1:23" s="282" customFormat="1" ht="51">
      <c r="A53" s="283" t="s">
        <v>132</v>
      </c>
      <c r="B53" s="284" t="s">
        <v>199</v>
      </c>
      <c r="C53" s="172" t="s">
        <v>200</v>
      </c>
      <c r="D53" s="173" t="s">
        <v>137</v>
      </c>
      <c r="E53" s="77" t="s">
        <v>36</v>
      </c>
      <c r="F53" s="277">
        <f>IFERROR((VLOOKUP(E53,'MEMORANDOS E IPC 2023 Y 2024'!$A$1:$C$20,3,0)),"0")</f>
        <v>44974</v>
      </c>
      <c r="G53" s="285">
        <v>255533</v>
      </c>
      <c r="H53" s="279">
        <f t="shared" si="20"/>
        <v>258216</v>
      </c>
      <c r="I53" s="279">
        <f t="shared" si="20"/>
        <v>260230</v>
      </c>
      <c r="J53" s="279">
        <f t="shared" si="20"/>
        <v>261348</v>
      </c>
      <c r="K53" s="279">
        <f t="shared" si="20"/>
        <v>262132</v>
      </c>
      <c r="L53" s="279">
        <f t="shared" si="20"/>
        <v>263442</v>
      </c>
      <c r="M53" s="279">
        <f t="shared" si="20"/>
        <v>265286</v>
      </c>
      <c r="N53" s="279">
        <f t="shared" si="20"/>
        <v>266718</v>
      </c>
      <c r="O53" s="279">
        <f t="shared" si="20"/>
        <v>267384</v>
      </c>
      <c r="P53" s="279">
        <f t="shared" si="20"/>
        <v>268640</v>
      </c>
      <c r="Q53" s="279">
        <f t="shared" si="20"/>
        <v>269848</v>
      </c>
      <c r="R53" s="279">
        <f t="shared" si="20"/>
        <v>272330</v>
      </c>
      <c r="S53" s="279">
        <f t="shared" si="20"/>
        <v>275298</v>
      </c>
      <c r="T53" s="279">
        <f t="shared" si="20"/>
        <v>277225</v>
      </c>
      <c r="U53" s="279">
        <f t="shared" si="20"/>
        <v>278860</v>
      </c>
      <c r="V53" s="280">
        <f t="shared" si="1"/>
        <v>23327</v>
      </c>
      <c r="W53" s="281">
        <f t="shared" si="2"/>
        <v>9.1287622342319782E-2</v>
      </c>
    </row>
    <row r="54" spans="1:23" s="282" customFormat="1" ht="51">
      <c r="A54" s="283" t="s">
        <v>132</v>
      </c>
      <c r="B54" s="284" t="s">
        <v>201</v>
      </c>
      <c r="C54" s="172" t="s">
        <v>202</v>
      </c>
      <c r="D54" s="173" t="s">
        <v>137</v>
      </c>
      <c r="E54" s="77" t="s">
        <v>36</v>
      </c>
      <c r="F54" s="277">
        <f>IFERROR((VLOOKUP(E54,'MEMORANDOS E IPC 2023 Y 2024'!$A$1:$C$20,3,0)),"0")</f>
        <v>44974</v>
      </c>
      <c r="G54" s="285">
        <v>255533</v>
      </c>
      <c r="H54" s="279">
        <f t="shared" si="20"/>
        <v>258216</v>
      </c>
      <c r="I54" s="279">
        <f t="shared" si="20"/>
        <v>260230</v>
      </c>
      <c r="J54" s="279">
        <f t="shared" si="20"/>
        <v>261348</v>
      </c>
      <c r="K54" s="279">
        <f t="shared" si="20"/>
        <v>262132</v>
      </c>
      <c r="L54" s="279">
        <f t="shared" si="20"/>
        <v>263442</v>
      </c>
      <c r="M54" s="279">
        <f t="shared" si="20"/>
        <v>265286</v>
      </c>
      <c r="N54" s="279">
        <f t="shared" si="20"/>
        <v>266718</v>
      </c>
      <c r="O54" s="279">
        <f t="shared" si="20"/>
        <v>267384</v>
      </c>
      <c r="P54" s="279">
        <f t="shared" si="20"/>
        <v>268640</v>
      </c>
      <c r="Q54" s="279">
        <f t="shared" si="20"/>
        <v>269848</v>
      </c>
      <c r="R54" s="279">
        <f t="shared" si="20"/>
        <v>272330</v>
      </c>
      <c r="S54" s="279">
        <f t="shared" si="20"/>
        <v>275298</v>
      </c>
      <c r="T54" s="279">
        <f t="shared" si="20"/>
        <v>277225</v>
      </c>
      <c r="U54" s="279">
        <f t="shared" si="20"/>
        <v>278860</v>
      </c>
      <c r="V54" s="280">
        <f t="shared" si="1"/>
        <v>23327</v>
      </c>
      <c r="W54" s="281">
        <f t="shared" si="2"/>
        <v>9.1287622342319782E-2</v>
      </c>
    </row>
    <row r="55" spans="1:23" s="282" customFormat="1" ht="51">
      <c r="A55" s="283" t="s">
        <v>132</v>
      </c>
      <c r="B55" s="284" t="s">
        <v>203</v>
      </c>
      <c r="C55" s="172" t="s">
        <v>204</v>
      </c>
      <c r="D55" s="173" t="s">
        <v>137</v>
      </c>
      <c r="E55" s="77" t="s">
        <v>36</v>
      </c>
      <c r="F55" s="277">
        <f>IFERROR((VLOOKUP(E55,'MEMORANDOS E IPC 2023 Y 2024'!$A$1:$C$20,3,0)),"0")</f>
        <v>44974</v>
      </c>
      <c r="G55" s="285">
        <v>83589</v>
      </c>
      <c r="H55" s="279">
        <f t="shared" si="20"/>
        <v>84466</v>
      </c>
      <c r="I55" s="279">
        <f t="shared" si="20"/>
        <v>85124</v>
      </c>
      <c r="J55" s="279">
        <f t="shared" si="20"/>
        <v>85490</v>
      </c>
      <c r="K55" s="279">
        <f t="shared" si="20"/>
        <v>85746</v>
      </c>
      <c r="L55" s="279">
        <f t="shared" si="20"/>
        <v>86174</v>
      </c>
      <c r="M55" s="279">
        <f t="shared" si="20"/>
        <v>86777</v>
      </c>
      <c r="N55" s="279">
        <f t="shared" si="20"/>
        <v>87245</v>
      </c>
      <c r="O55" s="279">
        <f t="shared" si="20"/>
        <v>87463</v>
      </c>
      <c r="P55" s="279">
        <f t="shared" si="20"/>
        <v>87874</v>
      </c>
      <c r="Q55" s="279">
        <f t="shared" si="20"/>
        <v>88269</v>
      </c>
      <c r="R55" s="279">
        <f t="shared" si="20"/>
        <v>89081</v>
      </c>
      <c r="S55" s="279">
        <f t="shared" si="20"/>
        <v>90051</v>
      </c>
      <c r="T55" s="279">
        <f t="shared" si="20"/>
        <v>90681</v>
      </c>
      <c r="U55" s="279">
        <f t="shared" si="20"/>
        <v>91216</v>
      </c>
      <c r="V55" s="280">
        <f t="shared" si="1"/>
        <v>7627</v>
      </c>
      <c r="W55" s="281">
        <f t="shared" si="2"/>
        <v>9.1244063214059271E-2</v>
      </c>
    </row>
    <row r="56" spans="1:23" s="282" customFormat="1" ht="51">
      <c r="A56" s="283" t="s">
        <v>132</v>
      </c>
      <c r="B56" s="284" t="s">
        <v>205</v>
      </c>
      <c r="C56" s="172" t="s">
        <v>206</v>
      </c>
      <c r="D56" s="173" t="s">
        <v>137</v>
      </c>
      <c r="E56" s="77" t="s">
        <v>36</v>
      </c>
      <c r="F56" s="277">
        <f>IFERROR((VLOOKUP(E56,'MEMORANDOS E IPC 2023 Y 2024'!$A$1:$C$20,3,0)),"0")</f>
        <v>44974</v>
      </c>
      <c r="G56" s="285">
        <v>350638</v>
      </c>
      <c r="H56" s="279">
        <f t="shared" si="20"/>
        <v>354319</v>
      </c>
      <c r="I56" s="279">
        <f t="shared" si="20"/>
        <v>357082</v>
      </c>
      <c r="J56" s="279">
        <f t="shared" si="20"/>
        <v>358617</v>
      </c>
      <c r="K56" s="279">
        <f t="shared" si="20"/>
        <v>359692</v>
      </c>
      <c r="L56" s="279">
        <f t="shared" si="20"/>
        <v>361490</v>
      </c>
      <c r="M56" s="279">
        <f t="shared" si="20"/>
        <v>364020</v>
      </c>
      <c r="N56" s="279">
        <f t="shared" si="20"/>
        <v>365985</v>
      </c>
      <c r="O56" s="279">
        <f t="shared" si="20"/>
        <v>366899</v>
      </c>
      <c r="P56" s="279">
        <f t="shared" si="20"/>
        <v>368623</v>
      </c>
      <c r="Q56" s="279">
        <f t="shared" si="20"/>
        <v>370281</v>
      </c>
      <c r="R56" s="279">
        <f t="shared" si="20"/>
        <v>373687</v>
      </c>
      <c r="S56" s="279">
        <f t="shared" si="20"/>
        <v>377760</v>
      </c>
      <c r="T56" s="279">
        <f t="shared" si="20"/>
        <v>380404</v>
      </c>
      <c r="U56" s="279">
        <f t="shared" si="20"/>
        <v>382648</v>
      </c>
      <c r="V56" s="280">
        <f t="shared" si="1"/>
        <v>32010</v>
      </c>
      <c r="W56" s="281">
        <f t="shared" si="2"/>
        <v>9.12907328926129E-2</v>
      </c>
    </row>
    <row r="57" spans="1:23" s="282" customFormat="1" ht="51">
      <c r="A57" s="283" t="s">
        <v>132</v>
      </c>
      <c r="B57" s="284" t="s">
        <v>207</v>
      </c>
      <c r="C57" s="172" t="s">
        <v>208</v>
      </c>
      <c r="D57" s="173" t="s">
        <v>137</v>
      </c>
      <c r="E57" s="77" t="s">
        <v>36</v>
      </c>
      <c r="F57" s="277">
        <f>IFERROR((VLOOKUP(E57,'MEMORANDOS E IPC 2023 Y 2024'!$A$1:$C$20,3,0)),"0")</f>
        <v>44974</v>
      </c>
      <c r="G57" s="285">
        <v>59172</v>
      </c>
      <c r="H57" s="279">
        <f t="shared" si="20"/>
        <v>59793</v>
      </c>
      <c r="I57" s="279">
        <f t="shared" si="20"/>
        <v>60259</v>
      </c>
      <c r="J57" s="279">
        <f t="shared" si="20"/>
        <v>60518</v>
      </c>
      <c r="K57" s="279">
        <f t="shared" si="20"/>
        <v>60699</v>
      </c>
      <c r="L57" s="279">
        <f t="shared" si="20"/>
        <v>61002</v>
      </c>
      <c r="M57" s="279">
        <f t="shared" si="20"/>
        <v>61429</v>
      </c>
      <c r="N57" s="279">
        <f t="shared" si="20"/>
        <v>61760</v>
      </c>
      <c r="O57" s="279">
        <f t="shared" si="20"/>
        <v>61914</v>
      </c>
      <c r="P57" s="279">
        <f t="shared" si="20"/>
        <v>62204</v>
      </c>
      <c r="Q57" s="279">
        <f t="shared" si="20"/>
        <v>62483</v>
      </c>
      <c r="R57" s="279">
        <f t="shared" si="20"/>
        <v>63057</v>
      </c>
      <c r="S57" s="279">
        <f t="shared" si="20"/>
        <v>63744</v>
      </c>
      <c r="T57" s="279">
        <f t="shared" si="20"/>
        <v>64190</v>
      </c>
      <c r="U57" s="279">
        <f t="shared" si="20"/>
        <v>64568</v>
      </c>
      <c r="V57" s="280">
        <f t="shared" si="1"/>
        <v>5396</v>
      </c>
      <c r="W57" s="281">
        <f t="shared" si="2"/>
        <v>9.1191779895896705E-2</v>
      </c>
    </row>
    <row r="58" spans="1:23" s="282" customFormat="1" ht="51">
      <c r="A58" s="283" t="s">
        <v>132</v>
      </c>
      <c r="B58" s="284" t="s">
        <v>209</v>
      </c>
      <c r="C58" s="172" t="s">
        <v>210</v>
      </c>
      <c r="D58" s="173" t="s">
        <v>137</v>
      </c>
      <c r="E58" s="77" t="s">
        <v>36</v>
      </c>
      <c r="F58" s="277">
        <f>IFERROR((VLOOKUP(E58,'MEMORANDOS E IPC 2023 Y 2024'!$A$1:$C$20,3,0)),"0")</f>
        <v>44974</v>
      </c>
      <c r="G58" s="285">
        <v>58421</v>
      </c>
      <c r="H58" s="279">
        <f t="shared" si="20"/>
        <v>59034</v>
      </c>
      <c r="I58" s="279">
        <f t="shared" si="20"/>
        <v>59494</v>
      </c>
      <c r="J58" s="279">
        <f t="shared" si="20"/>
        <v>59749</v>
      </c>
      <c r="K58" s="279">
        <f t="shared" ref="I58:U61" si="21">IF(($F58="0"),$F58,(ROUNDDOWN((J58*(1+(K$4/100))),0)))</f>
        <v>59928</v>
      </c>
      <c r="L58" s="279">
        <f t="shared" si="21"/>
        <v>60227</v>
      </c>
      <c r="M58" s="279">
        <f t="shared" si="21"/>
        <v>60648</v>
      </c>
      <c r="N58" s="279">
        <f t="shared" si="21"/>
        <v>60975</v>
      </c>
      <c r="O58" s="279">
        <f t="shared" si="21"/>
        <v>61127</v>
      </c>
      <c r="P58" s="279">
        <f t="shared" si="21"/>
        <v>61414</v>
      </c>
      <c r="Q58" s="279">
        <f t="shared" si="21"/>
        <v>61690</v>
      </c>
      <c r="R58" s="279">
        <f t="shared" si="21"/>
        <v>62257</v>
      </c>
      <c r="S58" s="279">
        <f t="shared" si="21"/>
        <v>62935</v>
      </c>
      <c r="T58" s="279">
        <f t="shared" si="21"/>
        <v>63375</v>
      </c>
      <c r="U58" s="279">
        <f t="shared" si="21"/>
        <v>63748</v>
      </c>
      <c r="V58" s="280">
        <f t="shared" si="1"/>
        <v>5327</v>
      </c>
      <c r="W58" s="281">
        <f t="shared" si="2"/>
        <v>9.1182965029698221E-2</v>
      </c>
    </row>
    <row r="59" spans="1:23" s="282" customFormat="1" ht="51">
      <c r="A59" s="283" t="s">
        <v>132</v>
      </c>
      <c r="B59" s="284" t="s">
        <v>211</v>
      </c>
      <c r="C59" s="172" t="s">
        <v>212</v>
      </c>
      <c r="D59" s="173" t="s">
        <v>137</v>
      </c>
      <c r="E59" s="77" t="s">
        <v>36</v>
      </c>
      <c r="F59" s="277">
        <f>IFERROR((VLOOKUP(E59,'MEMORANDOS E IPC 2023 Y 2024'!$A$1:$C$20,3,0)),"0")</f>
        <v>44974</v>
      </c>
      <c r="G59" s="285">
        <v>10058</v>
      </c>
      <c r="H59" s="279">
        <f t="shared" ref="H59:H61" si="22">IF(($F59="0"),$F59,(ROUNDDOWN((G59*(1+(H$4/100))),0)))</f>
        <v>10163</v>
      </c>
      <c r="I59" s="279">
        <f t="shared" si="21"/>
        <v>10242</v>
      </c>
      <c r="J59" s="279">
        <f t="shared" si="21"/>
        <v>10286</v>
      </c>
      <c r="K59" s="279">
        <f t="shared" si="21"/>
        <v>10316</v>
      </c>
      <c r="L59" s="279">
        <f t="shared" si="21"/>
        <v>10367</v>
      </c>
      <c r="M59" s="279">
        <f t="shared" si="21"/>
        <v>10439</v>
      </c>
      <c r="N59" s="279">
        <f t="shared" si="21"/>
        <v>10495</v>
      </c>
      <c r="O59" s="279">
        <f t="shared" si="21"/>
        <v>10521</v>
      </c>
      <c r="P59" s="279">
        <f t="shared" si="21"/>
        <v>10570</v>
      </c>
      <c r="Q59" s="279">
        <f t="shared" si="21"/>
        <v>10617</v>
      </c>
      <c r="R59" s="279">
        <f t="shared" si="21"/>
        <v>10714</v>
      </c>
      <c r="S59" s="279">
        <f t="shared" si="21"/>
        <v>10830</v>
      </c>
      <c r="T59" s="279">
        <f t="shared" si="21"/>
        <v>10905</v>
      </c>
      <c r="U59" s="279">
        <f t="shared" si="21"/>
        <v>10969</v>
      </c>
      <c r="V59" s="280">
        <f t="shared" si="1"/>
        <v>911</v>
      </c>
      <c r="W59" s="281">
        <f t="shared" si="2"/>
        <v>9.0574666931795583E-2</v>
      </c>
    </row>
    <row r="60" spans="1:23" s="282" customFormat="1" ht="51">
      <c r="A60" s="283" t="s">
        <v>132</v>
      </c>
      <c r="B60" s="284" t="s">
        <v>213</v>
      </c>
      <c r="C60" s="172" t="s">
        <v>214</v>
      </c>
      <c r="D60" s="173" t="s">
        <v>137</v>
      </c>
      <c r="E60" s="77" t="s">
        <v>36</v>
      </c>
      <c r="F60" s="277">
        <f>IFERROR((VLOOKUP(E60,'MEMORANDOS E IPC 2023 Y 2024'!$A$1:$C$20,3,0)),"0")</f>
        <v>44974</v>
      </c>
      <c r="G60" s="285">
        <v>620627</v>
      </c>
      <c r="H60" s="279">
        <f t="shared" si="22"/>
        <v>627143</v>
      </c>
      <c r="I60" s="279">
        <f t="shared" si="21"/>
        <v>632034</v>
      </c>
      <c r="J60" s="279">
        <f t="shared" si="21"/>
        <v>634751</v>
      </c>
      <c r="K60" s="279">
        <f t="shared" si="21"/>
        <v>636655</v>
      </c>
      <c r="L60" s="279">
        <f t="shared" si="21"/>
        <v>639838</v>
      </c>
      <c r="M60" s="279">
        <f t="shared" si="21"/>
        <v>644316</v>
      </c>
      <c r="N60" s="279">
        <f t="shared" si="21"/>
        <v>647795</v>
      </c>
      <c r="O60" s="279">
        <f t="shared" si="21"/>
        <v>649414</v>
      </c>
      <c r="P60" s="279">
        <f t="shared" si="21"/>
        <v>652466</v>
      </c>
      <c r="Q60" s="279">
        <f t="shared" si="21"/>
        <v>655402</v>
      </c>
      <c r="R60" s="279">
        <f t="shared" si="21"/>
        <v>661431</v>
      </c>
      <c r="S60" s="279">
        <f t="shared" si="21"/>
        <v>668640</v>
      </c>
      <c r="T60" s="279">
        <f t="shared" si="21"/>
        <v>673320</v>
      </c>
      <c r="U60" s="279">
        <f t="shared" si="21"/>
        <v>677292</v>
      </c>
      <c r="V60" s="280">
        <f t="shared" si="1"/>
        <v>56665</v>
      </c>
      <c r="W60" s="281">
        <f t="shared" si="2"/>
        <v>9.1302827624321861E-2</v>
      </c>
    </row>
    <row r="61" spans="1:23" s="282" customFormat="1" ht="51">
      <c r="A61" s="283" t="s">
        <v>132</v>
      </c>
      <c r="B61" s="137" t="s">
        <v>215</v>
      </c>
      <c r="C61" s="133" t="s">
        <v>216</v>
      </c>
      <c r="D61" s="78" t="s">
        <v>137</v>
      </c>
      <c r="E61" s="134" t="s">
        <v>36</v>
      </c>
      <c r="F61" s="277">
        <f>IFERROR((VLOOKUP(E61,'MEMORANDOS E IPC 2023 Y 2024'!$A$1:$C$20,3,0)),"0")</f>
        <v>44974</v>
      </c>
      <c r="G61" s="285">
        <v>95927</v>
      </c>
      <c r="H61" s="279">
        <f t="shared" si="22"/>
        <v>96934</v>
      </c>
      <c r="I61" s="279">
        <f t="shared" si="21"/>
        <v>97690</v>
      </c>
      <c r="J61" s="279">
        <f t="shared" si="21"/>
        <v>98110</v>
      </c>
      <c r="K61" s="279">
        <f t="shared" si="21"/>
        <v>98404</v>
      </c>
      <c r="L61" s="279">
        <f t="shared" si="21"/>
        <v>98896</v>
      </c>
      <c r="M61" s="279">
        <f t="shared" si="21"/>
        <v>99588</v>
      </c>
      <c r="N61" s="279">
        <f t="shared" si="21"/>
        <v>100125</v>
      </c>
      <c r="O61" s="279">
        <f t="shared" si="21"/>
        <v>100375</v>
      </c>
      <c r="P61" s="279">
        <f t="shared" si="21"/>
        <v>100846</v>
      </c>
      <c r="Q61" s="279">
        <f t="shared" si="21"/>
        <v>101299</v>
      </c>
      <c r="R61" s="279">
        <f t="shared" si="21"/>
        <v>102230</v>
      </c>
      <c r="S61" s="279">
        <f t="shared" si="21"/>
        <v>103344</v>
      </c>
      <c r="T61" s="279">
        <f t="shared" si="21"/>
        <v>104067</v>
      </c>
      <c r="U61" s="279">
        <f t="shared" si="21"/>
        <v>104680</v>
      </c>
      <c r="V61" s="280">
        <f t="shared" si="1"/>
        <v>8753</v>
      </c>
      <c r="W61" s="281">
        <f t="shared" si="2"/>
        <v>9.1246468668883626E-2</v>
      </c>
    </row>
    <row r="62" spans="1:23" s="168" customFormat="1" ht="89.25">
      <c r="A62" s="283" t="s">
        <v>132</v>
      </c>
      <c r="B62" s="213" t="s">
        <v>217</v>
      </c>
      <c r="C62" s="173" t="s">
        <v>218</v>
      </c>
      <c r="D62" s="76" t="s">
        <v>108</v>
      </c>
      <c r="E62" s="77" t="s">
        <v>64</v>
      </c>
      <c r="F62" s="277" t="str">
        <f>IFERROR((VLOOKUP(E62,'MEMORANDOS E IPC 2023 Y 2024'!$A$1:$C$20,3,0)),"0")</f>
        <v>0</v>
      </c>
      <c r="G62" s="285">
        <v>1952567</v>
      </c>
      <c r="H62" s="279">
        <f>IF(($F62="0"),$G62,(ROUNDDOWN((G62*(1+(H$4/100))),0)))</f>
        <v>1952567</v>
      </c>
      <c r="I62" s="279">
        <f t="shared" ref="I62" si="23">IF(($F62="0"),$G62,(ROUNDDOWN((H62*(1+(I$4/100))),0)))</f>
        <v>1952567</v>
      </c>
      <c r="J62" s="279">
        <f t="shared" ref="J62" si="24">IF(($F62="0"),$G62,(ROUNDDOWN((I62*(1+(J$4/100))),0)))</f>
        <v>1952567</v>
      </c>
      <c r="K62" s="279">
        <f t="shared" ref="K62" si="25">IF(($F62="0"),$G62,(ROUNDDOWN((J62*(1+(K$4/100))),0)))</f>
        <v>1952567</v>
      </c>
      <c r="L62" s="279">
        <f t="shared" ref="L62" si="26">IF(($F62="0"),$G62,(ROUNDDOWN((K62*(1+(L$4/100))),0)))</f>
        <v>1952567</v>
      </c>
      <c r="M62" s="279">
        <f t="shared" ref="M62" si="27">IF(($F62="0"),$G62,(ROUNDDOWN((L62*(1+(M$4/100))),0)))</f>
        <v>1952567</v>
      </c>
      <c r="N62" s="279">
        <f t="shared" ref="N62" si="28">IF(($F62="0"),$G62,(ROUNDDOWN((M62*(1+(N$4/100))),0)))</f>
        <v>1952567</v>
      </c>
      <c r="O62" s="279">
        <f t="shared" ref="O62" si="29">IF(($F62="0"),$G62,(ROUNDDOWN((N62*(1+(O$4/100))),0)))</f>
        <v>1952567</v>
      </c>
      <c r="P62" s="279">
        <f t="shared" ref="P62" si="30">IF(($F62="0"),$G62,(ROUNDDOWN((O62*(1+(P$4/100))),0)))</f>
        <v>1952567</v>
      </c>
      <c r="Q62" s="279">
        <f t="shared" ref="Q62" si="31">IF(($F62="0"),$G62,(ROUNDDOWN((P62*(1+(Q$4/100))),0)))</f>
        <v>1952567</v>
      </c>
      <c r="R62" s="279">
        <f t="shared" ref="R62" si="32">IF(($F62="0"),$G62,(ROUNDDOWN((Q62*(1+(R$4/100))),0)))</f>
        <v>1952567</v>
      </c>
      <c r="S62" s="279">
        <f t="shared" ref="S62" si="33">IF(($F62="0"),$G62,(ROUNDDOWN((R62*(1+(S$4/100))),0)))</f>
        <v>1952567</v>
      </c>
      <c r="T62" s="279">
        <f t="shared" ref="T62" si="34">IF(($F62="0"),$G62,(ROUNDDOWN((S62*(1+(T$4/100))),0)))</f>
        <v>1952567</v>
      </c>
      <c r="U62" s="279">
        <f t="shared" ref="U62" si="35">IF(($F62="0"),$G62,(ROUNDDOWN((T62*(1+(U$4/100))),0)))</f>
        <v>1952567</v>
      </c>
      <c r="V62" s="280">
        <f t="shared" ref="V62" si="36">U62-G62</f>
        <v>0</v>
      </c>
      <c r="W62" s="281">
        <f t="shared" ref="W62" si="37">V62/G62</f>
        <v>0</v>
      </c>
    </row>
    <row r="63" spans="1:23" s="282" customFormat="1" ht="51">
      <c r="A63" s="283" t="s">
        <v>132</v>
      </c>
      <c r="B63" s="284" t="s">
        <v>219</v>
      </c>
      <c r="C63" s="172" t="s">
        <v>220</v>
      </c>
      <c r="D63" s="173" t="s">
        <v>137</v>
      </c>
      <c r="E63" s="77" t="s">
        <v>64</v>
      </c>
      <c r="F63" s="277" t="str">
        <f>IFERROR((VLOOKUP(E63,'MEMORANDOS E IPC 2023 Y 2024'!$A$1:$C$20,3,0)),"0")</f>
        <v>0</v>
      </c>
      <c r="G63" s="285">
        <v>1952567</v>
      </c>
      <c r="H63" s="279">
        <f>IF(($F63="0"),$G63,(ROUNDDOWN((G63*(1+(H$4/100))),0)))</f>
        <v>1952567</v>
      </c>
      <c r="I63" s="279">
        <f t="shared" ref="I63:U63" si="38">IF(($F63="0"),$G63,(ROUNDDOWN((H63*(1+(I$4/100))),0)))</f>
        <v>1952567</v>
      </c>
      <c r="J63" s="279">
        <f t="shared" si="38"/>
        <v>1952567</v>
      </c>
      <c r="K63" s="279">
        <f t="shared" si="38"/>
        <v>1952567</v>
      </c>
      <c r="L63" s="279">
        <f t="shared" si="38"/>
        <v>1952567</v>
      </c>
      <c r="M63" s="279">
        <f t="shared" si="38"/>
        <v>1952567</v>
      </c>
      <c r="N63" s="279">
        <f t="shared" si="38"/>
        <v>1952567</v>
      </c>
      <c r="O63" s="279">
        <f t="shared" si="38"/>
        <v>1952567</v>
      </c>
      <c r="P63" s="279">
        <f t="shared" si="38"/>
        <v>1952567</v>
      </c>
      <c r="Q63" s="279">
        <f t="shared" si="38"/>
        <v>1952567</v>
      </c>
      <c r="R63" s="279">
        <f t="shared" si="38"/>
        <v>1952567</v>
      </c>
      <c r="S63" s="279">
        <f t="shared" si="38"/>
        <v>1952567</v>
      </c>
      <c r="T63" s="279">
        <f t="shared" si="38"/>
        <v>1952567</v>
      </c>
      <c r="U63" s="279">
        <f t="shared" si="38"/>
        <v>1952567</v>
      </c>
      <c r="V63" s="280">
        <f t="shared" si="1"/>
        <v>0</v>
      </c>
      <c r="W63" s="281">
        <f t="shared" si="2"/>
        <v>0</v>
      </c>
    </row>
    <row r="64" spans="1:23" s="282" customFormat="1" ht="51">
      <c r="A64" s="283" t="s">
        <v>132</v>
      </c>
      <c r="B64" s="286" t="s">
        <v>221</v>
      </c>
      <c r="C64" s="176" t="s">
        <v>222</v>
      </c>
      <c r="D64" s="173" t="s">
        <v>137</v>
      </c>
      <c r="E64" s="77" t="s">
        <v>36</v>
      </c>
      <c r="F64" s="277">
        <f>IFERROR((VLOOKUP(E64,'MEMORANDOS E IPC 2023 Y 2024'!$A$1:$C$20,3,0)),"0")</f>
        <v>44974</v>
      </c>
      <c r="G64" s="285">
        <v>2220143</v>
      </c>
      <c r="H64" s="279">
        <f>IF(($F64="0"),$F64,(ROUNDDOWN((G64*(1+(H$4/100))),0)))</f>
        <v>2243454</v>
      </c>
      <c r="I64" s="279">
        <f t="shared" ref="I64:U67" si="39">IF(($F64="0"),$F64,(ROUNDDOWN((H64*(1+(I$4/100))),0)))</f>
        <v>2260952</v>
      </c>
      <c r="J64" s="279">
        <f t="shared" si="39"/>
        <v>2270674</v>
      </c>
      <c r="K64" s="279">
        <f t="shared" si="39"/>
        <v>2277486</v>
      </c>
      <c r="L64" s="279">
        <f t="shared" si="39"/>
        <v>2288873</v>
      </c>
      <c r="M64" s="279">
        <f t="shared" si="39"/>
        <v>2304895</v>
      </c>
      <c r="N64" s="279">
        <f t="shared" si="39"/>
        <v>2317341</v>
      </c>
      <c r="O64" s="279">
        <f t="shared" si="39"/>
        <v>2323134</v>
      </c>
      <c r="P64" s="279">
        <f t="shared" si="39"/>
        <v>2334052</v>
      </c>
      <c r="Q64" s="279">
        <f t="shared" si="39"/>
        <v>2344555</v>
      </c>
      <c r="R64" s="279">
        <f t="shared" si="39"/>
        <v>2366124</v>
      </c>
      <c r="S64" s="279">
        <f t="shared" si="39"/>
        <v>2391914</v>
      </c>
      <c r="T64" s="279">
        <f t="shared" si="39"/>
        <v>2408657</v>
      </c>
      <c r="U64" s="279">
        <f t="shared" si="39"/>
        <v>2422868</v>
      </c>
      <c r="V64" s="280">
        <f t="shared" si="1"/>
        <v>202725</v>
      </c>
      <c r="W64" s="281">
        <f t="shared" si="2"/>
        <v>9.1311685778798932E-2</v>
      </c>
    </row>
    <row r="65" spans="1:23" s="282" customFormat="1" ht="51">
      <c r="A65" s="283" t="s">
        <v>132</v>
      </c>
      <c r="B65" s="284" t="s">
        <v>223</v>
      </c>
      <c r="C65" s="172" t="s">
        <v>224</v>
      </c>
      <c r="D65" s="173" t="s">
        <v>137</v>
      </c>
      <c r="E65" s="77" t="s">
        <v>38</v>
      </c>
      <c r="F65" s="277">
        <f>IFERROR((VLOOKUP(E65,'MEMORANDOS E IPC 2023 Y 2024'!$A$1:$C$20,3,0)),"0")</f>
        <v>45002</v>
      </c>
      <c r="G65" s="285">
        <v>16890</v>
      </c>
      <c r="H65" s="278">
        <f>G65</f>
        <v>16890</v>
      </c>
      <c r="I65" s="279">
        <f>IF(($F65="0"),$F65,(ROUNDDOWN((H65*(1+(I$4/100))),0)))</f>
        <v>17021</v>
      </c>
      <c r="J65" s="279">
        <f t="shared" si="39"/>
        <v>17094</v>
      </c>
      <c r="K65" s="279">
        <f t="shared" si="39"/>
        <v>17145</v>
      </c>
      <c r="L65" s="279">
        <f t="shared" si="39"/>
        <v>17230</v>
      </c>
      <c r="M65" s="279">
        <f t="shared" si="39"/>
        <v>17350</v>
      </c>
      <c r="N65" s="279">
        <f t="shared" si="39"/>
        <v>17443</v>
      </c>
      <c r="O65" s="279">
        <f t="shared" si="39"/>
        <v>17486</v>
      </c>
      <c r="P65" s="279">
        <f t="shared" si="39"/>
        <v>17568</v>
      </c>
      <c r="Q65" s="279">
        <f t="shared" si="39"/>
        <v>17647</v>
      </c>
      <c r="R65" s="279">
        <f t="shared" si="39"/>
        <v>17809</v>
      </c>
      <c r="S65" s="279">
        <f t="shared" si="39"/>
        <v>18003</v>
      </c>
      <c r="T65" s="279">
        <f t="shared" si="39"/>
        <v>18129</v>
      </c>
      <c r="U65" s="279">
        <f t="shared" si="39"/>
        <v>18235</v>
      </c>
      <c r="V65" s="280">
        <f t="shared" si="1"/>
        <v>1345</v>
      </c>
      <c r="W65" s="281">
        <f t="shared" si="2"/>
        <v>7.963291888691533E-2</v>
      </c>
    </row>
    <row r="66" spans="1:23" s="282" customFormat="1" ht="51">
      <c r="A66" s="283" t="s">
        <v>132</v>
      </c>
      <c r="B66" s="284" t="s">
        <v>225</v>
      </c>
      <c r="C66" s="172" t="s">
        <v>226</v>
      </c>
      <c r="D66" s="173" t="s">
        <v>137</v>
      </c>
      <c r="E66" s="77" t="s">
        <v>44</v>
      </c>
      <c r="F66" s="277">
        <f>IFERROR((VLOOKUP(E66,'MEMORANDOS E IPC 2023 Y 2024'!$A$1:$C$20,3,0)),"0")</f>
        <v>45100</v>
      </c>
      <c r="G66" s="285">
        <v>2698</v>
      </c>
      <c r="H66" s="278">
        <f>G66</f>
        <v>2698</v>
      </c>
      <c r="I66" s="278">
        <f t="shared" ref="I66:K67" si="40">H66</f>
        <v>2698</v>
      </c>
      <c r="J66" s="278">
        <f t="shared" si="40"/>
        <v>2698</v>
      </c>
      <c r="K66" s="278">
        <f t="shared" si="40"/>
        <v>2698</v>
      </c>
      <c r="L66" s="279">
        <f t="shared" si="39"/>
        <v>2711</v>
      </c>
      <c r="M66" s="279">
        <f t="shared" si="39"/>
        <v>2729</v>
      </c>
      <c r="N66" s="279">
        <f t="shared" si="39"/>
        <v>2743</v>
      </c>
      <c r="O66" s="279">
        <f t="shared" si="39"/>
        <v>2749</v>
      </c>
      <c r="P66" s="279">
        <f t="shared" si="39"/>
        <v>2761</v>
      </c>
      <c r="Q66" s="279">
        <f t="shared" si="39"/>
        <v>2773</v>
      </c>
      <c r="R66" s="279">
        <f t="shared" si="39"/>
        <v>2798</v>
      </c>
      <c r="S66" s="279">
        <f t="shared" si="39"/>
        <v>2828</v>
      </c>
      <c r="T66" s="279">
        <f t="shared" si="39"/>
        <v>2847</v>
      </c>
      <c r="U66" s="279">
        <f t="shared" si="39"/>
        <v>2863</v>
      </c>
      <c r="V66" s="280">
        <f t="shared" si="1"/>
        <v>165</v>
      </c>
      <c r="W66" s="281">
        <f t="shared" si="2"/>
        <v>6.115641215715345E-2</v>
      </c>
    </row>
    <row r="67" spans="1:23" s="282" customFormat="1" ht="51">
      <c r="A67" s="283" t="s">
        <v>132</v>
      </c>
      <c r="B67" s="284" t="s">
        <v>227</v>
      </c>
      <c r="C67" s="172" t="s">
        <v>228</v>
      </c>
      <c r="D67" s="173" t="s">
        <v>137</v>
      </c>
      <c r="E67" s="77" t="s">
        <v>44</v>
      </c>
      <c r="F67" s="277">
        <f>IFERROR((VLOOKUP(E67,'MEMORANDOS E IPC 2023 Y 2024'!$A$1:$C$20,3,0)),"0")</f>
        <v>45100</v>
      </c>
      <c r="G67" s="285">
        <v>1611</v>
      </c>
      <c r="H67" s="278">
        <f>G67</f>
        <v>1611</v>
      </c>
      <c r="I67" s="278">
        <f t="shared" si="40"/>
        <v>1611</v>
      </c>
      <c r="J67" s="278">
        <f t="shared" si="40"/>
        <v>1611</v>
      </c>
      <c r="K67" s="278">
        <f t="shared" si="40"/>
        <v>1611</v>
      </c>
      <c r="L67" s="279">
        <f t="shared" si="39"/>
        <v>1619</v>
      </c>
      <c r="M67" s="279">
        <f t="shared" si="39"/>
        <v>1630</v>
      </c>
      <c r="N67" s="279">
        <f t="shared" si="39"/>
        <v>1638</v>
      </c>
      <c r="O67" s="279">
        <f t="shared" si="39"/>
        <v>1642</v>
      </c>
      <c r="P67" s="279">
        <f t="shared" si="39"/>
        <v>1649</v>
      </c>
      <c r="Q67" s="279">
        <f t="shared" si="39"/>
        <v>1656</v>
      </c>
      <c r="R67" s="279">
        <f t="shared" si="39"/>
        <v>1671</v>
      </c>
      <c r="S67" s="279">
        <f t="shared" si="39"/>
        <v>1689</v>
      </c>
      <c r="T67" s="279">
        <f t="shared" si="39"/>
        <v>1700</v>
      </c>
      <c r="U67" s="279">
        <f t="shared" si="39"/>
        <v>1710</v>
      </c>
      <c r="V67" s="280">
        <f t="shared" si="1"/>
        <v>99</v>
      </c>
      <c r="W67" s="281">
        <f t="shared" si="2"/>
        <v>6.1452513966480445E-2</v>
      </c>
    </row>
    <row r="68" spans="1:23" s="282" customFormat="1" ht="51">
      <c r="A68" s="283" t="s">
        <v>132</v>
      </c>
      <c r="B68" s="284" t="s">
        <v>229</v>
      </c>
      <c r="C68" s="172" t="s">
        <v>230</v>
      </c>
      <c r="D68" s="173" t="s">
        <v>137</v>
      </c>
      <c r="E68" s="77" t="s">
        <v>36</v>
      </c>
      <c r="F68" s="277">
        <f>IFERROR((VLOOKUP(E68,'MEMORANDOS E IPC 2023 Y 2024'!$A$1:$C$20,3,0)),"0")</f>
        <v>44974</v>
      </c>
      <c r="G68" s="285">
        <v>122513</v>
      </c>
      <c r="H68" s="279">
        <f t="shared" ref="H68:U74" si="41">IF(($F68="0"),$F68,(ROUNDDOWN((G68*(1+(H$4/100))),0)))</f>
        <v>123799</v>
      </c>
      <c r="I68" s="279">
        <f t="shared" si="41"/>
        <v>124764</v>
      </c>
      <c r="J68" s="279">
        <f t="shared" si="41"/>
        <v>125300</v>
      </c>
      <c r="K68" s="279">
        <f t="shared" si="41"/>
        <v>125675</v>
      </c>
      <c r="L68" s="279">
        <f t="shared" si="41"/>
        <v>126303</v>
      </c>
      <c r="M68" s="279">
        <f t="shared" si="41"/>
        <v>127187</v>
      </c>
      <c r="N68" s="279">
        <f t="shared" si="41"/>
        <v>127873</v>
      </c>
      <c r="O68" s="279">
        <f t="shared" si="41"/>
        <v>128192</v>
      </c>
      <c r="P68" s="279">
        <f t="shared" si="41"/>
        <v>128794</v>
      </c>
      <c r="Q68" s="279">
        <f t="shared" si="41"/>
        <v>129373</v>
      </c>
      <c r="R68" s="279">
        <f t="shared" si="41"/>
        <v>130563</v>
      </c>
      <c r="S68" s="279">
        <f t="shared" si="41"/>
        <v>131986</v>
      </c>
      <c r="T68" s="279">
        <f t="shared" si="41"/>
        <v>132909</v>
      </c>
      <c r="U68" s="279">
        <f t="shared" si="41"/>
        <v>133693</v>
      </c>
      <c r="V68" s="280">
        <f t="shared" si="1"/>
        <v>11180</v>
      </c>
      <c r="W68" s="281">
        <f t="shared" si="2"/>
        <v>9.1255621852374846E-2</v>
      </c>
    </row>
    <row r="69" spans="1:23" s="282" customFormat="1" ht="51">
      <c r="A69" s="283" t="s">
        <v>132</v>
      </c>
      <c r="B69" s="284" t="s">
        <v>231</v>
      </c>
      <c r="C69" s="172" t="s">
        <v>232</v>
      </c>
      <c r="D69" s="173" t="s">
        <v>137</v>
      </c>
      <c r="E69" s="77" t="s">
        <v>36</v>
      </c>
      <c r="F69" s="277">
        <f>IFERROR((VLOOKUP(E69,'MEMORANDOS E IPC 2023 Y 2024'!$A$1:$C$20,3,0)),"0")</f>
        <v>44974</v>
      </c>
      <c r="G69" s="285">
        <v>12000</v>
      </c>
      <c r="H69" s="279">
        <f t="shared" si="41"/>
        <v>12126</v>
      </c>
      <c r="I69" s="279">
        <f t="shared" si="41"/>
        <v>12220</v>
      </c>
      <c r="J69" s="279">
        <f t="shared" si="41"/>
        <v>12272</v>
      </c>
      <c r="K69" s="279">
        <f t="shared" si="41"/>
        <v>12308</v>
      </c>
      <c r="L69" s="279">
        <f t="shared" si="41"/>
        <v>12369</v>
      </c>
      <c r="M69" s="279">
        <f t="shared" si="41"/>
        <v>12455</v>
      </c>
      <c r="N69" s="279">
        <f t="shared" si="41"/>
        <v>12522</v>
      </c>
      <c r="O69" s="279">
        <f t="shared" si="41"/>
        <v>12553</v>
      </c>
      <c r="P69" s="279">
        <f t="shared" si="41"/>
        <v>12611</v>
      </c>
      <c r="Q69" s="279">
        <f t="shared" si="41"/>
        <v>12667</v>
      </c>
      <c r="R69" s="279">
        <f t="shared" si="41"/>
        <v>12783</v>
      </c>
      <c r="S69" s="279">
        <f t="shared" si="41"/>
        <v>12922</v>
      </c>
      <c r="T69" s="279">
        <f t="shared" si="41"/>
        <v>13012</v>
      </c>
      <c r="U69" s="279">
        <f t="shared" si="41"/>
        <v>13088</v>
      </c>
      <c r="V69" s="280">
        <f t="shared" si="1"/>
        <v>1088</v>
      </c>
      <c r="W69" s="281">
        <f t="shared" si="2"/>
        <v>9.0666666666666673E-2</v>
      </c>
    </row>
    <row r="70" spans="1:23" s="282" customFormat="1" ht="51">
      <c r="A70" s="283" t="s">
        <v>132</v>
      </c>
      <c r="B70" s="284" t="s">
        <v>233</v>
      </c>
      <c r="C70" s="172" t="s">
        <v>234</v>
      </c>
      <c r="D70" s="173" t="s">
        <v>137</v>
      </c>
      <c r="E70" s="77" t="s">
        <v>36</v>
      </c>
      <c r="F70" s="277">
        <f>IFERROR((VLOOKUP(E70,'MEMORANDOS E IPC 2023 Y 2024'!$A$1:$C$20,3,0)),"0")</f>
        <v>44974</v>
      </c>
      <c r="G70" s="285">
        <v>26821</v>
      </c>
      <c r="H70" s="279">
        <f t="shared" si="41"/>
        <v>27102</v>
      </c>
      <c r="I70" s="279">
        <f t="shared" si="41"/>
        <v>27313</v>
      </c>
      <c r="J70" s="279">
        <f t="shared" si="41"/>
        <v>27430</v>
      </c>
      <c r="K70" s="279">
        <f t="shared" si="41"/>
        <v>27512</v>
      </c>
      <c r="L70" s="279">
        <f t="shared" si="41"/>
        <v>27649</v>
      </c>
      <c r="M70" s="279">
        <f t="shared" si="41"/>
        <v>27842</v>
      </c>
      <c r="N70" s="279">
        <f t="shared" si="41"/>
        <v>27992</v>
      </c>
      <c r="O70" s="279">
        <f t="shared" si="41"/>
        <v>28061</v>
      </c>
      <c r="P70" s="279">
        <f t="shared" si="41"/>
        <v>28192</v>
      </c>
      <c r="Q70" s="279">
        <f t="shared" si="41"/>
        <v>28318</v>
      </c>
      <c r="R70" s="279">
        <f t="shared" si="41"/>
        <v>28578</v>
      </c>
      <c r="S70" s="279">
        <f t="shared" si="41"/>
        <v>28889</v>
      </c>
      <c r="T70" s="279">
        <f t="shared" si="41"/>
        <v>29091</v>
      </c>
      <c r="U70" s="279">
        <f t="shared" si="41"/>
        <v>29262</v>
      </c>
      <c r="V70" s="280">
        <f t="shared" si="1"/>
        <v>2441</v>
      </c>
      <c r="W70" s="281">
        <f t="shared" si="2"/>
        <v>9.1010775138883712E-2</v>
      </c>
    </row>
    <row r="71" spans="1:23" s="282" customFormat="1" ht="51">
      <c r="A71" s="283" t="s">
        <v>132</v>
      </c>
      <c r="B71" s="284" t="s">
        <v>235</v>
      </c>
      <c r="C71" s="172" t="s">
        <v>236</v>
      </c>
      <c r="D71" s="173" t="s">
        <v>137</v>
      </c>
      <c r="E71" s="77" t="s">
        <v>36</v>
      </c>
      <c r="F71" s="277">
        <f>IFERROR((VLOOKUP(E71,'MEMORANDOS E IPC 2023 Y 2024'!$A$1:$C$20,3,0)),"0")</f>
        <v>44974</v>
      </c>
      <c r="G71" s="285">
        <v>23024</v>
      </c>
      <c r="H71" s="279">
        <f t="shared" si="41"/>
        <v>23265</v>
      </c>
      <c r="I71" s="279">
        <f t="shared" si="41"/>
        <v>23446</v>
      </c>
      <c r="J71" s="279">
        <f t="shared" si="41"/>
        <v>23546</v>
      </c>
      <c r="K71" s="279">
        <f t="shared" si="41"/>
        <v>23616</v>
      </c>
      <c r="L71" s="279">
        <f t="shared" si="41"/>
        <v>23734</v>
      </c>
      <c r="M71" s="279">
        <f t="shared" si="41"/>
        <v>23900</v>
      </c>
      <c r="N71" s="279">
        <f t="shared" si="41"/>
        <v>24029</v>
      </c>
      <c r="O71" s="279">
        <f t="shared" si="41"/>
        <v>24089</v>
      </c>
      <c r="P71" s="279">
        <f t="shared" si="41"/>
        <v>24202</v>
      </c>
      <c r="Q71" s="279">
        <f t="shared" si="41"/>
        <v>24310</v>
      </c>
      <c r="R71" s="279">
        <f t="shared" si="41"/>
        <v>24533</v>
      </c>
      <c r="S71" s="279">
        <f t="shared" si="41"/>
        <v>24800</v>
      </c>
      <c r="T71" s="279">
        <f t="shared" si="41"/>
        <v>24973</v>
      </c>
      <c r="U71" s="279">
        <f t="shared" si="41"/>
        <v>25120</v>
      </c>
      <c r="V71" s="280">
        <f t="shared" si="1"/>
        <v>2096</v>
      </c>
      <c r="W71" s="281">
        <f t="shared" si="2"/>
        <v>9.1035441278665738E-2</v>
      </c>
    </row>
    <row r="72" spans="1:23" s="282" customFormat="1" ht="51">
      <c r="A72" s="283" t="s">
        <v>132</v>
      </c>
      <c r="B72" s="284" t="s">
        <v>237</v>
      </c>
      <c r="C72" s="172" t="s">
        <v>238</v>
      </c>
      <c r="D72" s="173" t="s">
        <v>137</v>
      </c>
      <c r="E72" s="77" t="s">
        <v>36</v>
      </c>
      <c r="F72" s="277">
        <f>IFERROR((VLOOKUP(E72,'MEMORANDOS E IPC 2023 Y 2024'!$A$1:$C$20,3,0)),"0")</f>
        <v>44974</v>
      </c>
      <c r="G72" s="285">
        <v>40707</v>
      </c>
      <c r="H72" s="279">
        <f t="shared" si="41"/>
        <v>41134</v>
      </c>
      <c r="I72" s="279">
        <f t="shared" si="41"/>
        <v>41454</v>
      </c>
      <c r="J72" s="279">
        <f t="shared" si="41"/>
        <v>41632</v>
      </c>
      <c r="K72" s="279">
        <f t="shared" si="41"/>
        <v>41756</v>
      </c>
      <c r="L72" s="279">
        <f t="shared" si="41"/>
        <v>41964</v>
      </c>
      <c r="M72" s="279">
        <f t="shared" si="41"/>
        <v>42257</v>
      </c>
      <c r="N72" s="279">
        <f t="shared" si="41"/>
        <v>42485</v>
      </c>
      <c r="O72" s="279">
        <f t="shared" si="41"/>
        <v>42591</v>
      </c>
      <c r="P72" s="279">
        <f t="shared" si="41"/>
        <v>42791</v>
      </c>
      <c r="Q72" s="279">
        <f t="shared" si="41"/>
        <v>42983</v>
      </c>
      <c r="R72" s="279">
        <f t="shared" si="41"/>
        <v>43378</v>
      </c>
      <c r="S72" s="279">
        <f t="shared" si="41"/>
        <v>43850</v>
      </c>
      <c r="T72" s="279">
        <f t="shared" si="41"/>
        <v>44156</v>
      </c>
      <c r="U72" s="279">
        <f t="shared" si="41"/>
        <v>44416</v>
      </c>
      <c r="V72" s="280">
        <f t="shared" ref="V72:V135" si="42">U72-G72</f>
        <v>3709</v>
      </c>
      <c r="W72" s="281">
        <f t="shared" ref="W72:W135" si="43">V72/G72</f>
        <v>9.1114550323040264E-2</v>
      </c>
    </row>
    <row r="73" spans="1:23" s="282" customFormat="1" ht="51">
      <c r="A73" s="283" t="s">
        <v>132</v>
      </c>
      <c r="B73" s="284" t="s">
        <v>239</v>
      </c>
      <c r="C73" s="172" t="s">
        <v>240</v>
      </c>
      <c r="D73" s="173" t="s">
        <v>137</v>
      </c>
      <c r="E73" s="77" t="s">
        <v>36</v>
      </c>
      <c r="F73" s="277">
        <f>IFERROR((VLOOKUP(E73,'MEMORANDOS E IPC 2023 Y 2024'!$A$1:$C$20,3,0)),"0")</f>
        <v>44974</v>
      </c>
      <c r="G73" s="285">
        <v>35203</v>
      </c>
      <c r="H73" s="279">
        <f t="shared" si="41"/>
        <v>35572</v>
      </c>
      <c r="I73" s="279">
        <f t="shared" si="41"/>
        <v>35849</v>
      </c>
      <c r="J73" s="279">
        <f t="shared" si="41"/>
        <v>36003</v>
      </c>
      <c r="K73" s="279">
        <f t="shared" si="41"/>
        <v>36111</v>
      </c>
      <c r="L73" s="279">
        <f t="shared" si="41"/>
        <v>36291</v>
      </c>
      <c r="M73" s="279">
        <f t="shared" si="41"/>
        <v>36545</v>
      </c>
      <c r="N73" s="279">
        <f t="shared" si="41"/>
        <v>36742</v>
      </c>
      <c r="O73" s="279">
        <f t="shared" si="41"/>
        <v>36833</v>
      </c>
      <c r="P73" s="279">
        <f t="shared" si="41"/>
        <v>37006</v>
      </c>
      <c r="Q73" s="279">
        <f t="shared" si="41"/>
        <v>37172</v>
      </c>
      <c r="R73" s="279">
        <f t="shared" si="41"/>
        <v>37513</v>
      </c>
      <c r="S73" s="279">
        <f t="shared" si="41"/>
        <v>37921</v>
      </c>
      <c r="T73" s="279">
        <f t="shared" si="41"/>
        <v>38186</v>
      </c>
      <c r="U73" s="279">
        <f t="shared" si="41"/>
        <v>38411</v>
      </c>
      <c r="V73" s="280">
        <f t="shared" si="42"/>
        <v>3208</v>
      </c>
      <c r="W73" s="281">
        <f t="shared" si="43"/>
        <v>9.1128596994574332E-2</v>
      </c>
    </row>
    <row r="74" spans="1:23" s="282" customFormat="1" ht="51">
      <c r="A74" s="283" t="s">
        <v>132</v>
      </c>
      <c r="B74" s="284" t="s">
        <v>241</v>
      </c>
      <c r="C74" s="172" t="s">
        <v>242</v>
      </c>
      <c r="D74" s="173" t="s">
        <v>137</v>
      </c>
      <c r="E74" s="77" t="s">
        <v>44</v>
      </c>
      <c r="F74" s="277">
        <f>IFERROR((VLOOKUP(E74,'MEMORANDOS E IPC 2023 Y 2024'!$A$1:$C$20,3,0)),"0")</f>
        <v>45100</v>
      </c>
      <c r="G74" s="285">
        <v>12000</v>
      </c>
      <c r="H74" s="278">
        <f>G74</f>
        <v>12000</v>
      </c>
      <c r="I74" s="278">
        <f t="shared" ref="I74:K74" si="44">H74</f>
        <v>12000</v>
      </c>
      <c r="J74" s="278">
        <f t="shared" si="44"/>
        <v>12000</v>
      </c>
      <c r="K74" s="278">
        <f t="shared" si="44"/>
        <v>12000</v>
      </c>
      <c r="L74" s="279">
        <f>IF(($F74="0"),$F74,(ROUNDDOWN((K74*(1+(L$4/100))),0)))</f>
        <v>12060</v>
      </c>
      <c r="M74" s="279">
        <f t="shared" si="41"/>
        <v>12144</v>
      </c>
      <c r="N74" s="279">
        <f t="shared" si="41"/>
        <v>12209</v>
      </c>
      <c r="O74" s="279">
        <f t="shared" si="41"/>
        <v>12239</v>
      </c>
      <c r="P74" s="279">
        <f t="shared" si="41"/>
        <v>12296</v>
      </c>
      <c r="Q74" s="279">
        <f t="shared" si="41"/>
        <v>12351</v>
      </c>
      <c r="R74" s="279">
        <f t="shared" si="41"/>
        <v>12464</v>
      </c>
      <c r="S74" s="279">
        <f t="shared" si="41"/>
        <v>12599</v>
      </c>
      <c r="T74" s="279">
        <f t="shared" si="41"/>
        <v>12687</v>
      </c>
      <c r="U74" s="279">
        <f t="shared" si="41"/>
        <v>12761</v>
      </c>
      <c r="V74" s="280">
        <f t="shared" si="42"/>
        <v>761</v>
      </c>
      <c r="W74" s="281">
        <f t="shared" si="43"/>
        <v>6.3416666666666663E-2</v>
      </c>
    </row>
    <row r="75" spans="1:23" s="282" customFormat="1" ht="51">
      <c r="A75" s="283" t="s">
        <v>132</v>
      </c>
      <c r="B75" s="284" t="s">
        <v>243</v>
      </c>
      <c r="C75" s="172" t="s">
        <v>244</v>
      </c>
      <c r="D75" s="173" t="s">
        <v>137</v>
      </c>
      <c r="E75" s="77" t="s">
        <v>36</v>
      </c>
      <c r="F75" s="277">
        <f>IFERROR((VLOOKUP(E75,'MEMORANDOS E IPC 2023 Y 2024'!$A$1:$C$20,3,0)),"0")</f>
        <v>44974</v>
      </c>
      <c r="G75" s="285">
        <v>37967</v>
      </c>
      <c r="H75" s="279">
        <f>IF(($F75="0"),$F75,(ROUNDDOWN((G75*(1+(H$4/100))),0)))</f>
        <v>38365</v>
      </c>
      <c r="I75" s="279">
        <f t="shared" ref="I75:U75" si="45">IF(($F75="0"),$F75,(ROUNDDOWN((H75*(1+(I$4/100))),0)))</f>
        <v>38664</v>
      </c>
      <c r="J75" s="279">
        <f t="shared" si="45"/>
        <v>38830</v>
      </c>
      <c r="K75" s="279">
        <f t="shared" si="45"/>
        <v>38946</v>
      </c>
      <c r="L75" s="279">
        <f t="shared" si="45"/>
        <v>39140</v>
      </c>
      <c r="M75" s="279">
        <f t="shared" si="45"/>
        <v>39413</v>
      </c>
      <c r="N75" s="279">
        <f t="shared" si="45"/>
        <v>39625</v>
      </c>
      <c r="O75" s="279">
        <f t="shared" si="45"/>
        <v>39724</v>
      </c>
      <c r="P75" s="279">
        <f t="shared" si="45"/>
        <v>39910</v>
      </c>
      <c r="Q75" s="279">
        <f t="shared" si="45"/>
        <v>40089</v>
      </c>
      <c r="R75" s="279">
        <f t="shared" si="45"/>
        <v>40457</v>
      </c>
      <c r="S75" s="279">
        <f t="shared" si="45"/>
        <v>40897</v>
      </c>
      <c r="T75" s="279">
        <f t="shared" si="45"/>
        <v>41183</v>
      </c>
      <c r="U75" s="279">
        <f t="shared" si="45"/>
        <v>41425</v>
      </c>
      <c r="V75" s="280">
        <f t="shared" si="42"/>
        <v>3458</v>
      </c>
      <c r="W75" s="281">
        <f t="shared" si="43"/>
        <v>9.1079095003555724E-2</v>
      </c>
    </row>
    <row r="76" spans="1:23" s="282" customFormat="1" ht="89.25">
      <c r="A76" s="283" t="s">
        <v>132</v>
      </c>
      <c r="B76" s="640" t="s">
        <v>245</v>
      </c>
      <c r="C76" s="639" t="s">
        <v>246</v>
      </c>
      <c r="D76" s="173" t="s">
        <v>137</v>
      </c>
      <c r="E76" s="77" t="s">
        <v>64</v>
      </c>
      <c r="F76" s="277" t="str">
        <f>IFERROR((VLOOKUP(E76,'MEMORANDOS E IPC 2023 Y 2024'!$A$1:$C$20,3,0)),"0")</f>
        <v>0</v>
      </c>
      <c r="G76" s="285">
        <v>240999</v>
      </c>
      <c r="H76" s="279">
        <f>IF(($F76="0"),$G76,(ROUNDDOWN((G76*(1+(H$4/100))),0)))</f>
        <v>240999</v>
      </c>
      <c r="I76" s="279">
        <f t="shared" ref="I76:U77" si="46">IF(($F76="0"),$G76,(ROUNDDOWN((H76*(1+(I$4/100))),0)))</f>
        <v>240999</v>
      </c>
      <c r="J76" s="279">
        <f t="shared" si="46"/>
        <v>240999</v>
      </c>
      <c r="K76" s="279">
        <f t="shared" si="46"/>
        <v>240999</v>
      </c>
      <c r="L76" s="279">
        <f t="shared" si="46"/>
        <v>240999</v>
      </c>
      <c r="M76" s="279">
        <f t="shared" si="46"/>
        <v>240999</v>
      </c>
      <c r="N76" s="279">
        <f t="shared" si="46"/>
        <v>240999</v>
      </c>
      <c r="O76" s="279">
        <f t="shared" si="46"/>
        <v>240999</v>
      </c>
      <c r="P76" s="279">
        <f t="shared" si="46"/>
        <v>240999</v>
      </c>
      <c r="Q76" s="279">
        <f t="shared" si="46"/>
        <v>240999</v>
      </c>
      <c r="R76" s="279">
        <f t="shared" si="46"/>
        <v>240999</v>
      </c>
      <c r="S76" s="279">
        <f t="shared" si="46"/>
        <v>240999</v>
      </c>
      <c r="T76" s="279">
        <f t="shared" si="46"/>
        <v>240999</v>
      </c>
      <c r="U76" s="279">
        <f t="shared" si="46"/>
        <v>240999</v>
      </c>
      <c r="V76" s="280">
        <f t="shared" si="42"/>
        <v>0</v>
      </c>
      <c r="W76" s="281">
        <f t="shared" si="43"/>
        <v>0</v>
      </c>
    </row>
    <row r="77" spans="1:23" s="282" customFormat="1" ht="51">
      <c r="A77" s="283" t="s">
        <v>132</v>
      </c>
      <c r="B77" s="284" t="s">
        <v>247</v>
      </c>
      <c r="C77" s="172" t="s">
        <v>248</v>
      </c>
      <c r="D77" s="173" t="s">
        <v>137</v>
      </c>
      <c r="E77" s="77" t="s">
        <v>64</v>
      </c>
      <c r="F77" s="277" t="str">
        <f>IFERROR((VLOOKUP(E77,'MEMORANDOS E IPC 2023 Y 2024'!$A$1:$C$20,3,0)),"0")</f>
        <v>0</v>
      </c>
      <c r="G77" s="285">
        <v>47880</v>
      </c>
      <c r="H77" s="279">
        <f>IF(($F77="0"),$G77,(ROUNDDOWN((G77*(1+(H$4/100))),0)))</f>
        <v>47880</v>
      </c>
      <c r="I77" s="279">
        <f t="shared" si="46"/>
        <v>47880</v>
      </c>
      <c r="J77" s="279">
        <f t="shared" si="46"/>
        <v>47880</v>
      </c>
      <c r="K77" s="279">
        <f t="shared" si="46"/>
        <v>47880</v>
      </c>
      <c r="L77" s="279">
        <f t="shared" si="46"/>
        <v>47880</v>
      </c>
      <c r="M77" s="279">
        <f t="shared" si="46"/>
        <v>47880</v>
      </c>
      <c r="N77" s="279">
        <f t="shared" si="46"/>
        <v>47880</v>
      </c>
      <c r="O77" s="279">
        <f t="shared" si="46"/>
        <v>47880</v>
      </c>
      <c r="P77" s="279">
        <f t="shared" si="46"/>
        <v>47880</v>
      </c>
      <c r="Q77" s="279">
        <f t="shared" si="46"/>
        <v>47880</v>
      </c>
      <c r="R77" s="279">
        <f t="shared" si="46"/>
        <v>47880</v>
      </c>
      <c r="S77" s="279">
        <f t="shared" si="46"/>
        <v>47880</v>
      </c>
      <c r="T77" s="279">
        <f t="shared" si="46"/>
        <v>47880</v>
      </c>
      <c r="U77" s="279">
        <f t="shared" si="46"/>
        <v>47880</v>
      </c>
      <c r="V77" s="280">
        <f t="shared" si="42"/>
        <v>0</v>
      </c>
      <c r="W77" s="281">
        <f t="shared" si="43"/>
        <v>0</v>
      </c>
    </row>
    <row r="78" spans="1:23" s="282" customFormat="1" ht="51">
      <c r="A78" s="283" t="s">
        <v>132</v>
      </c>
      <c r="B78" s="132" t="s">
        <v>249</v>
      </c>
      <c r="C78" s="133" t="s">
        <v>250</v>
      </c>
      <c r="D78" s="173" t="s">
        <v>137</v>
      </c>
      <c r="E78" s="134" t="s">
        <v>36</v>
      </c>
      <c r="F78" s="277">
        <f>IFERROR((VLOOKUP(E78,'MEMORANDOS E IPC 2023 Y 2024'!$A$1:$C$20,3,0)),"0")</f>
        <v>44974</v>
      </c>
      <c r="G78" s="285">
        <v>482707</v>
      </c>
      <c r="H78" s="279">
        <f>IF(($F78="0"),$F78,(ROUNDDOWN((G78*(1+(H$4/100))),0)))</f>
        <v>487775</v>
      </c>
      <c r="I78" s="279">
        <f t="shared" ref="I78:U80" si="47">IF(($F78="0"),$F78,(ROUNDDOWN((H78*(1+(I$4/100))),0)))</f>
        <v>491579</v>
      </c>
      <c r="J78" s="279">
        <f t="shared" si="47"/>
        <v>493692</v>
      </c>
      <c r="K78" s="279">
        <f t="shared" si="47"/>
        <v>495173</v>
      </c>
      <c r="L78" s="279">
        <f t="shared" si="47"/>
        <v>497648</v>
      </c>
      <c r="M78" s="279">
        <f t="shared" si="47"/>
        <v>501131</v>
      </c>
      <c r="N78" s="279">
        <f t="shared" si="47"/>
        <v>503837</v>
      </c>
      <c r="O78" s="279">
        <f t="shared" si="47"/>
        <v>505096</v>
      </c>
      <c r="P78" s="279">
        <f t="shared" si="47"/>
        <v>507469</v>
      </c>
      <c r="Q78" s="279">
        <f t="shared" si="47"/>
        <v>509752</v>
      </c>
      <c r="R78" s="279">
        <f t="shared" si="47"/>
        <v>514441</v>
      </c>
      <c r="S78" s="279">
        <f t="shared" si="47"/>
        <v>520048</v>
      </c>
      <c r="T78" s="279">
        <f t="shared" si="47"/>
        <v>523688</v>
      </c>
      <c r="U78" s="279">
        <f t="shared" si="47"/>
        <v>526777</v>
      </c>
      <c r="V78" s="280">
        <f t="shared" si="42"/>
        <v>44070</v>
      </c>
      <c r="W78" s="281">
        <f t="shared" si="43"/>
        <v>9.1297619466881572E-2</v>
      </c>
    </row>
    <row r="79" spans="1:23" s="282" customFormat="1" ht="51">
      <c r="A79" s="283" t="s">
        <v>132</v>
      </c>
      <c r="B79" s="284" t="s">
        <v>251</v>
      </c>
      <c r="C79" s="172" t="s">
        <v>252</v>
      </c>
      <c r="D79" s="173" t="s">
        <v>137</v>
      </c>
      <c r="E79" s="77" t="s">
        <v>36</v>
      </c>
      <c r="F79" s="277">
        <f>IFERROR((VLOOKUP(E79,'MEMORANDOS E IPC 2023 Y 2024'!$A$1:$C$20,3,0)),"0")</f>
        <v>44974</v>
      </c>
      <c r="G79" s="285">
        <v>876641</v>
      </c>
      <c r="H79" s="279">
        <f>IF(($F79="0"),$F79,(ROUNDDOWN((G79*(1+(H$4/100))),0)))</f>
        <v>885845</v>
      </c>
      <c r="I79" s="279">
        <f t="shared" si="47"/>
        <v>892754</v>
      </c>
      <c r="J79" s="279">
        <f t="shared" si="47"/>
        <v>896592</v>
      </c>
      <c r="K79" s="279">
        <f t="shared" si="47"/>
        <v>899281</v>
      </c>
      <c r="L79" s="279">
        <f t="shared" si="47"/>
        <v>903777</v>
      </c>
      <c r="M79" s="279">
        <f t="shared" si="47"/>
        <v>910103</v>
      </c>
      <c r="N79" s="279">
        <f t="shared" si="47"/>
        <v>915017</v>
      </c>
      <c r="O79" s="279">
        <f t="shared" si="47"/>
        <v>917304</v>
      </c>
      <c r="P79" s="279">
        <f t="shared" si="47"/>
        <v>921615</v>
      </c>
      <c r="Q79" s="279">
        <f t="shared" si="47"/>
        <v>925762</v>
      </c>
      <c r="R79" s="279">
        <f t="shared" si="47"/>
        <v>934279</v>
      </c>
      <c r="S79" s="279">
        <f t="shared" si="47"/>
        <v>944462</v>
      </c>
      <c r="T79" s="279">
        <f t="shared" si="47"/>
        <v>951073</v>
      </c>
      <c r="U79" s="279">
        <f t="shared" si="47"/>
        <v>956684</v>
      </c>
      <c r="V79" s="280">
        <f t="shared" si="42"/>
        <v>80043</v>
      </c>
      <c r="W79" s="281">
        <f t="shared" si="43"/>
        <v>9.1306475512781177E-2</v>
      </c>
    </row>
    <row r="80" spans="1:23" s="282" customFormat="1" ht="51">
      <c r="A80" s="283" t="s">
        <v>132</v>
      </c>
      <c r="B80" s="140" t="s">
        <v>253</v>
      </c>
      <c r="C80" s="133" t="s">
        <v>254</v>
      </c>
      <c r="D80" s="78" t="s">
        <v>137</v>
      </c>
      <c r="E80" s="134" t="s">
        <v>255</v>
      </c>
      <c r="F80" s="277">
        <f>IFERROR((VLOOKUP(E80,'MEMORANDOS E IPC 2023 Y 2024'!$A$1:$C$20,3,0)),"0")</f>
        <v>45002</v>
      </c>
      <c r="G80" s="285">
        <v>12683</v>
      </c>
      <c r="H80" s="278">
        <f>G80</f>
        <v>12683</v>
      </c>
      <c r="I80" s="279">
        <f>IF(($F80="0"),$F80,(ROUNDDOWN((H80*(1+(I$4/100))),0)))</f>
        <v>12781</v>
      </c>
      <c r="J80" s="279">
        <f t="shared" si="47"/>
        <v>12835</v>
      </c>
      <c r="K80" s="279">
        <f t="shared" si="47"/>
        <v>12873</v>
      </c>
      <c r="L80" s="279">
        <f t="shared" si="47"/>
        <v>12937</v>
      </c>
      <c r="M80" s="279">
        <f t="shared" si="47"/>
        <v>13027</v>
      </c>
      <c r="N80" s="279">
        <f t="shared" si="47"/>
        <v>13097</v>
      </c>
      <c r="O80" s="279">
        <f t="shared" si="47"/>
        <v>13129</v>
      </c>
      <c r="P80" s="279">
        <f t="shared" si="47"/>
        <v>13190</v>
      </c>
      <c r="Q80" s="279">
        <f t="shared" si="47"/>
        <v>13249</v>
      </c>
      <c r="R80" s="279">
        <f t="shared" si="47"/>
        <v>13370</v>
      </c>
      <c r="S80" s="279">
        <f t="shared" si="47"/>
        <v>13515</v>
      </c>
      <c r="T80" s="279">
        <f t="shared" si="47"/>
        <v>13609</v>
      </c>
      <c r="U80" s="279">
        <f t="shared" si="47"/>
        <v>13689</v>
      </c>
      <c r="V80" s="280">
        <f t="shared" si="42"/>
        <v>1006</v>
      </c>
      <c r="W80" s="281">
        <f t="shared" si="43"/>
        <v>7.9318773160924075E-2</v>
      </c>
    </row>
    <row r="81" spans="1:23" s="282" customFormat="1" ht="51">
      <c r="A81" s="283" t="s">
        <v>132</v>
      </c>
      <c r="B81" s="284" t="s">
        <v>256</v>
      </c>
      <c r="C81" s="172" t="s">
        <v>257</v>
      </c>
      <c r="D81" s="173" t="s">
        <v>137</v>
      </c>
      <c r="E81" s="77" t="s">
        <v>36</v>
      </c>
      <c r="F81" s="277">
        <f>IFERROR((VLOOKUP(E81,'MEMORANDOS E IPC 2023 Y 2024'!$A$1:$C$20,3,0)),"0")</f>
        <v>44974</v>
      </c>
      <c r="G81" s="285">
        <v>226877</v>
      </c>
      <c r="H81" s="279">
        <f>IF(($F81="0"),$F81,(ROUNDDOWN((G81*(1+(H$4/100))),0)))</f>
        <v>229259</v>
      </c>
      <c r="I81" s="279">
        <f t="shared" ref="I81:U82" si="48">IF(($F81="0"),$F81,(ROUNDDOWN((H81*(1+(I$4/100))),0)))</f>
        <v>231047</v>
      </c>
      <c r="J81" s="279">
        <f t="shared" si="48"/>
        <v>232040</v>
      </c>
      <c r="K81" s="279">
        <f t="shared" si="48"/>
        <v>232736</v>
      </c>
      <c r="L81" s="279">
        <f t="shared" si="48"/>
        <v>233899</v>
      </c>
      <c r="M81" s="279">
        <f t="shared" si="48"/>
        <v>235536</v>
      </c>
      <c r="N81" s="279">
        <f t="shared" si="48"/>
        <v>236807</v>
      </c>
      <c r="O81" s="279">
        <f t="shared" si="48"/>
        <v>237399</v>
      </c>
      <c r="P81" s="279">
        <f t="shared" si="48"/>
        <v>238514</v>
      </c>
      <c r="Q81" s="279">
        <f t="shared" si="48"/>
        <v>239587</v>
      </c>
      <c r="R81" s="279">
        <f t="shared" si="48"/>
        <v>241791</v>
      </c>
      <c r="S81" s="279">
        <f t="shared" si="48"/>
        <v>244426</v>
      </c>
      <c r="T81" s="279">
        <f t="shared" si="48"/>
        <v>246136</v>
      </c>
      <c r="U81" s="279">
        <f t="shared" si="48"/>
        <v>247588</v>
      </c>
      <c r="V81" s="280">
        <f t="shared" si="42"/>
        <v>20711</v>
      </c>
      <c r="W81" s="281">
        <f t="shared" si="43"/>
        <v>9.1287349533006878E-2</v>
      </c>
    </row>
    <row r="82" spans="1:23" s="282" customFormat="1" ht="51">
      <c r="A82" s="283" t="s">
        <v>132</v>
      </c>
      <c r="B82" s="284" t="s">
        <v>258</v>
      </c>
      <c r="C82" s="172" t="s">
        <v>259</v>
      </c>
      <c r="D82" s="173" t="s">
        <v>137</v>
      </c>
      <c r="E82" s="77" t="s">
        <v>58</v>
      </c>
      <c r="F82" s="277">
        <f>IFERROR((VLOOKUP(E82,'MEMORANDOS E IPC 2023 Y 2024'!$A$1:$C$20,3,0)),"0")</f>
        <v>45212</v>
      </c>
      <c r="G82" s="285">
        <v>261800</v>
      </c>
      <c r="H82" s="285">
        <f>G82</f>
        <v>261800</v>
      </c>
      <c r="I82" s="285">
        <f t="shared" ref="I82:O82" si="49">H82</f>
        <v>261800</v>
      </c>
      <c r="J82" s="285">
        <f t="shared" si="49"/>
        <v>261800</v>
      </c>
      <c r="K82" s="285">
        <f t="shared" si="49"/>
        <v>261800</v>
      </c>
      <c r="L82" s="285">
        <f t="shared" si="49"/>
        <v>261800</v>
      </c>
      <c r="M82" s="285">
        <f t="shared" si="49"/>
        <v>261800</v>
      </c>
      <c r="N82" s="285">
        <f t="shared" si="49"/>
        <v>261800</v>
      </c>
      <c r="O82" s="285">
        <f t="shared" si="49"/>
        <v>261800</v>
      </c>
      <c r="P82" s="279">
        <f>IF(($F82="0"),$F82,(ROUNDDOWN((O82*(1+(P$4/100))),0)))</f>
        <v>263030</v>
      </c>
      <c r="Q82" s="279">
        <f t="shared" si="48"/>
        <v>264213</v>
      </c>
      <c r="R82" s="279">
        <f t="shared" si="48"/>
        <v>266643</v>
      </c>
      <c r="S82" s="279">
        <f t="shared" si="48"/>
        <v>269549</v>
      </c>
      <c r="T82" s="279">
        <f t="shared" si="48"/>
        <v>271435</v>
      </c>
      <c r="U82" s="279">
        <f t="shared" si="48"/>
        <v>273036</v>
      </c>
      <c r="V82" s="280">
        <f t="shared" si="42"/>
        <v>11236</v>
      </c>
      <c r="W82" s="281">
        <f t="shared" si="43"/>
        <v>4.2918258212375861E-2</v>
      </c>
    </row>
    <row r="83" spans="1:23" s="282" customFormat="1" ht="51">
      <c r="A83" s="283" t="s">
        <v>132</v>
      </c>
      <c r="B83" s="284" t="s">
        <v>260</v>
      </c>
      <c r="C83" s="172" t="s">
        <v>261</v>
      </c>
      <c r="D83" s="173" t="s">
        <v>137</v>
      </c>
      <c r="E83" s="77" t="s">
        <v>36</v>
      </c>
      <c r="F83" s="277">
        <f>IFERROR((VLOOKUP(E83,'MEMORANDOS E IPC 2023 Y 2024'!$A$1:$C$20,3,0)),"0")</f>
        <v>44974</v>
      </c>
      <c r="G83" s="285">
        <v>312375</v>
      </c>
      <c r="H83" s="279">
        <f>IF(($F83="0"),$F83,(ROUNDDOWN((G83*(1+(H$4/100))),0)))</f>
        <v>315654</v>
      </c>
      <c r="I83" s="279">
        <f t="shared" ref="I83:U84" si="50">IF(($F83="0"),$F83,(ROUNDDOWN((H83*(1+(I$4/100))),0)))</f>
        <v>318116</v>
      </c>
      <c r="J83" s="279">
        <f t="shared" si="50"/>
        <v>319483</v>
      </c>
      <c r="K83" s="279">
        <f t="shared" si="50"/>
        <v>320441</v>
      </c>
      <c r="L83" s="279">
        <f t="shared" si="50"/>
        <v>322043</v>
      </c>
      <c r="M83" s="279">
        <f t="shared" si="50"/>
        <v>324297</v>
      </c>
      <c r="N83" s="279">
        <f t="shared" si="50"/>
        <v>326048</v>
      </c>
      <c r="O83" s="279">
        <f t="shared" si="50"/>
        <v>326863</v>
      </c>
      <c r="P83" s="279">
        <f t="shared" si="50"/>
        <v>328399</v>
      </c>
      <c r="Q83" s="279">
        <f t="shared" si="50"/>
        <v>329876</v>
      </c>
      <c r="R83" s="279">
        <f t="shared" si="50"/>
        <v>332910</v>
      </c>
      <c r="S83" s="279">
        <f t="shared" si="50"/>
        <v>336538</v>
      </c>
      <c r="T83" s="279">
        <f t="shared" si="50"/>
        <v>338893</v>
      </c>
      <c r="U83" s="279">
        <f t="shared" si="50"/>
        <v>340892</v>
      </c>
      <c r="V83" s="280">
        <f t="shared" si="42"/>
        <v>28517</v>
      </c>
      <c r="W83" s="281">
        <f t="shared" si="43"/>
        <v>9.1290916366546612E-2</v>
      </c>
    </row>
    <row r="84" spans="1:23" s="282" customFormat="1" ht="51">
      <c r="A84" s="283" t="s">
        <v>132</v>
      </c>
      <c r="B84" s="284" t="s">
        <v>262</v>
      </c>
      <c r="C84" s="172" t="s">
        <v>263</v>
      </c>
      <c r="D84" s="173" t="s">
        <v>137</v>
      </c>
      <c r="E84" s="77" t="s">
        <v>58</v>
      </c>
      <c r="F84" s="277">
        <f>IFERROR((VLOOKUP(E84,'MEMORANDOS E IPC 2023 Y 2024'!$A$1:$C$20,3,0)),"0")</f>
        <v>45212</v>
      </c>
      <c r="G84" s="285">
        <v>261800</v>
      </c>
      <c r="H84" s="285">
        <f>G84</f>
        <v>261800</v>
      </c>
      <c r="I84" s="285">
        <f t="shared" ref="I84:O84" si="51">H84</f>
        <v>261800</v>
      </c>
      <c r="J84" s="285">
        <f t="shared" si="51"/>
        <v>261800</v>
      </c>
      <c r="K84" s="285">
        <f t="shared" si="51"/>
        <v>261800</v>
      </c>
      <c r="L84" s="285">
        <f t="shared" si="51"/>
        <v>261800</v>
      </c>
      <c r="M84" s="285">
        <f t="shared" si="51"/>
        <v>261800</v>
      </c>
      <c r="N84" s="285">
        <f t="shared" si="51"/>
        <v>261800</v>
      </c>
      <c r="O84" s="285">
        <f t="shared" si="51"/>
        <v>261800</v>
      </c>
      <c r="P84" s="279">
        <f>IF(($F84="0"),$F84,(ROUNDDOWN((O84*(1+(P$4/100))),0)))</f>
        <v>263030</v>
      </c>
      <c r="Q84" s="279">
        <f t="shared" si="50"/>
        <v>264213</v>
      </c>
      <c r="R84" s="279">
        <f t="shared" si="50"/>
        <v>266643</v>
      </c>
      <c r="S84" s="279">
        <f t="shared" si="50"/>
        <v>269549</v>
      </c>
      <c r="T84" s="279">
        <f t="shared" si="50"/>
        <v>271435</v>
      </c>
      <c r="U84" s="279">
        <f t="shared" si="50"/>
        <v>273036</v>
      </c>
      <c r="V84" s="280">
        <f t="shared" si="42"/>
        <v>11236</v>
      </c>
      <c r="W84" s="281">
        <f t="shared" si="43"/>
        <v>4.2918258212375861E-2</v>
      </c>
    </row>
    <row r="85" spans="1:23" s="282" customFormat="1" ht="51">
      <c r="A85" s="283" t="s">
        <v>132</v>
      </c>
      <c r="B85" s="284" t="s">
        <v>264</v>
      </c>
      <c r="C85" s="172" t="s">
        <v>265</v>
      </c>
      <c r="D85" s="173" t="s">
        <v>137</v>
      </c>
      <c r="E85" s="77" t="s">
        <v>64</v>
      </c>
      <c r="F85" s="277" t="str">
        <f>IFERROR((VLOOKUP(E85,'MEMORANDOS E IPC 2023 Y 2024'!$A$1:$C$20,3,0)),"0")</f>
        <v>0</v>
      </c>
      <c r="G85" s="285">
        <v>28867</v>
      </c>
      <c r="H85" s="279">
        <f>IF(($F85="0"),$G85,(ROUNDDOWN((G85*(1+(H$4/100))),0)))</f>
        <v>28867</v>
      </c>
      <c r="I85" s="279">
        <f t="shared" ref="I85:U85" si="52">IF(($F85="0"),$G85,(ROUNDDOWN((H85*(1+(I$4/100))),0)))</f>
        <v>28867</v>
      </c>
      <c r="J85" s="279">
        <f t="shared" si="52"/>
        <v>28867</v>
      </c>
      <c r="K85" s="279">
        <f t="shared" si="52"/>
        <v>28867</v>
      </c>
      <c r="L85" s="279">
        <f t="shared" si="52"/>
        <v>28867</v>
      </c>
      <c r="M85" s="279">
        <f t="shared" si="52"/>
        <v>28867</v>
      </c>
      <c r="N85" s="279">
        <f t="shared" si="52"/>
        <v>28867</v>
      </c>
      <c r="O85" s="279">
        <f t="shared" si="52"/>
        <v>28867</v>
      </c>
      <c r="P85" s="279">
        <f t="shared" si="52"/>
        <v>28867</v>
      </c>
      <c r="Q85" s="279">
        <f t="shared" si="52"/>
        <v>28867</v>
      </c>
      <c r="R85" s="279">
        <f t="shared" si="52"/>
        <v>28867</v>
      </c>
      <c r="S85" s="279">
        <f t="shared" si="52"/>
        <v>28867</v>
      </c>
      <c r="T85" s="279">
        <f t="shared" si="52"/>
        <v>28867</v>
      </c>
      <c r="U85" s="279">
        <f t="shared" si="52"/>
        <v>28867</v>
      </c>
      <c r="V85" s="280">
        <f t="shared" si="42"/>
        <v>0</v>
      </c>
      <c r="W85" s="281">
        <f t="shared" si="43"/>
        <v>0</v>
      </c>
    </row>
    <row r="86" spans="1:23" s="282" customFormat="1" ht="51">
      <c r="A86" s="283" t="s">
        <v>132</v>
      </c>
      <c r="B86" s="284" t="s">
        <v>266</v>
      </c>
      <c r="C86" s="176" t="s">
        <v>267</v>
      </c>
      <c r="D86" s="173" t="s">
        <v>137</v>
      </c>
      <c r="E86" s="77" t="s">
        <v>44</v>
      </c>
      <c r="F86" s="277">
        <f>IFERROR((VLOOKUP(E86,'MEMORANDOS E IPC 2023 Y 2024'!$A$1:$C$20,3,0)),"0")</f>
        <v>45100</v>
      </c>
      <c r="G86" s="285">
        <v>5570045</v>
      </c>
      <c r="H86" s="278">
        <f>G86</f>
        <v>5570045</v>
      </c>
      <c r="I86" s="278">
        <f t="shared" ref="I86:K86" si="53">H86</f>
        <v>5570045</v>
      </c>
      <c r="J86" s="278">
        <f t="shared" si="53"/>
        <v>5570045</v>
      </c>
      <c r="K86" s="278">
        <f t="shared" si="53"/>
        <v>5570045</v>
      </c>
      <c r="L86" s="279">
        <f>IF(($F86="0"),$F86,(ROUNDDOWN((K86*(1+(L$4/100))),0)))</f>
        <v>5597895</v>
      </c>
      <c r="M86" s="279">
        <f t="shared" ref="M86:U86" si="54">IF(($F86="0"),$F86,(ROUNDDOWN((L86*(1+(M$4/100))),0)))</f>
        <v>5637080</v>
      </c>
      <c r="N86" s="279">
        <f t="shared" si="54"/>
        <v>5667520</v>
      </c>
      <c r="O86" s="279">
        <f t="shared" si="54"/>
        <v>5681688</v>
      </c>
      <c r="P86" s="279">
        <f t="shared" si="54"/>
        <v>5708391</v>
      </c>
      <c r="Q86" s="279">
        <f t="shared" si="54"/>
        <v>5734078</v>
      </c>
      <c r="R86" s="279">
        <f t="shared" si="54"/>
        <v>5786831</v>
      </c>
      <c r="S86" s="279">
        <f t="shared" si="54"/>
        <v>5849907</v>
      </c>
      <c r="T86" s="279">
        <f t="shared" si="54"/>
        <v>5890856</v>
      </c>
      <c r="U86" s="279">
        <f t="shared" si="54"/>
        <v>5925612</v>
      </c>
      <c r="V86" s="280">
        <f t="shared" si="42"/>
        <v>355567</v>
      </c>
      <c r="W86" s="281">
        <f t="shared" si="43"/>
        <v>6.3835570448712714E-2</v>
      </c>
    </row>
    <row r="87" spans="1:23" s="282" customFormat="1" ht="51">
      <c r="A87" s="283" t="s">
        <v>132</v>
      </c>
      <c r="B87" s="132" t="s">
        <v>268</v>
      </c>
      <c r="C87" s="133" t="s">
        <v>269</v>
      </c>
      <c r="D87" s="78" t="s">
        <v>137</v>
      </c>
      <c r="E87" s="134" t="s">
        <v>36</v>
      </c>
      <c r="F87" s="277">
        <f>IFERROR((VLOOKUP(E87,'MEMORANDOS E IPC 2023 Y 2024'!$A$1:$C$20,3,0)),"0")</f>
        <v>44974</v>
      </c>
      <c r="G87" s="287">
        <v>2201870</v>
      </c>
      <c r="H87" s="279">
        <f>IF(($F87="0"),$F87,(ROUNDDOWN((G87*(1+(H$4/100))),0)))</f>
        <v>2224989</v>
      </c>
      <c r="I87" s="279">
        <f t="shared" ref="I87:U88" si="55">IF(($F87="0"),$F87,(ROUNDDOWN((H87*(1+(I$4/100))),0)))</f>
        <v>2242343</v>
      </c>
      <c r="J87" s="279">
        <f t="shared" si="55"/>
        <v>2251985</v>
      </c>
      <c r="K87" s="279">
        <f t="shared" si="55"/>
        <v>2258740</v>
      </c>
      <c r="L87" s="279">
        <f t="shared" si="55"/>
        <v>2270033</v>
      </c>
      <c r="M87" s="279">
        <f t="shared" si="55"/>
        <v>2285923</v>
      </c>
      <c r="N87" s="279">
        <f t="shared" si="55"/>
        <v>2298266</v>
      </c>
      <c r="O87" s="279">
        <f t="shared" si="55"/>
        <v>2304011</v>
      </c>
      <c r="P87" s="279">
        <f t="shared" si="55"/>
        <v>2314839</v>
      </c>
      <c r="Q87" s="279">
        <f t="shared" si="55"/>
        <v>2325255</v>
      </c>
      <c r="R87" s="279">
        <f t="shared" si="55"/>
        <v>2346647</v>
      </c>
      <c r="S87" s="279">
        <f t="shared" si="55"/>
        <v>2372225</v>
      </c>
      <c r="T87" s="279">
        <f t="shared" si="55"/>
        <v>2388830</v>
      </c>
      <c r="U87" s="279">
        <f t="shared" si="55"/>
        <v>2402924</v>
      </c>
      <c r="V87" s="280">
        <f t="shared" si="42"/>
        <v>201054</v>
      </c>
      <c r="W87" s="281">
        <f t="shared" si="43"/>
        <v>9.1310567835521619E-2</v>
      </c>
    </row>
    <row r="88" spans="1:23" s="282" customFormat="1" ht="51">
      <c r="A88" s="283" t="s">
        <v>132</v>
      </c>
      <c r="B88" s="284" t="s">
        <v>270</v>
      </c>
      <c r="C88" s="176" t="s">
        <v>271</v>
      </c>
      <c r="D88" s="173" t="s">
        <v>137</v>
      </c>
      <c r="E88" s="77" t="s">
        <v>44</v>
      </c>
      <c r="F88" s="277">
        <f>IFERROR((VLOOKUP(E88,'MEMORANDOS E IPC 2023 Y 2024'!$A$1:$C$20,3,0)),"0")</f>
        <v>45100</v>
      </c>
      <c r="G88" s="285">
        <v>168130</v>
      </c>
      <c r="H88" s="278">
        <f>G88</f>
        <v>168130</v>
      </c>
      <c r="I88" s="278">
        <f t="shared" ref="I88:K88" si="56">H88</f>
        <v>168130</v>
      </c>
      <c r="J88" s="278">
        <f t="shared" si="56"/>
        <v>168130</v>
      </c>
      <c r="K88" s="278">
        <f t="shared" si="56"/>
        <v>168130</v>
      </c>
      <c r="L88" s="279">
        <f>IF(($F88="0"),$F88,(ROUNDDOWN((K88*(1+(L$4/100))),0)))</f>
        <v>168970</v>
      </c>
      <c r="M88" s="279">
        <f t="shared" si="55"/>
        <v>170152</v>
      </c>
      <c r="N88" s="279">
        <f t="shared" si="55"/>
        <v>171070</v>
      </c>
      <c r="O88" s="279">
        <f t="shared" si="55"/>
        <v>171497</v>
      </c>
      <c r="P88" s="279">
        <f t="shared" si="55"/>
        <v>172303</v>
      </c>
      <c r="Q88" s="279">
        <f t="shared" si="55"/>
        <v>173078</v>
      </c>
      <c r="R88" s="279">
        <f t="shared" si="55"/>
        <v>174670</v>
      </c>
      <c r="S88" s="279">
        <f t="shared" si="55"/>
        <v>176573</v>
      </c>
      <c r="T88" s="279">
        <f t="shared" si="55"/>
        <v>177809</v>
      </c>
      <c r="U88" s="279">
        <f t="shared" si="55"/>
        <v>178858</v>
      </c>
      <c r="V88" s="280">
        <f t="shared" si="42"/>
        <v>10728</v>
      </c>
      <c r="W88" s="281">
        <f t="shared" si="43"/>
        <v>6.3807767798727169E-2</v>
      </c>
    </row>
    <row r="89" spans="1:23" s="282" customFormat="1" ht="51">
      <c r="A89" s="283" t="s">
        <v>132</v>
      </c>
      <c r="B89" s="284" t="s">
        <v>272</v>
      </c>
      <c r="C89" s="176" t="s">
        <v>273</v>
      </c>
      <c r="D89" s="173" t="s">
        <v>137</v>
      </c>
      <c r="E89" s="77" t="s">
        <v>36</v>
      </c>
      <c r="F89" s="277">
        <f>IFERROR((VLOOKUP(E89,'MEMORANDOS E IPC 2023 Y 2024'!$A$1:$C$20,3,0)),"0")</f>
        <v>44974</v>
      </c>
      <c r="G89" s="285">
        <v>16533</v>
      </c>
      <c r="H89" s="279">
        <f>IF(($F89="0"),$F89,(ROUNDDOWN((G89*(1+(H$4/100))),0)))</f>
        <v>16706</v>
      </c>
      <c r="I89" s="279">
        <f t="shared" ref="I89:U92" si="57">IF(($F89="0"),$F89,(ROUNDDOWN((H89*(1+(I$4/100))),0)))</f>
        <v>16836</v>
      </c>
      <c r="J89" s="279">
        <f t="shared" si="57"/>
        <v>16908</v>
      </c>
      <c r="K89" s="279">
        <f t="shared" si="57"/>
        <v>16958</v>
      </c>
      <c r="L89" s="279">
        <f t="shared" si="57"/>
        <v>17042</v>
      </c>
      <c r="M89" s="279">
        <f t="shared" si="57"/>
        <v>17161</v>
      </c>
      <c r="N89" s="279">
        <f t="shared" si="57"/>
        <v>17253</v>
      </c>
      <c r="O89" s="279">
        <f t="shared" si="57"/>
        <v>17296</v>
      </c>
      <c r="P89" s="279">
        <f t="shared" si="57"/>
        <v>17377</v>
      </c>
      <c r="Q89" s="279">
        <f t="shared" si="57"/>
        <v>17455</v>
      </c>
      <c r="R89" s="279">
        <f t="shared" si="57"/>
        <v>17615</v>
      </c>
      <c r="S89" s="279">
        <f t="shared" si="57"/>
        <v>17807</v>
      </c>
      <c r="T89" s="279">
        <f t="shared" si="57"/>
        <v>17931</v>
      </c>
      <c r="U89" s="279">
        <f t="shared" si="57"/>
        <v>18036</v>
      </c>
      <c r="V89" s="280">
        <f t="shared" si="42"/>
        <v>1503</v>
      </c>
      <c r="W89" s="281">
        <f t="shared" si="43"/>
        <v>9.0909090909090912E-2</v>
      </c>
    </row>
    <row r="90" spans="1:23" s="282" customFormat="1" ht="51">
      <c r="A90" s="283" t="s">
        <v>132</v>
      </c>
      <c r="B90" s="284" t="s">
        <v>274</v>
      </c>
      <c r="C90" s="176" t="s">
        <v>275</v>
      </c>
      <c r="D90" s="173" t="s">
        <v>137</v>
      </c>
      <c r="E90" s="77" t="s">
        <v>36</v>
      </c>
      <c r="F90" s="277">
        <f>IFERROR((VLOOKUP(E90,'MEMORANDOS E IPC 2023 Y 2024'!$A$1:$C$20,3,0)),"0")</f>
        <v>44974</v>
      </c>
      <c r="G90" s="285">
        <v>104661</v>
      </c>
      <c r="H90" s="279">
        <f>IF(($F90="0"),$F90,(ROUNDDOWN((G90*(1+(H$4/100))),0)))</f>
        <v>105759</v>
      </c>
      <c r="I90" s="279">
        <f t="shared" si="57"/>
        <v>106583</v>
      </c>
      <c r="J90" s="279">
        <f t="shared" si="57"/>
        <v>107041</v>
      </c>
      <c r="K90" s="279">
        <f t="shared" si="57"/>
        <v>107362</v>
      </c>
      <c r="L90" s="279">
        <f t="shared" si="57"/>
        <v>107898</v>
      </c>
      <c r="M90" s="279">
        <f t="shared" si="57"/>
        <v>108653</v>
      </c>
      <c r="N90" s="279">
        <f t="shared" si="57"/>
        <v>109239</v>
      </c>
      <c r="O90" s="279">
        <f t="shared" si="57"/>
        <v>109512</v>
      </c>
      <c r="P90" s="279">
        <f t="shared" si="57"/>
        <v>110026</v>
      </c>
      <c r="Q90" s="279">
        <f t="shared" si="57"/>
        <v>110521</v>
      </c>
      <c r="R90" s="279">
        <f t="shared" si="57"/>
        <v>111537</v>
      </c>
      <c r="S90" s="279">
        <f t="shared" si="57"/>
        <v>112752</v>
      </c>
      <c r="T90" s="279">
        <f t="shared" si="57"/>
        <v>113541</v>
      </c>
      <c r="U90" s="279">
        <f t="shared" si="57"/>
        <v>114210</v>
      </c>
      <c r="V90" s="280">
        <f t="shared" si="42"/>
        <v>9549</v>
      </c>
      <c r="W90" s="281">
        <f t="shared" si="43"/>
        <v>9.1237423682173871E-2</v>
      </c>
    </row>
    <row r="91" spans="1:23" s="282" customFormat="1" ht="51">
      <c r="A91" s="283" t="s">
        <v>132</v>
      </c>
      <c r="B91" s="284" t="s">
        <v>276</v>
      </c>
      <c r="C91" s="176" t="s">
        <v>277</v>
      </c>
      <c r="D91" s="173" t="s">
        <v>137</v>
      </c>
      <c r="E91" s="77" t="s">
        <v>36</v>
      </c>
      <c r="F91" s="277">
        <f>IFERROR((VLOOKUP(E91,'MEMORANDOS E IPC 2023 Y 2024'!$A$1:$C$20,3,0)),"0")</f>
        <v>44974</v>
      </c>
      <c r="G91" s="285">
        <v>62269</v>
      </c>
      <c r="H91" s="279">
        <f>IF(($F91="0"),$F91,(ROUNDDOWN((G91*(1+(H$4/100))),0)))</f>
        <v>62922</v>
      </c>
      <c r="I91" s="279">
        <f t="shared" si="57"/>
        <v>63412</v>
      </c>
      <c r="J91" s="279">
        <f t="shared" si="57"/>
        <v>63684</v>
      </c>
      <c r="K91" s="279">
        <f t="shared" si="57"/>
        <v>63875</v>
      </c>
      <c r="L91" s="279">
        <f t="shared" si="57"/>
        <v>64194</v>
      </c>
      <c r="M91" s="279">
        <f t="shared" si="57"/>
        <v>64643</v>
      </c>
      <c r="N91" s="279">
        <f t="shared" si="57"/>
        <v>64992</v>
      </c>
      <c r="O91" s="279">
        <f t="shared" si="57"/>
        <v>65154</v>
      </c>
      <c r="P91" s="279">
        <f t="shared" si="57"/>
        <v>65460</v>
      </c>
      <c r="Q91" s="279">
        <f t="shared" si="57"/>
        <v>65754</v>
      </c>
      <c r="R91" s="279">
        <f t="shared" si="57"/>
        <v>66358</v>
      </c>
      <c r="S91" s="279">
        <f t="shared" si="57"/>
        <v>67081</v>
      </c>
      <c r="T91" s="279">
        <f t="shared" si="57"/>
        <v>67550</v>
      </c>
      <c r="U91" s="279">
        <f t="shared" si="57"/>
        <v>67948</v>
      </c>
      <c r="V91" s="280">
        <f t="shared" si="42"/>
        <v>5679</v>
      </c>
      <c r="W91" s="281">
        <f t="shared" si="43"/>
        <v>9.1201079188681367E-2</v>
      </c>
    </row>
    <row r="92" spans="1:23" s="282" customFormat="1" ht="51">
      <c r="A92" s="283" t="s">
        <v>132</v>
      </c>
      <c r="B92" s="284" t="s">
        <v>278</v>
      </c>
      <c r="C92" s="176" t="s">
        <v>279</v>
      </c>
      <c r="D92" s="173" t="s">
        <v>137</v>
      </c>
      <c r="E92" s="77" t="s">
        <v>36</v>
      </c>
      <c r="F92" s="277">
        <f>IFERROR((VLOOKUP(E92,'MEMORANDOS E IPC 2023 Y 2024'!$A$1:$C$20,3,0)),"0")</f>
        <v>44974</v>
      </c>
      <c r="G92" s="285">
        <v>560811</v>
      </c>
      <c r="H92" s="279">
        <f>IF(($F92="0"),$F92,(ROUNDDOWN((G92*(1+(H$4/100))),0)))</f>
        <v>566699</v>
      </c>
      <c r="I92" s="279">
        <f t="shared" si="57"/>
        <v>571119</v>
      </c>
      <c r="J92" s="279">
        <f t="shared" si="57"/>
        <v>573574</v>
      </c>
      <c r="K92" s="279">
        <f t="shared" si="57"/>
        <v>575294</v>
      </c>
      <c r="L92" s="279">
        <f t="shared" si="57"/>
        <v>578170</v>
      </c>
      <c r="M92" s="279">
        <f t="shared" si="57"/>
        <v>582217</v>
      </c>
      <c r="N92" s="279">
        <f t="shared" si="57"/>
        <v>585360</v>
      </c>
      <c r="O92" s="279">
        <f t="shared" si="57"/>
        <v>586823</v>
      </c>
      <c r="P92" s="279">
        <f t="shared" si="57"/>
        <v>589581</v>
      </c>
      <c r="Q92" s="279">
        <f t="shared" si="57"/>
        <v>592234</v>
      </c>
      <c r="R92" s="279">
        <f t="shared" si="57"/>
        <v>597682</v>
      </c>
      <c r="S92" s="279">
        <f t="shared" si="57"/>
        <v>604196</v>
      </c>
      <c r="T92" s="279">
        <f t="shared" si="57"/>
        <v>608425</v>
      </c>
      <c r="U92" s="279">
        <f t="shared" si="57"/>
        <v>612014</v>
      </c>
      <c r="V92" s="280">
        <f t="shared" si="42"/>
        <v>51203</v>
      </c>
      <c r="W92" s="281">
        <f t="shared" si="43"/>
        <v>9.1301704139184148E-2</v>
      </c>
    </row>
    <row r="93" spans="1:23" s="282" customFormat="1" ht="51">
      <c r="A93" s="283" t="s">
        <v>132</v>
      </c>
      <c r="B93" s="284" t="s">
        <v>280</v>
      </c>
      <c r="C93" s="172" t="s">
        <v>281</v>
      </c>
      <c r="D93" s="173" t="s">
        <v>137</v>
      </c>
      <c r="E93" s="77" t="s">
        <v>64</v>
      </c>
      <c r="F93" s="277" t="str">
        <f>IFERROR((VLOOKUP(E93,'MEMORANDOS E IPC 2023 Y 2024'!$A$1:$C$20,3,0)),"0")</f>
        <v>0</v>
      </c>
      <c r="G93" s="285">
        <v>1014445</v>
      </c>
      <c r="H93" s="279">
        <f>IF(($F93="0"),$G93,(ROUNDDOWN((G93*(1+(H$4/100))),0)))</f>
        <v>1014445</v>
      </c>
      <c r="I93" s="279">
        <f t="shared" ref="I93:U93" si="58">IF(($F93="0"),$G93,(ROUNDDOWN((H93*(1+(I$4/100))),0)))</f>
        <v>1014445</v>
      </c>
      <c r="J93" s="279">
        <f t="shared" si="58"/>
        <v>1014445</v>
      </c>
      <c r="K93" s="279">
        <f t="shared" si="58"/>
        <v>1014445</v>
      </c>
      <c r="L93" s="279">
        <f t="shared" si="58"/>
        <v>1014445</v>
      </c>
      <c r="M93" s="279">
        <f t="shared" si="58"/>
        <v>1014445</v>
      </c>
      <c r="N93" s="279">
        <f t="shared" si="58"/>
        <v>1014445</v>
      </c>
      <c r="O93" s="279">
        <f t="shared" si="58"/>
        <v>1014445</v>
      </c>
      <c r="P93" s="279">
        <f t="shared" si="58"/>
        <v>1014445</v>
      </c>
      <c r="Q93" s="279">
        <f t="shared" si="58"/>
        <v>1014445</v>
      </c>
      <c r="R93" s="279">
        <f t="shared" si="58"/>
        <v>1014445</v>
      </c>
      <c r="S93" s="279">
        <f t="shared" si="58"/>
        <v>1014445</v>
      </c>
      <c r="T93" s="279">
        <f t="shared" si="58"/>
        <v>1014445</v>
      </c>
      <c r="U93" s="279">
        <f t="shared" si="58"/>
        <v>1014445</v>
      </c>
      <c r="V93" s="280">
        <f t="shared" si="42"/>
        <v>0</v>
      </c>
      <c r="W93" s="281">
        <f t="shared" si="43"/>
        <v>0</v>
      </c>
    </row>
    <row r="94" spans="1:23" s="282" customFormat="1" ht="51">
      <c r="A94" s="283" t="s">
        <v>132</v>
      </c>
      <c r="B94" s="132" t="s">
        <v>282</v>
      </c>
      <c r="C94" s="133" t="s">
        <v>283</v>
      </c>
      <c r="D94" s="78" t="s">
        <v>137</v>
      </c>
      <c r="E94" s="134" t="s">
        <v>54</v>
      </c>
      <c r="F94" s="277">
        <f>IFERROR((VLOOKUP(E94,'MEMORANDOS E IPC 2023 Y 2024'!$A$1:$C$20,3,0)),"0")</f>
        <v>45210</v>
      </c>
      <c r="G94" s="287">
        <v>32843</v>
      </c>
      <c r="H94" s="285">
        <f>G94</f>
        <v>32843</v>
      </c>
      <c r="I94" s="285">
        <f t="shared" ref="I94:O94" si="59">H94</f>
        <v>32843</v>
      </c>
      <c r="J94" s="285">
        <f t="shared" si="59"/>
        <v>32843</v>
      </c>
      <c r="K94" s="285">
        <f t="shared" si="59"/>
        <v>32843</v>
      </c>
      <c r="L94" s="285">
        <f t="shared" si="59"/>
        <v>32843</v>
      </c>
      <c r="M94" s="285">
        <f t="shared" si="59"/>
        <v>32843</v>
      </c>
      <c r="N94" s="285">
        <f t="shared" si="59"/>
        <v>32843</v>
      </c>
      <c r="O94" s="285">
        <f t="shared" si="59"/>
        <v>32843</v>
      </c>
      <c r="P94" s="279">
        <f>IF(($F94="0"),$F94,(ROUNDDOWN((O94*(1+(P$4/100))),0)))</f>
        <v>32997</v>
      </c>
      <c r="Q94" s="279">
        <f t="shared" ref="Q94:U94" si="60">IF(($F94="0"),$F94,(ROUNDDOWN((P94*(1+(Q$4/100))),0)))</f>
        <v>33145</v>
      </c>
      <c r="R94" s="279">
        <f t="shared" si="60"/>
        <v>33449</v>
      </c>
      <c r="S94" s="279">
        <f t="shared" si="60"/>
        <v>33813</v>
      </c>
      <c r="T94" s="279">
        <f t="shared" si="60"/>
        <v>34049</v>
      </c>
      <c r="U94" s="279">
        <f t="shared" si="60"/>
        <v>34249</v>
      </c>
      <c r="V94" s="280">
        <f t="shared" si="42"/>
        <v>1406</v>
      </c>
      <c r="W94" s="281">
        <f t="shared" si="43"/>
        <v>4.2809731145145087E-2</v>
      </c>
    </row>
    <row r="95" spans="1:23" s="282" customFormat="1" ht="51">
      <c r="A95" s="283" t="s">
        <v>132</v>
      </c>
      <c r="B95" s="284" t="s">
        <v>284</v>
      </c>
      <c r="C95" s="176" t="s">
        <v>285</v>
      </c>
      <c r="D95" s="173" t="s">
        <v>137</v>
      </c>
      <c r="E95" s="77" t="s">
        <v>36</v>
      </c>
      <c r="F95" s="277">
        <f>IFERROR((VLOOKUP(E95,'MEMORANDOS E IPC 2023 Y 2024'!$A$1:$C$20,3,0)),"0")</f>
        <v>44974</v>
      </c>
      <c r="G95" s="285">
        <v>16480</v>
      </c>
      <c r="H95" s="279">
        <f>IF(($F95="0"),$F95,(ROUNDDOWN((G95*(1+(H$4/100))),0)))</f>
        <v>16653</v>
      </c>
      <c r="I95" s="279">
        <f t="shared" ref="I95:U96" si="61">IF(($F95="0"),$F95,(ROUNDDOWN((H95*(1+(I$4/100))),0)))</f>
        <v>16782</v>
      </c>
      <c r="J95" s="279">
        <f t="shared" si="61"/>
        <v>16854</v>
      </c>
      <c r="K95" s="279">
        <f t="shared" si="61"/>
        <v>16904</v>
      </c>
      <c r="L95" s="279">
        <f t="shared" si="61"/>
        <v>16988</v>
      </c>
      <c r="M95" s="279">
        <f t="shared" si="61"/>
        <v>17106</v>
      </c>
      <c r="N95" s="279">
        <f t="shared" si="61"/>
        <v>17198</v>
      </c>
      <c r="O95" s="279">
        <f t="shared" si="61"/>
        <v>17240</v>
      </c>
      <c r="P95" s="279">
        <f t="shared" si="61"/>
        <v>17321</v>
      </c>
      <c r="Q95" s="279">
        <f t="shared" si="61"/>
        <v>17398</v>
      </c>
      <c r="R95" s="279">
        <f t="shared" si="61"/>
        <v>17558</v>
      </c>
      <c r="S95" s="279">
        <f t="shared" si="61"/>
        <v>17749</v>
      </c>
      <c r="T95" s="279">
        <f t="shared" si="61"/>
        <v>17873</v>
      </c>
      <c r="U95" s="279">
        <f t="shared" si="61"/>
        <v>17978</v>
      </c>
      <c r="V95" s="280">
        <f t="shared" si="42"/>
        <v>1498</v>
      </c>
      <c r="W95" s="281">
        <f t="shared" si="43"/>
        <v>9.089805825242718E-2</v>
      </c>
    </row>
    <row r="96" spans="1:23" s="282" customFormat="1" ht="51">
      <c r="A96" s="283" t="s">
        <v>132</v>
      </c>
      <c r="B96" s="284" t="s">
        <v>286</v>
      </c>
      <c r="C96" s="176" t="s">
        <v>287</v>
      </c>
      <c r="D96" s="173" t="s">
        <v>137</v>
      </c>
      <c r="E96" s="77" t="s">
        <v>52</v>
      </c>
      <c r="F96" s="277">
        <f>IFERROR((VLOOKUP(E96,'MEMORANDOS E IPC 2023 Y 2024'!$A$1:$C$20,3,0)),"0")</f>
        <v>45210</v>
      </c>
      <c r="G96" s="285">
        <v>32796</v>
      </c>
      <c r="H96" s="285">
        <f>G96</f>
        <v>32796</v>
      </c>
      <c r="I96" s="285">
        <f t="shared" ref="I96:O96" si="62">H96</f>
        <v>32796</v>
      </c>
      <c r="J96" s="285">
        <f t="shared" si="62"/>
        <v>32796</v>
      </c>
      <c r="K96" s="285">
        <f t="shared" si="62"/>
        <v>32796</v>
      </c>
      <c r="L96" s="285">
        <f t="shared" si="62"/>
        <v>32796</v>
      </c>
      <c r="M96" s="285">
        <f t="shared" si="62"/>
        <v>32796</v>
      </c>
      <c r="N96" s="285">
        <f t="shared" si="62"/>
        <v>32796</v>
      </c>
      <c r="O96" s="285">
        <f t="shared" si="62"/>
        <v>32796</v>
      </c>
      <c r="P96" s="279">
        <f>IF(($F96="0"),$F96,(ROUNDDOWN((O96*(1+(P$4/100))),0)))</f>
        <v>32950</v>
      </c>
      <c r="Q96" s="279">
        <f t="shared" si="61"/>
        <v>33098</v>
      </c>
      <c r="R96" s="279">
        <f t="shared" si="61"/>
        <v>33402</v>
      </c>
      <c r="S96" s="279">
        <f t="shared" si="61"/>
        <v>33766</v>
      </c>
      <c r="T96" s="279">
        <f t="shared" si="61"/>
        <v>34002</v>
      </c>
      <c r="U96" s="279">
        <f t="shared" si="61"/>
        <v>34202</v>
      </c>
      <c r="V96" s="280">
        <f t="shared" si="42"/>
        <v>1406</v>
      </c>
      <c r="W96" s="281">
        <f t="shared" si="43"/>
        <v>4.287108183924869E-2</v>
      </c>
    </row>
    <row r="97" spans="1:23" s="282" customFormat="1" ht="51">
      <c r="A97" s="283" t="s">
        <v>132</v>
      </c>
      <c r="B97" s="254" t="s">
        <v>288</v>
      </c>
      <c r="C97" s="288" t="s">
        <v>289</v>
      </c>
      <c r="D97" s="175" t="s">
        <v>108</v>
      </c>
      <c r="E97" s="155" t="s">
        <v>36</v>
      </c>
      <c r="F97" s="277">
        <f>IFERROR((VLOOKUP(E97,'MEMORANDOS E IPC 2023 Y 2024'!$A$1:$C$20,3,0)),"0")</f>
        <v>44974</v>
      </c>
      <c r="G97" s="289">
        <v>3243796</v>
      </c>
      <c r="H97" s="279">
        <f>IF(($F97="0"),$F97,(ROUNDDOWN((G97*(1+(H$4/100))),0)))</f>
        <v>3277855</v>
      </c>
      <c r="I97" s="279">
        <f t="shared" ref="I97:U99" si="63">IF(($F97="0"),$F97,(ROUNDDOWN((H97*(1+(I$4/100))),0)))</f>
        <v>3303422</v>
      </c>
      <c r="J97" s="279">
        <f t="shared" si="63"/>
        <v>3317626</v>
      </c>
      <c r="K97" s="279">
        <f t="shared" si="63"/>
        <v>3327578</v>
      </c>
      <c r="L97" s="279">
        <f t="shared" si="63"/>
        <v>3344215</v>
      </c>
      <c r="M97" s="279">
        <f t="shared" si="63"/>
        <v>3367624</v>
      </c>
      <c r="N97" s="279">
        <f t="shared" si="63"/>
        <v>3385809</v>
      </c>
      <c r="O97" s="279">
        <f t="shared" si="63"/>
        <v>3394273</v>
      </c>
      <c r="P97" s="279">
        <f t="shared" si="63"/>
        <v>3410226</v>
      </c>
      <c r="Q97" s="279">
        <f t="shared" si="63"/>
        <v>3425572</v>
      </c>
      <c r="R97" s="279">
        <f t="shared" si="63"/>
        <v>3457087</v>
      </c>
      <c r="S97" s="279">
        <f t="shared" si="63"/>
        <v>3494769</v>
      </c>
      <c r="T97" s="279">
        <f t="shared" si="63"/>
        <v>3519232</v>
      </c>
      <c r="U97" s="279">
        <f t="shared" si="63"/>
        <v>3539995</v>
      </c>
      <c r="V97" s="280">
        <f t="shared" si="42"/>
        <v>296199</v>
      </c>
      <c r="W97" s="281">
        <f t="shared" si="43"/>
        <v>9.1312462312673176E-2</v>
      </c>
    </row>
    <row r="98" spans="1:23" s="282" customFormat="1" ht="51">
      <c r="A98" s="283" t="s">
        <v>132</v>
      </c>
      <c r="B98" s="284" t="s">
        <v>290</v>
      </c>
      <c r="C98" s="176" t="s">
        <v>291</v>
      </c>
      <c r="D98" s="173" t="s">
        <v>137</v>
      </c>
      <c r="E98" s="77" t="s">
        <v>44</v>
      </c>
      <c r="F98" s="277">
        <f>IFERROR((VLOOKUP(E98,'MEMORANDOS E IPC 2023 Y 2024'!$A$1:$C$20,3,0)),"0")</f>
        <v>45100</v>
      </c>
      <c r="G98" s="285">
        <v>4165000</v>
      </c>
      <c r="H98" s="278">
        <f>G98</f>
        <v>4165000</v>
      </c>
      <c r="I98" s="278">
        <f t="shared" ref="I98:O101" si="64">H98</f>
        <v>4165000</v>
      </c>
      <c r="J98" s="278">
        <f t="shared" si="64"/>
        <v>4165000</v>
      </c>
      <c r="K98" s="278">
        <f t="shared" si="64"/>
        <v>4165000</v>
      </c>
      <c r="L98" s="279">
        <f>IF(($F98="0"),$F98,(ROUNDDOWN((K98*(1+(L$4/100))),0)))</f>
        <v>4185825</v>
      </c>
      <c r="M98" s="279">
        <f t="shared" si="63"/>
        <v>4215125</v>
      </c>
      <c r="N98" s="279">
        <f t="shared" si="63"/>
        <v>4237886</v>
      </c>
      <c r="O98" s="279">
        <f t="shared" si="63"/>
        <v>4248480</v>
      </c>
      <c r="P98" s="279">
        <f t="shared" si="63"/>
        <v>4268447</v>
      </c>
      <c r="Q98" s="279">
        <f t="shared" si="63"/>
        <v>4287655</v>
      </c>
      <c r="R98" s="279">
        <f t="shared" si="63"/>
        <v>4327101</v>
      </c>
      <c r="S98" s="279">
        <f t="shared" si="63"/>
        <v>4374266</v>
      </c>
      <c r="T98" s="279">
        <f t="shared" si="63"/>
        <v>4404885</v>
      </c>
      <c r="U98" s="279">
        <f t="shared" si="63"/>
        <v>4430873</v>
      </c>
      <c r="V98" s="280">
        <f t="shared" si="42"/>
        <v>265873</v>
      </c>
      <c r="W98" s="281">
        <f t="shared" si="43"/>
        <v>6.3835054021608648E-2</v>
      </c>
    </row>
    <row r="99" spans="1:23" s="282" customFormat="1" ht="51">
      <c r="A99" s="283" t="s">
        <v>132</v>
      </c>
      <c r="B99" s="284" t="s">
        <v>292</v>
      </c>
      <c r="C99" s="176" t="s">
        <v>293</v>
      </c>
      <c r="D99" s="173" t="s">
        <v>137</v>
      </c>
      <c r="E99" s="77" t="s">
        <v>46</v>
      </c>
      <c r="F99" s="277">
        <f>IFERROR((VLOOKUP(E99,'MEMORANDOS E IPC 2023 Y 2024'!$A$1:$C$20,3,0)),"0")</f>
        <v>45117</v>
      </c>
      <c r="G99" s="285">
        <v>846733</v>
      </c>
      <c r="H99" s="285">
        <f>G99</f>
        <v>846733</v>
      </c>
      <c r="I99" s="285">
        <f t="shared" si="64"/>
        <v>846733</v>
      </c>
      <c r="J99" s="285">
        <f t="shared" si="64"/>
        <v>846733</v>
      </c>
      <c r="K99" s="285">
        <f t="shared" si="64"/>
        <v>846733</v>
      </c>
      <c r="L99" s="285">
        <f t="shared" si="64"/>
        <v>846733</v>
      </c>
      <c r="M99" s="279">
        <f>IF(($F99="0"),$F99,(ROUNDDOWN((L99*(1+(M$4/100))),0)))</f>
        <v>852660</v>
      </c>
      <c r="N99" s="279">
        <f t="shared" si="63"/>
        <v>857264</v>
      </c>
      <c r="O99" s="279">
        <f t="shared" si="63"/>
        <v>859407</v>
      </c>
      <c r="P99" s="279">
        <f t="shared" si="63"/>
        <v>863446</v>
      </c>
      <c r="Q99" s="279">
        <f t="shared" si="63"/>
        <v>867331</v>
      </c>
      <c r="R99" s="279">
        <f t="shared" si="63"/>
        <v>875310</v>
      </c>
      <c r="S99" s="279">
        <f t="shared" si="63"/>
        <v>884850</v>
      </c>
      <c r="T99" s="279">
        <f t="shared" si="63"/>
        <v>891043</v>
      </c>
      <c r="U99" s="279">
        <f t="shared" si="63"/>
        <v>896300</v>
      </c>
      <c r="V99" s="280">
        <f t="shared" si="42"/>
        <v>49567</v>
      </c>
      <c r="W99" s="281">
        <f t="shared" si="43"/>
        <v>5.853911445520607E-2</v>
      </c>
    </row>
    <row r="100" spans="1:23" s="282" customFormat="1" ht="127.5">
      <c r="A100" s="283" t="s">
        <v>132</v>
      </c>
      <c r="B100" s="284" t="s">
        <v>294</v>
      </c>
      <c r="C100" s="176" t="s">
        <v>295</v>
      </c>
      <c r="D100" s="173" t="s">
        <v>137</v>
      </c>
      <c r="E100" s="77" t="s">
        <v>44</v>
      </c>
      <c r="F100" s="277">
        <f>IFERROR((VLOOKUP(E100,'MEMORANDOS E IPC 2023 Y 2024'!$A$1:$C$20,3,0)),"0")</f>
        <v>45100</v>
      </c>
      <c r="G100" s="285">
        <v>1557710</v>
      </c>
      <c r="H100" s="278">
        <f>G100</f>
        <v>1557710</v>
      </c>
      <c r="I100" s="278">
        <f t="shared" si="64"/>
        <v>1557710</v>
      </c>
      <c r="J100" s="278">
        <f t="shared" si="64"/>
        <v>1557710</v>
      </c>
      <c r="K100" s="278">
        <f t="shared" si="64"/>
        <v>1557710</v>
      </c>
      <c r="L100" s="279">
        <f>IF(($F100="0"),$F100,(ROUNDDOWN((K100*(1+(L$4/100))),0)))</f>
        <v>1565498</v>
      </c>
      <c r="M100" s="279">
        <f t="shared" ref="M100:U101" si="65">IF(($F100="0"),$F100,(ROUNDDOWN((L100*(1+(M$4/100))),0)))</f>
        <v>1576456</v>
      </c>
      <c r="N100" s="279">
        <f t="shared" si="65"/>
        <v>1584968</v>
      </c>
      <c r="O100" s="279">
        <f t="shared" si="65"/>
        <v>1588930</v>
      </c>
      <c r="P100" s="279">
        <f t="shared" si="65"/>
        <v>1596397</v>
      </c>
      <c r="Q100" s="279">
        <f t="shared" si="65"/>
        <v>1603580</v>
      </c>
      <c r="R100" s="279">
        <f t="shared" si="65"/>
        <v>1618332</v>
      </c>
      <c r="S100" s="279">
        <f t="shared" si="65"/>
        <v>1635971</v>
      </c>
      <c r="T100" s="279">
        <f t="shared" si="65"/>
        <v>1647422</v>
      </c>
      <c r="U100" s="279">
        <f t="shared" si="65"/>
        <v>1657141</v>
      </c>
      <c r="V100" s="280">
        <f t="shared" si="42"/>
        <v>99431</v>
      </c>
      <c r="W100" s="281">
        <f t="shared" si="43"/>
        <v>6.3831521913578271E-2</v>
      </c>
    </row>
    <row r="101" spans="1:23" s="282" customFormat="1" ht="63.75">
      <c r="A101" s="283" t="s">
        <v>132</v>
      </c>
      <c r="B101" s="132" t="s">
        <v>296</v>
      </c>
      <c r="C101" s="133" t="s">
        <v>297</v>
      </c>
      <c r="D101" s="78" t="s">
        <v>137</v>
      </c>
      <c r="E101" s="134" t="s">
        <v>58</v>
      </c>
      <c r="F101" s="277">
        <f>IFERROR((VLOOKUP(E101,'MEMORANDOS E IPC 2023 Y 2024'!$A$1:$C$20,3,0)),"0")</f>
        <v>45212</v>
      </c>
      <c r="G101" s="290">
        <v>589000</v>
      </c>
      <c r="H101" s="285">
        <f>G101</f>
        <v>589000</v>
      </c>
      <c r="I101" s="285">
        <f t="shared" si="64"/>
        <v>589000</v>
      </c>
      <c r="J101" s="285">
        <f t="shared" si="64"/>
        <v>589000</v>
      </c>
      <c r="K101" s="285">
        <f t="shared" si="64"/>
        <v>589000</v>
      </c>
      <c r="L101" s="285">
        <f t="shared" si="64"/>
        <v>589000</v>
      </c>
      <c r="M101" s="285">
        <f t="shared" si="64"/>
        <v>589000</v>
      </c>
      <c r="N101" s="285">
        <f t="shared" si="64"/>
        <v>589000</v>
      </c>
      <c r="O101" s="285">
        <f t="shared" si="64"/>
        <v>589000</v>
      </c>
      <c r="P101" s="279">
        <f>IF(($F101="0"),$F101,(ROUNDDOWN((O101*(1+(P$4/100))),0)))</f>
        <v>591768</v>
      </c>
      <c r="Q101" s="279">
        <f t="shared" si="65"/>
        <v>594430</v>
      </c>
      <c r="R101" s="279">
        <f t="shared" si="65"/>
        <v>599898</v>
      </c>
      <c r="S101" s="279">
        <f t="shared" si="65"/>
        <v>606436</v>
      </c>
      <c r="T101" s="279">
        <f t="shared" si="65"/>
        <v>610681</v>
      </c>
      <c r="U101" s="279">
        <f t="shared" si="65"/>
        <v>614284</v>
      </c>
      <c r="V101" s="280">
        <f t="shared" si="42"/>
        <v>25284</v>
      </c>
      <c r="W101" s="281">
        <f t="shared" si="43"/>
        <v>4.2926994906621392E-2</v>
      </c>
    </row>
    <row r="102" spans="1:23" s="282" customFormat="1" ht="51">
      <c r="A102" s="283" t="s">
        <v>132</v>
      </c>
      <c r="B102" s="284" t="s">
        <v>298</v>
      </c>
      <c r="C102" s="172" t="s">
        <v>299</v>
      </c>
      <c r="D102" s="173" t="s">
        <v>137</v>
      </c>
      <c r="E102" s="77" t="s">
        <v>36</v>
      </c>
      <c r="F102" s="277">
        <f>IFERROR((VLOOKUP(E102,'MEMORANDOS E IPC 2023 Y 2024'!$A$1:$C$20,3,0)),"0")</f>
        <v>44974</v>
      </c>
      <c r="G102" s="285">
        <v>1522175</v>
      </c>
      <c r="H102" s="279">
        <f>IF(($F102="0"),$F102,(ROUNDDOWN((G102*(1+(H$4/100))),0)))</f>
        <v>1538157</v>
      </c>
      <c r="I102" s="279">
        <f t="shared" ref="I102:U104" si="66">IF(($F102="0"),$F102,(ROUNDDOWN((H102*(1+(I$4/100))),0)))</f>
        <v>1550154</v>
      </c>
      <c r="J102" s="279">
        <f t="shared" si="66"/>
        <v>1556819</v>
      </c>
      <c r="K102" s="279">
        <f t="shared" si="66"/>
        <v>1561489</v>
      </c>
      <c r="L102" s="279">
        <f t="shared" si="66"/>
        <v>1569296</v>
      </c>
      <c r="M102" s="279">
        <f t="shared" si="66"/>
        <v>1580281</v>
      </c>
      <c r="N102" s="279">
        <f t="shared" si="66"/>
        <v>1588814</v>
      </c>
      <c r="O102" s="279">
        <f t="shared" si="66"/>
        <v>1592786</v>
      </c>
      <c r="P102" s="279">
        <f t="shared" si="66"/>
        <v>1600272</v>
      </c>
      <c r="Q102" s="279">
        <f t="shared" si="66"/>
        <v>1607473</v>
      </c>
      <c r="R102" s="279">
        <f t="shared" si="66"/>
        <v>1622261</v>
      </c>
      <c r="S102" s="279">
        <f t="shared" si="66"/>
        <v>1639943</v>
      </c>
      <c r="T102" s="279">
        <f t="shared" si="66"/>
        <v>1651422</v>
      </c>
      <c r="U102" s="279">
        <f t="shared" si="66"/>
        <v>1661165</v>
      </c>
      <c r="V102" s="280">
        <f t="shared" si="42"/>
        <v>138990</v>
      </c>
      <c r="W102" s="281">
        <f t="shared" si="43"/>
        <v>9.131013188365332E-2</v>
      </c>
    </row>
    <row r="103" spans="1:23" s="282" customFormat="1" ht="51">
      <c r="A103" s="283" t="s">
        <v>132</v>
      </c>
      <c r="B103" s="284" t="s">
        <v>300</v>
      </c>
      <c r="C103" s="176" t="s">
        <v>301</v>
      </c>
      <c r="D103" s="173" t="s">
        <v>137</v>
      </c>
      <c r="E103" s="77" t="s">
        <v>36</v>
      </c>
      <c r="F103" s="277">
        <f>IFERROR((VLOOKUP(E103,'MEMORANDOS E IPC 2023 Y 2024'!$A$1:$C$20,3,0)),"0")</f>
        <v>44974</v>
      </c>
      <c r="G103" s="285">
        <v>2918600</v>
      </c>
      <c r="H103" s="279">
        <f>IF(($F103="0"),$F103,(ROUNDDOWN((G103*(1+(H$4/100))),0)))</f>
        <v>2949245</v>
      </c>
      <c r="I103" s="279">
        <f t="shared" si="66"/>
        <v>2972249</v>
      </c>
      <c r="J103" s="279">
        <f t="shared" si="66"/>
        <v>2985029</v>
      </c>
      <c r="K103" s="279">
        <f t="shared" si="66"/>
        <v>2993984</v>
      </c>
      <c r="L103" s="279">
        <f t="shared" si="66"/>
        <v>3008953</v>
      </c>
      <c r="M103" s="279">
        <f t="shared" si="66"/>
        <v>3030015</v>
      </c>
      <c r="N103" s="279">
        <f t="shared" si="66"/>
        <v>3046377</v>
      </c>
      <c r="O103" s="279">
        <f t="shared" si="66"/>
        <v>3053992</v>
      </c>
      <c r="P103" s="279">
        <f t="shared" si="66"/>
        <v>3068345</v>
      </c>
      <c r="Q103" s="279">
        <f t="shared" si="66"/>
        <v>3082152</v>
      </c>
      <c r="R103" s="279">
        <f t="shared" si="66"/>
        <v>3110507</v>
      </c>
      <c r="S103" s="279">
        <f t="shared" si="66"/>
        <v>3144411</v>
      </c>
      <c r="T103" s="279">
        <f t="shared" si="66"/>
        <v>3166421</v>
      </c>
      <c r="U103" s="279">
        <f t="shared" si="66"/>
        <v>3185102</v>
      </c>
      <c r="V103" s="280">
        <f t="shared" si="42"/>
        <v>266502</v>
      </c>
      <c r="W103" s="281">
        <f t="shared" si="43"/>
        <v>9.1311587747550202E-2</v>
      </c>
    </row>
    <row r="104" spans="1:23" s="282" customFormat="1" ht="51">
      <c r="A104" s="283" t="s">
        <v>132</v>
      </c>
      <c r="B104" s="284" t="s">
        <v>302</v>
      </c>
      <c r="C104" s="176" t="s">
        <v>303</v>
      </c>
      <c r="D104" s="173" t="s">
        <v>137</v>
      </c>
      <c r="E104" s="77" t="s">
        <v>44</v>
      </c>
      <c r="F104" s="277">
        <f>IFERROR((VLOOKUP(E104,'MEMORANDOS E IPC 2023 Y 2024'!$A$1:$C$20,3,0)),"0")</f>
        <v>45100</v>
      </c>
      <c r="G104" s="285">
        <v>69129</v>
      </c>
      <c r="H104" s="278">
        <f>G104</f>
        <v>69129</v>
      </c>
      <c r="I104" s="278">
        <f t="shared" ref="I104:K104" si="67">H104</f>
        <v>69129</v>
      </c>
      <c r="J104" s="278">
        <f t="shared" si="67"/>
        <v>69129</v>
      </c>
      <c r="K104" s="278">
        <f t="shared" si="67"/>
        <v>69129</v>
      </c>
      <c r="L104" s="279">
        <f>IF(($F104="0"),$F104,(ROUNDDOWN((K104*(1+(L$4/100))),0)))</f>
        <v>69474</v>
      </c>
      <c r="M104" s="279">
        <f t="shared" si="66"/>
        <v>69960</v>
      </c>
      <c r="N104" s="279">
        <f t="shared" si="66"/>
        <v>70337</v>
      </c>
      <c r="O104" s="279">
        <f t="shared" si="66"/>
        <v>70512</v>
      </c>
      <c r="P104" s="279">
        <f t="shared" si="66"/>
        <v>70843</v>
      </c>
      <c r="Q104" s="279">
        <f t="shared" si="66"/>
        <v>71161</v>
      </c>
      <c r="R104" s="279">
        <f t="shared" si="66"/>
        <v>71815</v>
      </c>
      <c r="S104" s="279">
        <f t="shared" si="66"/>
        <v>72597</v>
      </c>
      <c r="T104" s="279">
        <f t="shared" si="66"/>
        <v>73105</v>
      </c>
      <c r="U104" s="279">
        <f t="shared" si="66"/>
        <v>73536</v>
      </c>
      <c r="V104" s="280">
        <f t="shared" si="42"/>
        <v>4407</v>
      </c>
      <c r="W104" s="281">
        <f t="shared" si="43"/>
        <v>6.3750379724862208E-2</v>
      </c>
    </row>
    <row r="105" spans="1:23" s="282" customFormat="1" ht="51">
      <c r="A105" s="283" t="s">
        <v>132</v>
      </c>
      <c r="B105" s="132" t="s">
        <v>304</v>
      </c>
      <c r="C105" s="133" t="s">
        <v>305</v>
      </c>
      <c r="D105" s="78" t="s">
        <v>137</v>
      </c>
      <c r="E105" s="134" t="s">
        <v>84</v>
      </c>
      <c r="F105" s="277" t="str">
        <f>IFERROR((VLOOKUP(E105,'MEMORANDOS E IPC 2023 Y 2024'!$A$1:$C$20,3,0)),"0")</f>
        <v>0</v>
      </c>
      <c r="G105" s="290">
        <v>287230</v>
      </c>
      <c r="H105" s="279">
        <f>IF(($F105="0"),$G105,(ROUNDDOWN((G105*(1+(H$4/100))),0)))</f>
        <v>287230</v>
      </c>
      <c r="I105" s="279">
        <f t="shared" ref="I105:U105" si="68">IF(($F105="0"),$G105,(ROUNDDOWN((H105*(1+(I$4/100))),0)))</f>
        <v>287230</v>
      </c>
      <c r="J105" s="279">
        <f t="shared" si="68"/>
        <v>287230</v>
      </c>
      <c r="K105" s="279">
        <f t="shared" si="68"/>
        <v>287230</v>
      </c>
      <c r="L105" s="279">
        <f t="shared" si="68"/>
        <v>287230</v>
      </c>
      <c r="M105" s="279">
        <f t="shared" si="68"/>
        <v>287230</v>
      </c>
      <c r="N105" s="279">
        <f t="shared" si="68"/>
        <v>287230</v>
      </c>
      <c r="O105" s="279">
        <f t="shared" si="68"/>
        <v>287230</v>
      </c>
      <c r="P105" s="279">
        <f t="shared" si="68"/>
        <v>287230</v>
      </c>
      <c r="Q105" s="279">
        <f t="shared" si="68"/>
        <v>287230</v>
      </c>
      <c r="R105" s="279">
        <f t="shared" si="68"/>
        <v>287230</v>
      </c>
      <c r="S105" s="279">
        <f t="shared" si="68"/>
        <v>287230</v>
      </c>
      <c r="T105" s="279">
        <f t="shared" si="68"/>
        <v>287230</v>
      </c>
      <c r="U105" s="279">
        <f t="shared" si="68"/>
        <v>287230</v>
      </c>
      <c r="V105" s="280">
        <f t="shared" si="42"/>
        <v>0</v>
      </c>
      <c r="W105" s="281">
        <f t="shared" si="43"/>
        <v>0</v>
      </c>
    </row>
    <row r="106" spans="1:23" s="282" customFormat="1" ht="51">
      <c r="A106" s="283" t="s">
        <v>132</v>
      </c>
      <c r="B106" s="284" t="s">
        <v>306</v>
      </c>
      <c r="C106" s="172" t="s">
        <v>307</v>
      </c>
      <c r="D106" s="173" t="s">
        <v>137</v>
      </c>
      <c r="E106" s="77" t="s">
        <v>36</v>
      </c>
      <c r="F106" s="277">
        <f>IFERROR((VLOOKUP(E106,'MEMORANDOS E IPC 2023 Y 2024'!$A$1:$C$20,3,0)),"0")</f>
        <v>44974</v>
      </c>
      <c r="G106" s="285">
        <v>177530</v>
      </c>
      <c r="H106" s="279">
        <f>IF(($F106="0"),$F106,(ROUNDDOWN((G106*(1+(H$4/100))),0)))</f>
        <v>179394</v>
      </c>
      <c r="I106" s="279">
        <f t="shared" ref="I106:U108" si="69">IF(($F106="0"),$F106,(ROUNDDOWN((H106*(1+(I$4/100))),0)))</f>
        <v>180793</v>
      </c>
      <c r="J106" s="279">
        <f t="shared" si="69"/>
        <v>181570</v>
      </c>
      <c r="K106" s="279">
        <f t="shared" si="69"/>
        <v>182114</v>
      </c>
      <c r="L106" s="279">
        <f t="shared" si="69"/>
        <v>183024</v>
      </c>
      <c r="M106" s="279">
        <f t="shared" si="69"/>
        <v>184305</v>
      </c>
      <c r="N106" s="279">
        <f t="shared" si="69"/>
        <v>185300</v>
      </c>
      <c r="O106" s="279">
        <f t="shared" si="69"/>
        <v>185763</v>
      </c>
      <c r="P106" s="279">
        <f t="shared" si="69"/>
        <v>186636</v>
      </c>
      <c r="Q106" s="279">
        <f t="shared" si="69"/>
        <v>187475</v>
      </c>
      <c r="R106" s="279">
        <f t="shared" si="69"/>
        <v>189199</v>
      </c>
      <c r="S106" s="279">
        <f t="shared" si="69"/>
        <v>191261</v>
      </c>
      <c r="T106" s="279">
        <f t="shared" si="69"/>
        <v>192599</v>
      </c>
      <c r="U106" s="279">
        <f t="shared" si="69"/>
        <v>193735</v>
      </c>
      <c r="V106" s="280">
        <f t="shared" si="42"/>
        <v>16205</v>
      </c>
      <c r="W106" s="281">
        <f t="shared" si="43"/>
        <v>9.1280346983608401E-2</v>
      </c>
    </row>
    <row r="107" spans="1:23" s="282" customFormat="1" ht="51">
      <c r="A107" s="283" t="s">
        <v>132</v>
      </c>
      <c r="B107" s="284" t="s">
        <v>308</v>
      </c>
      <c r="C107" s="176" t="s">
        <v>309</v>
      </c>
      <c r="D107" s="173" t="s">
        <v>137</v>
      </c>
      <c r="E107" s="77" t="s">
        <v>44</v>
      </c>
      <c r="F107" s="277">
        <f>IFERROR((VLOOKUP(E107,'MEMORANDOS E IPC 2023 Y 2024'!$A$1:$C$20,3,0)),"0")</f>
        <v>45100</v>
      </c>
      <c r="G107" s="285">
        <v>4833</v>
      </c>
      <c r="H107" s="278">
        <f>G107</f>
        <v>4833</v>
      </c>
      <c r="I107" s="278">
        <f t="shared" ref="I107:O108" si="70">H107</f>
        <v>4833</v>
      </c>
      <c r="J107" s="278">
        <f t="shared" si="70"/>
        <v>4833</v>
      </c>
      <c r="K107" s="278">
        <f t="shared" si="70"/>
        <v>4833</v>
      </c>
      <c r="L107" s="279">
        <f>IF(($F107="0"),$F107,(ROUNDDOWN((K107*(1+(L$4/100))),0)))</f>
        <v>4857</v>
      </c>
      <c r="M107" s="279">
        <f t="shared" si="69"/>
        <v>4890</v>
      </c>
      <c r="N107" s="279">
        <f t="shared" si="69"/>
        <v>4916</v>
      </c>
      <c r="O107" s="279">
        <f t="shared" si="69"/>
        <v>4928</v>
      </c>
      <c r="P107" s="279">
        <f t="shared" si="69"/>
        <v>4951</v>
      </c>
      <c r="Q107" s="279">
        <f t="shared" si="69"/>
        <v>4973</v>
      </c>
      <c r="R107" s="279">
        <f t="shared" si="69"/>
        <v>5018</v>
      </c>
      <c r="S107" s="279">
        <f t="shared" si="69"/>
        <v>5072</v>
      </c>
      <c r="T107" s="279">
        <f t="shared" si="69"/>
        <v>5107</v>
      </c>
      <c r="U107" s="279">
        <f t="shared" si="69"/>
        <v>5137</v>
      </c>
      <c r="V107" s="280">
        <f t="shared" si="42"/>
        <v>304</v>
      </c>
      <c r="W107" s="281">
        <f t="shared" si="43"/>
        <v>6.2900889716532168E-2</v>
      </c>
    </row>
    <row r="108" spans="1:23" s="282" customFormat="1" ht="63.75">
      <c r="A108" s="283" t="s">
        <v>132</v>
      </c>
      <c r="B108" s="284" t="s">
        <v>310</v>
      </c>
      <c r="C108" s="176" t="s">
        <v>311</v>
      </c>
      <c r="D108" s="173" t="s">
        <v>137</v>
      </c>
      <c r="E108" s="77" t="s">
        <v>56</v>
      </c>
      <c r="F108" s="277">
        <f>IFERROR((VLOOKUP(E108,'MEMORANDOS E IPC 2023 Y 2024'!$A$1:$C$20,3,0)),"0")</f>
        <v>45212</v>
      </c>
      <c r="G108" s="285">
        <v>84667</v>
      </c>
      <c r="H108" s="285">
        <f>G108</f>
        <v>84667</v>
      </c>
      <c r="I108" s="285">
        <f t="shared" si="70"/>
        <v>84667</v>
      </c>
      <c r="J108" s="285">
        <f t="shared" si="70"/>
        <v>84667</v>
      </c>
      <c r="K108" s="285">
        <f t="shared" si="70"/>
        <v>84667</v>
      </c>
      <c r="L108" s="285">
        <f t="shared" si="70"/>
        <v>84667</v>
      </c>
      <c r="M108" s="285">
        <f t="shared" si="70"/>
        <v>84667</v>
      </c>
      <c r="N108" s="285">
        <f t="shared" si="70"/>
        <v>84667</v>
      </c>
      <c r="O108" s="285">
        <f t="shared" si="70"/>
        <v>84667</v>
      </c>
      <c r="P108" s="279">
        <f>IF(($F108="0"),$F108,(ROUNDDOWN((O108*(1+(P$4/100))),0)))</f>
        <v>85064</v>
      </c>
      <c r="Q108" s="279">
        <f t="shared" si="69"/>
        <v>85446</v>
      </c>
      <c r="R108" s="279">
        <f t="shared" si="69"/>
        <v>86232</v>
      </c>
      <c r="S108" s="279">
        <f t="shared" si="69"/>
        <v>87171</v>
      </c>
      <c r="T108" s="279">
        <f t="shared" si="69"/>
        <v>87781</v>
      </c>
      <c r="U108" s="279">
        <f t="shared" si="69"/>
        <v>88298</v>
      </c>
      <c r="V108" s="280">
        <f t="shared" si="42"/>
        <v>3631</v>
      </c>
      <c r="W108" s="281">
        <f t="shared" si="43"/>
        <v>4.2885657930480589E-2</v>
      </c>
    </row>
    <row r="109" spans="1:23" s="282" customFormat="1" ht="51">
      <c r="A109" s="283" t="s">
        <v>132</v>
      </c>
      <c r="B109" s="640" t="s">
        <v>312</v>
      </c>
      <c r="C109" s="639" t="s">
        <v>313</v>
      </c>
      <c r="D109" s="173" t="s">
        <v>137</v>
      </c>
      <c r="E109" s="77" t="s">
        <v>36</v>
      </c>
      <c r="F109" s="277">
        <f>IFERROR((VLOOKUP(E109,'MEMORANDOS E IPC 2023 Y 2024'!$A$1:$C$20,3,0)),"0")</f>
        <v>44974</v>
      </c>
      <c r="G109" s="285">
        <v>10631067</v>
      </c>
      <c r="H109" s="279">
        <f>IF(($F109="0"),$F109,(ROUNDDOWN((G109*(1+(H$4/100))),0)))</f>
        <v>10742693</v>
      </c>
      <c r="I109" s="279">
        <f t="shared" ref="I109:U110" si="71">IF(($F109="0"),$F109,(ROUNDDOWN((H109*(1+(I$4/100))),0)))</f>
        <v>10826486</v>
      </c>
      <c r="J109" s="279">
        <f t="shared" si="71"/>
        <v>10873039</v>
      </c>
      <c r="K109" s="279">
        <f t="shared" si="71"/>
        <v>10905658</v>
      </c>
      <c r="L109" s="279">
        <f t="shared" si="71"/>
        <v>10960186</v>
      </c>
      <c r="M109" s="279">
        <f t="shared" si="71"/>
        <v>11036907</v>
      </c>
      <c r="N109" s="279">
        <f t="shared" si="71"/>
        <v>11096506</v>
      </c>
      <c r="O109" s="279">
        <f t="shared" si="71"/>
        <v>11124247</v>
      </c>
      <c r="P109" s="279">
        <f t="shared" si="71"/>
        <v>11176530</v>
      </c>
      <c r="Q109" s="279">
        <f t="shared" si="71"/>
        <v>11226824</v>
      </c>
      <c r="R109" s="279">
        <f t="shared" si="71"/>
        <v>11330110</v>
      </c>
      <c r="S109" s="279">
        <f t="shared" si="71"/>
        <v>11453608</v>
      </c>
      <c r="T109" s="279">
        <f t="shared" si="71"/>
        <v>11533783</v>
      </c>
      <c r="U109" s="279">
        <f t="shared" si="71"/>
        <v>11601832</v>
      </c>
      <c r="V109" s="280">
        <f t="shared" si="42"/>
        <v>970765</v>
      </c>
      <c r="W109" s="281">
        <f t="shared" si="43"/>
        <v>9.1313976292313845E-2</v>
      </c>
    </row>
    <row r="110" spans="1:23" s="282" customFormat="1" ht="51">
      <c r="A110" s="283" t="s">
        <v>132</v>
      </c>
      <c r="B110" s="284" t="s">
        <v>314</v>
      </c>
      <c r="C110" s="172" t="s">
        <v>315</v>
      </c>
      <c r="D110" s="173" t="s">
        <v>137</v>
      </c>
      <c r="E110" s="77" t="s">
        <v>46</v>
      </c>
      <c r="F110" s="277">
        <f>IFERROR((VLOOKUP(E110,'MEMORANDOS E IPC 2023 Y 2024'!$A$1:$C$20,3,0)),"0")</f>
        <v>45117</v>
      </c>
      <c r="G110" s="285">
        <v>1050275</v>
      </c>
      <c r="H110" s="285">
        <f>G110</f>
        <v>1050275</v>
      </c>
      <c r="I110" s="285">
        <f t="shared" ref="I110:L110" si="72">H110</f>
        <v>1050275</v>
      </c>
      <c r="J110" s="285">
        <f t="shared" si="72"/>
        <v>1050275</v>
      </c>
      <c r="K110" s="285">
        <f t="shared" si="72"/>
        <v>1050275</v>
      </c>
      <c r="L110" s="285">
        <f t="shared" si="72"/>
        <v>1050275</v>
      </c>
      <c r="M110" s="279">
        <f>IF(($F110="0"),$F110,(ROUNDDOWN((L110*(1+(M$4/100))),0)))</f>
        <v>1057626</v>
      </c>
      <c r="N110" s="279">
        <f t="shared" si="71"/>
        <v>1063337</v>
      </c>
      <c r="O110" s="279">
        <f t="shared" si="71"/>
        <v>1065995</v>
      </c>
      <c r="P110" s="279">
        <f t="shared" si="71"/>
        <v>1071005</v>
      </c>
      <c r="Q110" s="279">
        <f t="shared" si="71"/>
        <v>1075824</v>
      </c>
      <c r="R110" s="279">
        <f t="shared" si="71"/>
        <v>1085721</v>
      </c>
      <c r="S110" s="279">
        <f t="shared" si="71"/>
        <v>1097555</v>
      </c>
      <c r="T110" s="279">
        <f t="shared" si="71"/>
        <v>1105237</v>
      </c>
      <c r="U110" s="279">
        <f t="shared" si="71"/>
        <v>1111757</v>
      </c>
      <c r="V110" s="280">
        <f t="shared" si="42"/>
        <v>61482</v>
      </c>
      <c r="W110" s="281">
        <f t="shared" si="43"/>
        <v>5.8538954083454331E-2</v>
      </c>
    </row>
    <row r="111" spans="1:23" s="282" customFormat="1" ht="51">
      <c r="A111" s="283" t="s">
        <v>132</v>
      </c>
      <c r="B111" s="284" t="s">
        <v>316</v>
      </c>
      <c r="C111" s="172" t="s">
        <v>317</v>
      </c>
      <c r="D111" s="173" t="s">
        <v>137</v>
      </c>
      <c r="E111" s="77" t="s">
        <v>64</v>
      </c>
      <c r="F111" s="277" t="str">
        <f>IFERROR((VLOOKUP(E111,'MEMORANDOS E IPC 2023 Y 2024'!$A$1:$C$20,3,0)),"0")</f>
        <v>0</v>
      </c>
      <c r="G111" s="285">
        <v>506733</v>
      </c>
      <c r="H111" s="279">
        <f>IF(($F111="0"),$G111,(ROUNDDOWN((G111*(1+(H$4/100))),0)))</f>
        <v>506733</v>
      </c>
      <c r="I111" s="279">
        <f t="shared" ref="I111:U115" si="73">IF(($F111="0"),$G111,(ROUNDDOWN((H111*(1+(I$4/100))),0)))</f>
        <v>506733</v>
      </c>
      <c r="J111" s="279">
        <f t="shared" si="73"/>
        <v>506733</v>
      </c>
      <c r="K111" s="279">
        <f t="shared" si="73"/>
        <v>506733</v>
      </c>
      <c r="L111" s="279">
        <f t="shared" si="73"/>
        <v>506733</v>
      </c>
      <c r="M111" s="279">
        <f t="shared" si="73"/>
        <v>506733</v>
      </c>
      <c r="N111" s="279">
        <f t="shared" si="73"/>
        <v>506733</v>
      </c>
      <c r="O111" s="279">
        <f t="shared" si="73"/>
        <v>506733</v>
      </c>
      <c r="P111" s="279">
        <f t="shared" si="73"/>
        <v>506733</v>
      </c>
      <c r="Q111" s="279">
        <f t="shared" si="73"/>
        <v>506733</v>
      </c>
      <c r="R111" s="279">
        <f t="shared" si="73"/>
        <v>506733</v>
      </c>
      <c r="S111" s="279">
        <f t="shared" si="73"/>
        <v>506733</v>
      </c>
      <c r="T111" s="279">
        <f t="shared" si="73"/>
        <v>506733</v>
      </c>
      <c r="U111" s="279">
        <f t="shared" si="73"/>
        <v>506733</v>
      </c>
      <c r="V111" s="280">
        <f t="shared" si="42"/>
        <v>0</v>
      </c>
      <c r="W111" s="281">
        <f t="shared" si="43"/>
        <v>0</v>
      </c>
    </row>
    <row r="112" spans="1:23" s="282" customFormat="1" ht="51">
      <c r="A112" s="283" t="s">
        <v>132</v>
      </c>
      <c r="B112" s="284" t="s">
        <v>318</v>
      </c>
      <c r="C112" s="172" t="s">
        <v>319</v>
      </c>
      <c r="D112" s="173" t="s">
        <v>137</v>
      </c>
      <c r="E112" s="77" t="s">
        <v>320</v>
      </c>
      <c r="F112" s="277" t="str">
        <f>IFERROR((VLOOKUP(E112,'MEMORANDOS E IPC 2023 Y 2024'!$A$1:$C$20,3,0)),"0")</f>
        <v>0</v>
      </c>
      <c r="G112" s="285">
        <v>49037</v>
      </c>
      <c r="H112" s="279">
        <f>IF(($F112="0"),$G112,(ROUNDDOWN((G112*(1+(H$4/100))),0)))</f>
        <v>49037</v>
      </c>
      <c r="I112" s="279">
        <f t="shared" si="73"/>
        <v>49037</v>
      </c>
      <c r="J112" s="279">
        <f t="shared" si="73"/>
        <v>49037</v>
      </c>
      <c r="K112" s="279">
        <f t="shared" si="73"/>
        <v>49037</v>
      </c>
      <c r="L112" s="279">
        <f t="shared" si="73"/>
        <v>49037</v>
      </c>
      <c r="M112" s="279">
        <f t="shared" si="73"/>
        <v>49037</v>
      </c>
      <c r="N112" s="279">
        <f t="shared" si="73"/>
        <v>49037</v>
      </c>
      <c r="O112" s="279">
        <f t="shared" si="73"/>
        <v>49037</v>
      </c>
      <c r="P112" s="279">
        <f t="shared" si="73"/>
        <v>49037</v>
      </c>
      <c r="Q112" s="279">
        <f t="shared" si="73"/>
        <v>49037</v>
      </c>
      <c r="R112" s="279">
        <f t="shared" si="73"/>
        <v>49037</v>
      </c>
      <c r="S112" s="279">
        <f t="shared" si="73"/>
        <v>49037</v>
      </c>
      <c r="T112" s="279">
        <f t="shared" si="73"/>
        <v>49037</v>
      </c>
      <c r="U112" s="279">
        <f t="shared" si="73"/>
        <v>49037</v>
      </c>
      <c r="V112" s="280">
        <f t="shared" si="42"/>
        <v>0</v>
      </c>
      <c r="W112" s="281">
        <f t="shared" si="43"/>
        <v>0</v>
      </c>
    </row>
    <row r="113" spans="1:23" s="282" customFormat="1" ht="51">
      <c r="A113" s="283" t="s">
        <v>132</v>
      </c>
      <c r="B113" s="284" t="s">
        <v>321</v>
      </c>
      <c r="C113" s="172" t="s">
        <v>322</v>
      </c>
      <c r="D113" s="173" t="s">
        <v>137</v>
      </c>
      <c r="E113" s="77" t="s">
        <v>64</v>
      </c>
      <c r="F113" s="277" t="str">
        <f>IFERROR((VLOOKUP(E113,'MEMORANDOS E IPC 2023 Y 2024'!$A$1:$C$20,3,0)),"0")</f>
        <v>0</v>
      </c>
      <c r="G113" s="285">
        <v>102514</v>
      </c>
      <c r="H113" s="279">
        <f>IF(($F113="0"),$G113,(ROUNDDOWN((G113*(1+(H$4/100))),0)))</f>
        <v>102514</v>
      </c>
      <c r="I113" s="279">
        <f t="shared" si="73"/>
        <v>102514</v>
      </c>
      <c r="J113" s="279">
        <f t="shared" si="73"/>
        <v>102514</v>
      </c>
      <c r="K113" s="279">
        <f t="shared" si="73"/>
        <v>102514</v>
      </c>
      <c r="L113" s="279">
        <f t="shared" si="73"/>
        <v>102514</v>
      </c>
      <c r="M113" s="279">
        <f t="shared" si="73"/>
        <v>102514</v>
      </c>
      <c r="N113" s="279">
        <f t="shared" si="73"/>
        <v>102514</v>
      </c>
      <c r="O113" s="279">
        <f t="shared" si="73"/>
        <v>102514</v>
      </c>
      <c r="P113" s="279">
        <f t="shared" si="73"/>
        <v>102514</v>
      </c>
      <c r="Q113" s="279">
        <f t="shared" si="73"/>
        <v>102514</v>
      </c>
      <c r="R113" s="279">
        <f t="shared" si="73"/>
        <v>102514</v>
      </c>
      <c r="S113" s="279">
        <f t="shared" si="73"/>
        <v>102514</v>
      </c>
      <c r="T113" s="279">
        <f t="shared" si="73"/>
        <v>102514</v>
      </c>
      <c r="U113" s="279">
        <f t="shared" si="73"/>
        <v>102514</v>
      </c>
      <c r="V113" s="280">
        <f t="shared" si="42"/>
        <v>0</v>
      </c>
      <c r="W113" s="281">
        <f t="shared" si="43"/>
        <v>0</v>
      </c>
    </row>
    <row r="114" spans="1:23" s="282" customFormat="1" ht="51">
      <c r="A114" s="283" t="s">
        <v>132</v>
      </c>
      <c r="B114" s="284" t="s">
        <v>323</v>
      </c>
      <c r="C114" s="172" t="s">
        <v>324</v>
      </c>
      <c r="D114" s="173" t="s">
        <v>137</v>
      </c>
      <c r="E114" s="77" t="s">
        <v>64</v>
      </c>
      <c r="F114" s="277" t="str">
        <f>IFERROR((VLOOKUP(E114,'MEMORANDOS E IPC 2023 Y 2024'!$A$1:$C$20,3,0)),"0")</f>
        <v>0</v>
      </c>
      <c r="G114" s="285">
        <v>199600</v>
      </c>
      <c r="H114" s="279">
        <f>IF(($F114="0"),$G114,(ROUNDDOWN((G114*(1+(H$4/100))),0)))</f>
        <v>199600</v>
      </c>
      <c r="I114" s="279">
        <f t="shared" si="73"/>
        <v>199600</v>
      </c>
      <c r="J114" s="279">
        <f t="shared" si="73"/>
        <v>199600</v>
      </c>
      <c r="K114" s="279">
        <f t="shared" si="73"/>
        <v>199600</v>
      </c>
      <c r="L114" s="279">
        <f t="shared" si="73"/>
        <v>199600</v>
      </c>
      <c r="M114" s="279">
        <f t="shared" si="73"/>
        <v>199600</v>
      </c>
      <c r="N114" s="279">
        <f t="shared" si="73"/>
        <v>199600</v>
      </c>
      <c r="O114" s="279">
        <f t="shared" si="73"/>
        <v>199600</v>
      </c>
      <c r="P114" s="279">
        <f t="shared" si="73"/>
        <v>199600</v>
      </c>
      <c r="Q114" s="279">
        <f t="shared" si="73"/>
        <v>199600</v>
      </c>
      <c r="R114" s="279">
        <f t="shared" si="73"/>
        <v>199600</v>
      </c>
      <c r="S114" s="279">
        <f t="shared" si="73"/>
        <v>199600</v>
      </c>
      <c r="T114" s="279">
        <f t="shared" si="73"/>
        <v>199600</v>
      </c>
      <c r="U114" s="279">
        <f t="shared" si="73"/>
        <v>199600</v>
      </c>
      <c r="V114" s="280">
        <f t="shared" si="42"/>
        <v>0</v>
      </c>
      <c r="W114" s="281">
        <f t="shared" si="43"/>
        <v>0</v>
      </c>
    </row>
    <row r="115" spans="1:23" s="282" customFormat="1" ht="51">
      <c r="A115" s="283" t="s">
        <v>132</v>
      </c>
      <c r="B115" s="284" t="s">
        <v>325</v>
      </c>
      <c r="C115" s="172" t="s">
        <v>326</v>
      </c>
      <c r="D115" s="173" t="s">
        <v>137</v>
      </c>
      <c r="E115" s="77" t="s">
        <v>320</v>
      </c>
      <c r="F115" s="277" t="str">
        <f>IFERROR((VLOOKUP(E115,'MEMORANDOS E IPC 2023 Y 2024'!$A$1:$C$20,3,0)),"0")</f>
        <v>0</v>
      </c>
      <c r="G115" s="285">
        <v>23967</v>
      </c>
      <c r="H115" s="279">
        <f>IF(($F115="0"),$G115,(ROUNDDOWN((G115*(1+(H$4/100))),0)))</f>
        <v>23967</v>
      </c>
      <c r="I115" s="279">
        <f t="shared" si="73"/>
        <v>23967</v>
      </c>
      <c r="J115" s="279">
        <f t="shared" si="73"/>
        <v>23967</v>
      </c>
      <c r="K115" s="279">
        <f t="shared" si="73"/>
        <v>23967</v>
      </c>
      <c r="L115" s="279">
        <f t="shared" si="73"/>
        <v>23967</v>
      </c>
      <c r="M115" s="279">
        <f t="shared" si="73"/>
        <v>23967</v>
      </c>
      <c r="N115" s="279">
        <f t="shared" si="73"/>
        <v>23967</v>
      </c>
      <c r="O115" s="279">
        <f t="shared" si="73"/>
        <v>23967</v>
      </c>
      <c r="P115" s="279">
        <f t="shared" si="73"/>
        <v>23967</v>
      </c>
      <c r="Q115" s="279">
        <f t="shared" si="73"/>
        <v>23967</v>
      </c>
      <c r="R115" s="279">
        <f t="shared" si="73"/>
        <v>23967</v>
      </c>
      <c r="S115" s="279">
        <f t="shared" si="73"/>
        <v>23967</v>
      </c>
      <c r="T115" s="279">
        <f t="shared" si="73"/>
        <v>23967</v>
      </c>
      <c r="U115" s="279">
        <f t="shared" si="73"/>
        <v>23967</v>
      </c>
      <c r="V115" s="280">
        <f t="shared" si="42"/>
        <v>0</v>
      </c>
      <c r="W115" s="281">
        <f t="shared" si="43"/>
        <v>0</v>
      </c>
    </row>
    <row r="116" spans="1:23" s="282" customFormat="1" ht="51">
      <c r="A116" s="283" t="s">
        <v>132</v>
      </c>
      <c r="B116" s="284" t="s">
        <v>327</v>
      </c>
      <c r="C116" s="172" t="s">
        <v>328</v>
      </c>
      <c r="D116" s="173" t="s">
        <v>137</v>
      </c>
      <c r="E116" s="77" t="s">
        <v>36</v>
      </c>
      <c r="F116" s="277">
        <f>IFERROR((VLOOKUP(E116,'MEMORANDOS E IPC 2023 Y 2024'!$A$1:$C$20,3,0)),"0")</f>
        <v>44974</v>
      </c>
      <c r="G116" s="285">
        <v>57542</v>
      </c>
      <c r="H116" s="279">
        <f>IF(($F116="0"),$F116,(ROUNDDOWN((G116*(1+(H$4/100))),0)))</f>
        <v>58146</v>
      </c>
      <c r="I116" s="279">
        <f t="shared" ref="I116:U118" si="74">IF(($F116="0"),$F116,(ROUNDDOWN((H116*(1+(I$4/100))),0)))</f>
        <v>58599</v>
      </c>
      <c r="J116" s="279">
        <f t="shared" si="74"/>
        <v>58850</v>
      </c>
      <c r="K116" s="279">
        <f t="shared" si="74"/>
        <v>59026</v>
      </c>
      <c r="L116" s="279">
        <f t="shared" si="74"/>
        <v>59321</v>
      </c>
      <c r="M116" s="279">
        <f t="shared" si="74"/>
        <v>59736</v>
      </c>
      <c r="N116" s="279">
        <f t="shared" si="74"/>
        <v>60058</v>
      </c>
      <c r="O116" s="279">
        <f t="shared" si="74"/>
        <v>60208</v>
      </c>
      <c r="P116" s="279">
        <f t="shared" si="74"/>
        <v>60490</v>
      </c>
      <c r="Q116" s="279">
        <f t="shared" si="74"/>
        <v>60762</v>
      </c>
      <c r="R116" s="279">
        <f t="shared" si="74"/>
        <v>61321</v>
      </c>
      <c r="S116" s="279">
        <f t="shared" si="74"/>
        <v>61989</v>
      </c>
      <c r="T116" s="279">
        <f t="shared" si="74"/>
        <v>62422</v>
      </c>
      <c r="U116" s="279">
        <f t="shared" si="74"/>
        <v>62790</v>
      </c>
      <c r="V116" s="280">
        <f t="shared" si="42"/>
        <v>5248</v>
      </c>
      <c r="W116" s="281">
        <f t="shared" si="43"/>
        <v>9.1202947412324917E-2</v>
      </c>
    </row>
    <row r="117" spans="1:23" s="282" customFormat="1" ht="51">
      <c r="A117" s="283" t="s">
        <v>132</v>
      </c>
      <c r="B117" s="284" t="s">
        <v>329</v>
      </c>
      <c r="C117" s="172" t="s">
        <v>330</v>
      </c>
      <c r="D117" s="173" t="s">
        <v>137</v>
      </c>
      <c r="E117" s="77" t="s">
        <v>36</v>
      </c>
      <c r="F117" s="277">
        <f>IFERROR((VLOOKUP(E117,'MEMORANDOS E IPC 2023 Y 2024'!$A$1:$C$20,3,0)),"0")</f>
        <v>44974</v>
      </c>
      <c r="G117" s="285">
        <v>60750</v>
      </c>
      <c r="H117" s="279">
        <f>IF(($F117="0"),$F117,(ROUNDDOWN((G117*(1+(H$4/100))),0)))</f>
        <v>61387</v>
      </c>
      <c r="I117" s="279">
        <f t="shared" si="74"/>
        <v>61865</v>
      </c>
      <c r="J117" s="279">
        <f t="shared" si="74"/>
        <v>62131</v>
      </c>
      <c r="K117" s="279">
        <f t="shared" si="74"/>
        <v>62317</v>
      </c>
      <c r="L117" s="279">
        <f t="shared" si="74"/>
        <v>62628</v>
      </c>
      <c r="M117" s="279">
        <f t="shared" si="74"/>
        <v>63066</v>
      </c>
      <c r="N117" s="279">
        <f t="shared" si="74"/>
        <v>63406</v>
      </c>
      <c r="O117" s="279">
        <f t="shared" si="74"/>
        <v>63564</v>
      </c>
      <c r="P117" s="279">
        <f t="shared" si="74"/>
        <v>63862</v>
      </c>
      <c r="Q117" s="279">
        <f t="shared" si="74"/>
        <v>64149</v>
      </c>
      <c r="R117" s="279">
        <f t="shared" si="74"/>
        <v>64739</v>
      </c>
      <c r="S117" s="279">
        <f t="shared" si="74"/>
        <v>65444</v>
      </c>
      <c r="T117" s="279">
        <f t="shared" si="74"/>
        <v>65902</v>
      </c>
      <c r="U117" s="279">
        <f t="shared" si="74"/>
        <v>66290</v>
      </c>
      <c r="V117" s="280">
        <f t="shared" si="42"/>
        <v>5540</v>
      </c>
      <c r="W117" s="281">
        <f t="shared" si="43"/>
        <v>9.1193415637860084E-2</v>
      </c>
    </row>
    <row r="118" spans="1:23" s="282" customFormat="1" ht="51">
      <c r="A118" s="283" t="s">
        <v>132</v>
      </c>
      <c r="B118" s="284" t="s">
        <v>331</v>
      </c>
      <c r="C118" s="172" t="s">
        <v>332</v>
      </c>
      <c r="D118" s="173" t="s">
        <v>137</v>
      </c>
      <c r="E118" s="77" t="s">
        <v>46</v>
      </c>
      <c r="F118" s="277">
        <f>IFERROR((VLOOKUP(E118,'MEMORANDOS E IPC 2023 Y 2024'!$A$1:$C$20,3,0)),"0")</f>
        <v>45117</v>
      </c>
      <c r="G118" s="285">
        <v>3668400</v>
      </c>
      <c r="H118" s="285">
        <f>G118</f>
        <v>3668400</v>
      </c>
      <c r="I118" s="285">
        <f t="shared" ref="I118:L119" si="75">H118</f>
        <v>3668400</v>
      </c>
      <c r="J118" s="285">
        <f t="shared" si="75"/>
        <v>3668400</v>
      </c>
      <c r="K118" s="285">
        <f t="shared" si="75"/>
        <v>3668400</v>
      </c>
      <c r="L118" s="285">
        <f t="shared" si="75"/>
        <v>3668400</v>
      </c>
      <c r="M118" s="279">
        <f>IF(($F118="0"),$F118,(ROUNDDOWN((L118*(1+(M$4/100))),0)))</f>
        <v>3694078</v>
      </c>
      <c r="N118" s="279">
        <f t="shared" si="74"/>
        <v>3714026</v>
      </c>
      <c r="O118" s="279">
        <f t="shared" si="74"/>
        <v>3723311</v>
      </c>
      <c r="P118" s="279">
        <f t="shared" si="74"/>
        <v>3740810</v>
      </c>
      <c r="Q118" s="279">
        <f t="shared" si="74"/>
        <v>3757643</v>
      </c>
      <c r="R118" s="279">
        <f t="shared" si="74"/>
        <v>3792213</v>
      </c>
      <c r="S118" s="279">
        <f t="shared" si="74"/>
        <v>3833548</v>
      </c>
      <c r="T118" s="279">
        <f t="shared" si="74"/>
        <v>3860382</v>
      </c>
      <c r="U118" s="279">
        <f t="shared" si="74"/>
        <v>3883158</v>
      </c>
      <c r="V118" s="280">
        <f t="shared" si="42"/>
        <v>214758</v>
      </c>
      <c r="W118" s="281">
        <f t="shared" si="43"/>
        <v>5.8542688910696764E-2</v>
      </c>
    </row>
    <row r="119" spans="1:23" s="282" customFormat="1" ht="51">
      <c r="A119" s="283" t="s">
        <v>132</v>
      </c>
      <c r="B119" s="640" t="s">
        <v>333</v>
      </c>
      <c r="C119" s="172" t="s">
        <v>334</v>
      </c>
      <c r="D119" s="173" t="s">
        <v>137</v>
      </c>
      <c r="E119" s="83" t="s">
        <v>335</v>
      </c>
      <c r="F119" s="277" t="str">
        <f>IFERROR((VLOOKUP(E119,'MEMORANDOS E IPC 2023 Y 2024'!$A$1:$C$20,3,0)),"0")</f>
        <v>0</v>
      </c>
      <c r="G119" s="285">
        <v>161650</v>
      </c>
      <c r="H119" s="285">
        <f>G119</f>
        <v>161650</v>
      </c>
      <c r="I119" s="285">
        <f t="shared" si="75"/>
        <v>161650</v>
      </c>
      <c r="J119" s="285">
        <f t="shared" si="75"/>
        <v>161650</v>
      </c>
      <c r="K119" s="285">
        <f t="shared" ref="K119" si="76">J119</f>
        <v>161650</v>
      </c>
      <c r="L119" s="285">
        <f t="shared" ref="L119" si="77">K119</f>
        <v>161650</v>
      </c>
      <c r="M119" s="285">
        <f t="shared" ref="M119" si="78">L119</f>
        <v>161650</v>
      </c>
      <c r="N119" s="285">
        <f t="shared" ref="N119" si="79">M119</f>
        <v>161650</v>
      </c>
      <c r="O119" s="285">
        <f t="shared" ref="O119" si="80">N119</f>
        <v>161650</v>
      </c>
      <c r="P119" s="285">
        <f t="shared" ref="P119" si="81">O119</f>
        <v>161650</v>
      </c>
      <c r="Q119" s="285">
        <f t="shared" ref="Q119" si="82">P119</f>
        <v>161650</v>
      </c>
      <c r="R119" s="285">
        <f t="shared" ref="R119" si="83">Q119</f>
        <v>161650</v>
      </c>
      <c r="S119" s="285">
        <f t="shared" ref="S119" si="84">R119</f>
        <v>161650</v>
      </c>
      <c r="T119" s="285">
        <f t="shared" ref="T119" si="85">S119</f>
        <v>161650</v>
      </c>
      <c r="U119" s="285">
        <f t="shared" ref="U119" si="86">T119</f>
        <v>161650</v>
      </c>
      <c r="V119" s="280">
        <f t="shared" si="42"/>
        <v>0</v>
      </c>
      <c r="W119" s="281">
        <f t="shared" si="43"/>
        <v>0</v>
      </c>
    </row>
    <row r="120" spans="1:23" s="282" customFormat="1" ht="51">
      <c r="A120" s="283" t="s">
        <v>132</v>
      </c>
      <c r="B120" s="284" t="s">
        <v>336</v>
      </c>
      <c r="C120" s="172" t="s">
        <v>337</v>
      </c>
      <c r="D120" s="173" t="s">
        <v>137</v>
      </c>
      <c r="E120" s="77" t="s">
        <v>36</v>
      </c>
      <c r="F120" s="277">
        <f>IFERROR((VLOOKUP(E120,'MEMORANDOS E IPC 2023 Y 2024'!$A$1:$C$20,3,0)),"0")</f>
        <v>44974</v>
      </c>
      <c r="G120" s="285">
        <v>14938</v>
      </c>
      <c r="H120" s="279">
        <f>IF(($F120="0"),$F120,(ROUNDDOWN((G120*(1+(H$4/100))),0)))</f>
        <v>15094</v>
      </c>
      <c r="I120" s="279">
        <f t="shared" ref="I120:U123" si="87">IF(($F120="0"),$F120,(ROUNDDOWN((H120*(1+(I$4/100))),0)))</f>
        <v>15211</v>
      </c>
      <c r="J120" s="279">
        <f t="shared" si="87"/>
        <v>15276</v>
      </c>
      <c r="K120" s="279">
        <f t="shared" si="87"/>
        <v>15321</v>
      </c>
      <c r="L120" s="279">
        <f t="shared" si="87"/>
        <v>15397</v>
      </c>
      <c r="M120" s="279">
        <f t="shared" si="87"/>
        <v>15504</v>
      </c>
      <c r="N120" s="279">
        <f t="shared" si="87"/>
        <v>15587</v>
      </c>
      <c r="O120" s="279">
        <f t="shared" si="87"/>
        <v>15625</v>
      </c>
      <c r="P120" s="279">
        <f t="shared" si="87"/>
        <v>15698</v>
      </c>
      <c r="Q120" s="279">
        <f t="shared" si="87"/>
        <v>15768</v>
      </c>
      <c r="R120" s="279">
        <f t="shared" si="87"/>
        <v>15913</v>
      </c>
      <c r="S120" s="279">
        <f t="shared" si="87"/>
        <v>16086</v>
      </c>
      <c r="T120" s="279">
        <f t="shared" si="87"/>
        <v>16198</v>
      </c>
      <c r="U120" s="279">
        <f t="shared" si="87"/>
        <v>16293</v>
      </c>
      <c r="V120" s="280">
        <f t="shared" si="42"/>
        <v>1355</v>
      </c>
      <c r="W120" s="281">
        <f t="shared" si="43"/>
        <v>9.0708260811353594E-2</v>
      </c>
    </row>
    <row r="121" spans="1:23" s="282" customFormat="1" ht="51">
      <c r="A121" s="283" t="s">
        <v>132</v>
      </c>
      <c r="B121" s="284" t="s">
        <v>338</v>
      </c>
      <c r="C121" s="172" t="s">
        <v>339</v>
      </c>
      <c r="D121" s="173" t="s">
        <v>137</v>
      </c>
      <c r="E121" s="77" t="s">
        <v>36</v>
      </c>
      <c r="F121" s="277">
        <f>IFERROR((VLOOKUP(E121,'MEMORANDOS E IPC 2023 Y 2024'!$A$1:$C$20,3,0)),"0")</f>
        <v>44974</v>
      </c>
      <c r="G121" s="285">
        <v>28259</v>
      </c>
      <c r="H121" s="279">
        <f>IF(($F121="0"),$F121,(ROUNDDOWN((G121*(1+(H$4/100))),0)))</f>
        <v>28555</v>
      </c>
      <c r="I121" s="279">
        <f t="shared" si="87"/>
        <v>28777</v>
      </c>
      <c r="J121" s="279">
        <f t="shared" si="87"/>
        <v>28900</v>
      </c>
      <c r="K121" s="279">
        <f t="shared" si="87"/>
        <v>28986</v>
      </c>
      <c r="L121" s="279">
        <f t="shared" si="87"/>
        <v>29130</v>
      </c>
      <c r="M121" s="279">
        <f t="shared" si="87"/>
        <v>29333</v>
      </c>
      <c r="N121" s="279">
        <f t="shared" si="87"/>
        <v>29491</v>
      </c>
      <c r="O121" s="279">
        <f t="shared" si="87"/>
        <v>29564</v>
      </c>
      <c r="P121" s="279">
        <f t="shared" si="87"/>
        <v>29702</v>
      </c>
      <c r="Q121" s="279">
        <f t="shared" si="87"/>
        <v>29835</v>
      </c>
      <c r="R121" s="279">
        <f t="shared" si="87"/>
        <v>30109</v>
      </c>
      <c r="S121" s="279">
        <f t="shared" si="87"/>
        <v>30437</v>
      </c>
      <c r="T121" s="279">
        <f t="shared" si="87"/>
        <v>30650</v>
      </c>
      <c r="U121" s="279">
        <f t="shared" si="87"/>
        <v>30830</v>
      </c>
      <c r="V121" s="280">
        <f t="shared" si="42"/>
        <v>2571</v>
      </c>
      <c r="W121" s="281">
        <f t="shared" si="43"/>
        <v>9.097986482182667E-2</v>
      </c>
    </row>
    <row r="122" spans="1:23" s="282" customFormat="1" ht="51">
      <c r="A122" s="283" t="s">
        <v>132</v>
      </c>
      <c r="B122" s="284" t="s">
        <v>340</v>
      </c>
      <c r="C122" s="172" t="s">
        <v>341</v>
      </c>
      <c r="D122" s="173" t="s">
        <v>137</v>
      </c>
      <c r="E122" s="77" t="s">
        <v>44</v>
      </c>
      <c r="F122" s="277">
        <f>IFERROR((VLOOKUP(E122,'MEMORANDOS E IPC 2023 Y 2024'!$A$1:$C$20,3,0)),"0")</f>
        <v>45100</v>
      </c>
      <c r="G122" s="285">
        <v>1899</v>
      </c>
      <c r="H122" s="278">
        <f>G122</f>
        <v>1899</v>
      </c>
      <c r="I122" s="278">
        <f t="shared" ref="I122:K123" si="88">H122</f>
        <v>1899</v>
      </c>
      <c r="J122" s="278">
        <f t="shared" si="88"/>
        <v>1899</v>
      </c>
      <c r="K122" s="278">
        <f t="shared" si="88"/>
        <v>1899</v>
      </c>
      <c r="L122" s="279">
        <f t="shared" si="87"/>
        <v>1908</v>
      </c>
      <c r="M122" s="279">
        <f t="shared" si="87"/>
        <v>1921</v>
      </c>
      <c r="N122" s="279">
        <f t="shared" si="87"/>
        <v>1931</v>
      </c>
      <c r="O122" s="279">
        <f t="shared" si="87"/>
        <v>1935</v>
      </c>
      <c r="P122" s="279">
        <f t="shared" si="87"/>
        <v>1944</v>
      </c>
      <c r="Q122" s="279">
        <f t="shared" si="87"/>
        <v>1952</v>
      </c>
      <c r="R122" s="279">
        <f t="shared" si="87"/>
        <v>1969</v>
      </c>
      <c r="S122" s="279">
        <f t="shared" si="87"/>
        <v>1990</v>
      </c>
      <c r="T122" s="279">
        <f t="shared" si="87"/>
        <v>2003</v>
      </c>
      <c r="U122" s="279">
        <f t="shared" si="87"/>
        <v>2014</v>
      </c>
      <c r="V122" s="280">
        <f t="shared" si="42"/>
        <v>115</v>
      </c>
      <c r="W122" s="281">
        <f t="shared" si="43"/>
        <v>6.055818852027383E-2</v>
      </c>
    </row>
    <row r="123" spans="1:23" s="282" customFormat="1" ht="51">
      <c r="A123" s="283" t="s">
        <v>132</v>
      </c>
      <c r="B123" s="284" t="s">
        <v>342</v>
      </c>
      <c r="C123" s="172" t="s">
        <v>343</v>
      </c>
      <c r="D123" s="173" t="s">
        <v>137</v>
      </c>
      <c r="E123" s="77" t="s">
        <v>44</v>
      </c>
      <c r="F123" s="277">
        <f>IFERROR((VLOOKUP(E123,'MEMORANDOS E IPC 2023 Y 2024'!$A$1:$C$20,3,0)),"0")</f>
        <v>45100</v>
      </c>
      <c r="G123" s="285">
        <v>13568</v>
      </c>
      <c r="H123" s="278">
        <f>G123</f>
        <v>13568</v>
      </c>
      <c r="I123" s="278">
        <f t="shared" si="88"/>
        <v>13568</v>
      </c>
      <c r="J123" s="278">
        <f t="shared" si="88"/>
        <v>13568</v>
      </c>
      <c r="K123" s="278">
        <f t="shared" si="88"/>
        <v>13568</v>
      </c>
      <c r="L123" s="279">
        <f t="shared" si="87"/>
        <v>13635</v>
      </c>
      <c r="M123" s="279">
        <f t="shared" si="87"/>
        <v>13730</v>
      </c>
      <c r="N123" s="279">
        <f t="shared" si="87"/>
        <v>13804</v>
      </c>
      <c r="O123" s="279">
        <f t="shared" si="87"/>
        <v>13838</v>
      </c>
      <c r="P123" s="279">
        <f t="shared" si="87"/>
        <v>13903</v>
      </c>
      <c r="Q123" s="279">
        <f t="shared" si="87"/>
        <v>13965</v>
      </c>
      <c r="R123" s="279">
        <f t="shared" si="87"/>
        <v>14093</v>
      </c>
      <c r="S123" s="279">
        <f t="shared" si="87"/>
        <v>14246</v>
      </c>
      <c r="T123" s="279">
        <f t="shared" si="87"/>
        <v>14345</v>
      </c>
      <c r="U123" s="279">
        <f t="shared" si="87"/>
        <v>14429</v>
      </c>
      <c r="V123" s="280">
        <f t="shared" si="42"/>
        <v>861</v>
      </c>
      <c r="W123" s="281">
        <f t="shared" si="43"/>
        <v>6.3458136792452824E-2</v>
      </c>
    </row>
    <row r="124" spans="1:23" s="282" customFormat="1" ht="51">
      <c r="A124" s="283" t="s">
        <v>132</v>
      </c>
      <c r="B124" s="284" t="s">
        <v>344</v>
      </c>
      <c r="C124" s="172" t="s">
        <v>345</v>
      </c>
      <c r="D124" s="173" t="s">
        <v>137</v>
      </c>
      <c r="E124" s="77" t="s">
        <v>64</v>
      </c>
      <c r="F124" s="277" t="str">
        <f>IFERROR((VLOOKUP(E124,'MEMORANDOS E IPC 2023 Y 2024'!$A$1:$C$20,3,0)),"0")</f>
        <v>0</v>
      </c>
      <c r="G124" s="285">
        <v>483770</v>
      </c>
      <c r="H124" s="279">
        <f>IF(($F124="0"),$G124,(ROUNDDOWN((G124*(1+(H$4/100))),0)))</f>
        <v>483770</v>
      </c>
      <c r="I124" s="279">
        <f t="shared" ref="I124:U124" si="89">IF(($F124="0"),$G124,(ROUNDDOWN((H124*(1+(I$4/100))),0)))</f>
        <v>483770</v>
      </c>
      <c r="J124" s="279">
        <f t="shared" si="89"/>
        <v>483770</v>
      </c>
      <c r="K124" s="279">
        <f t="shared" si="89"/>
        <v>483770</v>
      </c>
      <c r="L124" s="279">
        <f t="shared" si="89"/>
        <v>483770</v>
      </c>
      <c r="M124" s="279">
        <f t="shared" si="89"/>
        <v>483770</v>
      </c>
      <c r="N124" s="279">
        <f t="shared" si="89"/>
        <v>483770</v>
      </c>
      <c r="O124" s="279">
        <f t="shared" si="89"/>
        <v>483770</v>
      </c>
      <c r="P124" s="279">
        <f t="shared" si="89"/>
        <v>483770</v>
      </c>
      <c r="Q124" s="279">
        <f t="shared" si="89"/>
        <v>483770</v>
      </c>
      <c r="R124" s="279">
        <f t="shared" si="89"/>
        <v>483770</v>
      </c>
      <c r="S124" s="279">
        <f t="shared" si="89"/>
        <v>483770</v>
      </c>
      <c r="T124" s="279">
        <f t="shared" si="89"/>
        <v>483770</v>
      </c>
      <c r="U124" s="279">
        <f t="shared" si="89"/>
        <v>483770</v>
      </c>
      <c r="V124" s="280">
        <f t="shared" si="42"/>
        <v>0</v>
      </c>
      <c r="W124" s="281">
        <f t="shared" si="43"/>
        <v>0</v>
      </c>
    </row>
    <row r="125" spans="1:23" s="282" customFormat="1" ht="51">
      <c r="A125" s="283" t="s">
        <v>132</v>
      </c>
      <c r="B125" s="284" t="s">
        <v>346</v>
      </c>
      <c r="C125" s="172" t="s">
        <v>347</v>
      </c>
      <c r="D125" s="173" t="s">
        <v>137</v>
      </c>
      <c r="E125" s="77" t="s">
        <v>56</v>
      </c>
      <c r="F125" s="277">
        <f>IFERROR((VLOOKUP(E125,'MEMORANDOS E IPC 2023 Y 2024'!$A$1:$C$20,3,0)),"0")</f>
        <v>45212</v>
      </c>
      <c r="G125" s="285">
        <v>111750</v>
      </c>
      <c r="H125" s="285">
        <f>G125</f>
        <v>111750</v>
      </c>
      <c r="I125" s="285">
        <f t="shared" ref="I125:O125" si="90">H125</f>
        <v>111750</v>
      </c>
      <c r="J125" s="285">
        <f t="shared" si="90"/>
        <v>111750</v>
      </c>
      <c r="K125" s="285">
        <f t="shared" si="90"/>
        <v>111750</v>
      </c>
      <c r="L125" s="285">
        <f t="shared" si="90"/>
        <v>111750</v>
      </c>
      <c r="M125" s="285">
        <f t="shared" si="90"/>
        <v>111750</v>
      </c>
      <c r="N125" s="285">
        <f t="shared" si="90"/>
        <v>111750</v>
      </c>
      <c r="O125" s="285">
        <f t="shared" si="90"/>
        <v>111750</v>
      </c>
      <c r="P125" s="279">
        <f>IF(($F125="0"),$F125,(ROUNDDOWN((O125*(1+(P$4/100))),0)))</f>
        <v>112275</v>
      </c>
      <c r="Q125" s="279">
        <f t="shared" ref="Q125:U125" si="91">IF(($F125="0"),$F125,(ROUNDDOWN((P125*(1+(Q$4/100))),0)))</f>
        <v>112780</v>
      </c>
      <c r="R125" s="279">
        <f t="shared" si="91"/>
        <v>113817</v>
      </c>
      <c r="S125" s="279">
        <f t="shared" si="91"/>
        <v>115057</v>
      </c>
      <c r="T125" s="279">
        <f t="shared" si="91"/>
        <v>115862</v>
      </c>
      <c r="U125" s="279">
        <f t="shared" si="91"/>
        <v>116545</v>
      </c>
      <c r="V125" s="280">
        <f t="shared" si="42"/>
        <v>4795</v>
      </c>
      <c r="W125" s="281">
        <f t="shared" si="43"/>
        <v>4.2908277404921702E-2</v>
      </c>
    </row>
    <row r="126" spans="1:23" s="282" customFormat="1" ht="51">
      <c r="A126" s="283" t="s">
        <v>132</v>
      </c>
      <c r="B126" s="132" t="s">
        <v>348</v>
      </c>
      <c r="C126" s="133" t="s">
        <v>349</v>
      </c>
      <c r="D126" s="78" t="s">
        <v>108</v>
      </c>
      <c r="E126" s="134" t="s">
        <v>84</v>
      </c>
      <c r="F126" s="277" t="str">
        <f>IFERROR((VLOOKUP(E126,'MEMORANDOS E IPC 2023 Y 2024'!$A$1:$C$20,3,0)),"0")</f>
        <v>0</v>
      </c>
      <c r="G126" s="287">
        <v>339849</v>
      </c>
      <c r="H126" s="279">
        <f>IF(($F126="0"),$G126,(ROUNDDOWN((G126*(1+(H$4/100))),0)))</f>
        <v>339849</v>
      </c>
      <c r="I126" s="279">
        <f t="shared" ref="I126:U126" si="92">IF(($F126="0"),$G126,(ROUNDDOWN((H126*(1+(I$4/100))),0)))</f>
        <v>339849</v>
      </c>
      <c r="J126" s="279">
        <f t="shared" si="92"/>
        <v>339849</v>
      </c>
      <c r="K126" s="279">
        <f t="shared" si="92"/>
        <v>339849</v>
      </c>
      <c r="L126" s="279">
        <f t="shared" si="92"/>
        <v>339849</v>
      </c>
      <c r="M126" s="279">
        <f t="shared" si="92"/>
        <v>339849</v>
      </c>
      <c r="N126" s="279">
        <f t="shared" si="92"/>
        <v>339849</v>
      </c>
      <c r="O126" s="279">
        <f t="shared" si="92"/>
        <v>339849</v>
      </c>
      <c r="P126" s="279">
        <f t="shared" si="92"/>
        <v>339849</v>
      </c>
      <c r="Q126" s="279">
        <f t="shared" si="92"/>
        <v>339849</v>
      </c>
      <c r="R126" s="279">
        <f t="shared" si="92"/>
        <v>339849</v>
      </c>
      <c r="S126" s="279">
        <f t="shared" si="92"/>
        <v>339849</v>
      </c>
      <c r="T126" s="279">
        <f t="shared" si="92"/>
        <v>339849</v>
      </c>
      <c r="U126" s="279">
        <f t="shared" si="92"/>
        <v>339849</v>
      </c>
      <c r="V126" s="280">
        <f t="shared" si="42"/>
        <v>0</v>
      </c>
      <c r="W126" s="281">
        <f t="shared" si="43"/>
        <v>0</v>
      </c>
    </row>
    <row r="127" spans="1:23" s="282" customFormat="1" ht="51">
      <c r="A127" s="283" t="s">
        <v>132</v>
      </c>
      <c r="B127" s="284" t="s">
        <v>350</v>
      </c>
      <c r="C127" s="172" t="s">
        <v>351</v>
      </c>
      <c r="D127" s="173" t="s">
        <v>137</v>
      </c>
      <c r="E127" s="77" t="s">
        <v>44</v>
      </c>
      <c r="F127" s="277">
        <f>IFERROR((VLOOKUP(E127,'MEMORANDOS E IPC 2023 Y 2024'!$A$1:$C$20,3,0)),"0")</f>
        <v>45100</v>
      </c>
      <c r="G127" s="285">
        <v>15610</v>
      </c>
      <c r="H127" s="278">
        <f>G127</f>
        <v>15610</v>
      </c>
      <c r="I127" s="278">
        <f t="shared" ref="I127:K127" si="93">H127</f>
        <v>15610</v>
      </c>
      <c r="J127" s="278">
        <f t="shared" si="93"/>
        <v>15610</v>
      </c>
      <c r="K127" s="278">
        <f t="shared" si="93"/>
        <v>15610</v>
      </c>
      <c r="L127" s="279">
        <f>IF(($F127="0"),$F127,(ROUNDDOWN((K127*(1+(L$4/100))),0)))</f>
        <v>15688</v>
      </c>
      <c r="M127" s="279">
        <f t="shared" ref="M127:U127" si="94">IF(($F127="0"),$F127,(ROUNDDOWN((L127*(1+(M$4/100))),0)))</f>
        <v>15797</v>
      </c>
      <c r="N127" s="279">
        <f t="shared" si="94"/>
        <v>15882</v>
      </c>
      <c r="O127" s="279">
        <f t="shared" si="94"/>
        <v>15921</v>
      </c>
      <c r="P127" s="279">
        <f t="shared" si="94"/>
        <v>15995</v>
      </c>
      <c r="Q127" s="279">
        <f t="shared" si="94"/>
        <v>16066</v>
      </c>
      <c r="R127" s="279">
        <f t="shared" si="94"/>
        <v>16213</v>
      </c>
      <c r="S127" s="279">
        <f t="shared" si="94"/>
        <v>16389</v>
      </c>
      <c r="T127" s="279">
        <f t="shared" si="94"/>
        <v>16503</v>
      </c>
      <c r="U127" s="279">
        <f t="shared" si="94"/>
        <v>16600</v>
      </c>
      <c r="V127" s="280">
        <f t="shared" si="42"/>
        <v>990</v>
      </c>
      <c r="W127" s="281">
        <f t="shared" si="43"/>
        <v>6.3420884048686746E-2</v>
      </c>
    </row>
    <row r="128" spans="1:23" s="282" customFormat="1" ht="51">
      <c r="A128" s="283" t="s">
        <v>132</v>
      </c>
      <c r="B128" s="284" t="s">
        <v>352</v>
      </c>
      <c r="C128" s="172" t="s">
        <v>353</v>
      </c>
      <c r="D128" s="173" t="s">
        <v>137</v>
      </c>
      <c r="E128" s="77" t="s">
        <v>36</v>
      </c>
      <c r="F128" s="277">
        <f>IFERROR((VLOOKUP(E128,'MEMORANDOS E IPC 2023 Y 2024'!$A$1:$C$20,3,0)),"0")</f>
        <v>44974</v>
      </c>
      <c r="G128" s="285">
        <v>25509</v>
      </c>
      <c r="H128" s="279">
        <f>IF(($F128="0"),$F128,(ROUNDDOWN((G128*(1+(H$4/100))),0)))</f>
        <v>25776</v>
      </c>
      <c r="I128" s="279">
        <f t="shared" ref="I128:U130" si="95">IF(($F128="0"),$F128,(ROUNDDOWN((H128*(1+(I$4/100))),0)))</f>
        <v>25977</v>
      </c>
      <c r="J128" s="279">
        <f t="shared" si="95"/>
        <v>26088</v>
      </c>
      <c r="K128" s="279">
        <f t="shared" si="95"/>
        <v>26166</v>
      </c>
      <c r="L128" s="279">
        <f t="shared" si="95"/>
        <v>26296</v>
      </c>
      <c r="M128" s="279">
        <f t="shared" si="95"/>
        <v>26480</v>
      </c>
      <c r="N128" s="279">
        <f t="shared" si="95"/>
        <v>26622</v>
      </c>
      <c r="O128" s="279">
        <f t="shared" si="95"/>
        <v>26688</v>
      </c>
      <c r="P128" s="279">
        <f t="shared" si="95"/>
        <v>26813</v>
      </c>
      <c r="Q128" s="279">
        <f t="shared" si="95"/>
        <v>26933</v>
      </c>
      <c r="R128" s="279">
        <f t="shared" si="95"/>
        <v>27180</v>
      </c>
      <c r="S128" s="279">
        <f t="shared" si="95"/>
        <v>27476</v>
      </c>
      <c r="T128" s="279">
        <f t="shared" si="95"/>
        <v>27668</v>
      </c>
      <c r="U128" s="279">
        <f t="shared" si="95"/>
        <v>27831</v>
      </c>
      <c r="V128" s="280">
        <f t="shared" si="42"/>
        <v>2322</v>
      </c>
      <c r="W128" s="281">
        <f t="shared" si="43"/>
        <v>9.1026696460072914E-2</v>
      </c>
    </row>
    <row r="129" spans="1:23" s="282" customFormat="1" ht="51">
      <c r="A129" s="283" t="s">
        <v>132</v>
      </c>
      <c r="B129" s="291" t="s">
        <v>354</v>
      </c>
      <c r="C129" s="292" t="s">
        <v>355</v>
      </c>
      <c r="D129" s="173" t="s">
        <v>137</v>
      </c>
      <c r="E129" s="77" t="s">
        <v>36</v>
      </c>
      <c r="F129" s="277">
        <f>IFERROR((VLOOKUP(E129,'MEMORANDOS E IPC 2023 Y 2024'!$A$1:$C$20,3,0)),"0")</f>
        <v>44974</v>
      </c>
      <c r="G129" s="293">
        <v>35918</v>
      </c>
      <c r="H129" s="279">
        <f>IF(($F129="0"),$F129,(ROUNDDOWN((G129*(1+(H$4/100))),0)))</f>
        <v>36295</v>
      </c>
      <c r="I129" s="279">
        <f t="shared" si="95"/>
        <v>36578</v>
      </c>
      <c r="J129" s="279">
        <f t="shared" si="95"/>
        <v>36735</v>
      </c>
      <c r="K129" s="279">
        <f t="shared" si="95"/>
        <v>36845</v>
      </c>
      <c r="L129" s="279">
        <f t="shared" si="95"/>
        <v>37029</v>
      </c>
      <c r="M129" s="279">
        <f t="shared" si="95"/>
        <v>37288</v>
      </c>
      <c r="N129" s="279">
        <f t="shared" si="95"/>
        <v>37489</v>
      </c>
      <c r="O129" s="279">
        <f t="shared" si="95"/>
        <v>37582</v>
      </c>
      <c r="P129" s="279">
        <f t="shared" si="95"/>
        <v>37758</v>
      </c>
      <c r="Q129" s="279">
        <f t="shared" si="95"/>
        <v>37927</v>
      </c>
      <c r="R129" s="279">
        <f t="shared" si="95"/>
        <v>38275</v>
      </c>
      <c r="S129" s="279">
        <f t="shared" si="95"/>
        <v>38692</v>
      </c>
      <c r="T129" s="279">
        <f t="shared" si="95"/>
        <v>38962</v>
      </c>
      <c r="U129" s="279">
        <f t="shared" si="95"/>
        <v>39191</v>
      </c>
      <c r="V129" s="280">
        <f t="shared" si="42"/>
        <v>3273</v>
      </c>
      <c r="W129" s="281">
        <f t="shared" si="43"/>
        <v>9.1124227406871205E-2</v>
      </c>
    </row>
    <row r="130" spans="1:23" s="282" customFormat="1" ht="51">
      <c r="A130" s="283" t="s">
        <v>132</v>
      </c>
      <c r="B130" s="291" t="s">
        <v>356</v>
      </c>
      <c r="C130" s="292" t="s">
        <v>357</v>
      </c>
      <c r="D130" s="173" t="s">
        <v>137</v>
      </c>
      <c r="E130" s="77" t="s">
        <v>58</v>
      </c>
      <c r="F130" s="277">
        <f>IFERROR((VLOOKUP(E130,'MEMORANDOS E IPC 2023 Y 2024'!$A$1:$C$20,3,0)),"0")</f>
        <v>45212</v>
      </c>
      <c r="G130" s="293">
        <v>9725</v>
      </c>
      <c r="H130" s="285">
        <f>G130</f>
        <v>9725</v>
      </c>
      <c r="I130" s="285">
        <f t="shared" ref="I130:O130" si="96">H130</f>
        <v>9725</v>
      </c>
      <c r="J130" s="285">
        <f t="shared" si="96"/>
        <v>9725</v>
      </c>
      <c r="K130" s="285">
        <f t="shared" si="96"/>
        <v>9725</v>
      </c>
      <c r="L130" s="285">
        <f t="shared" si="96"/>
        <v>9725</v>
      </c>
      <c r="M130" s="285">
        <f t="shared" si="96"/>
        <v>9725</v>
      </c>
      <c r="N130" s="285">
        <f t="shared" si="96"/>
        <v>9725</v>
      </c>
      <c r="O130" s="285">
        <f t="shared" si="96"/>
        <v>9725</v>
      </c>
      <c r="P130" s="279">
        <f>IF(($F130="0"),$F130,(ROUNDDOWN((O130*(1+(P$4/100))),0)))</f>
        <v>9770</v>
      </c>
      <c r="Q130" s="279">
        <f t="shared" si="95"/>
        <v>9813</v>
      </c>
      <c r="R130" s="279">
        <f t="shared" si="95"/>
        <v>9903</v>
      </c>
      <c r="S130" s="279">
        <f t="shared" si="95"/>
        <v>10010</v>
      </c>
      <c r="T130" s="279">
        <f t="shared" si="95"/>
        <v>10080</v>
      </c>
      <c r="U130" s="279">
        <f t="shared" si="95"/>
        <v>10139</v>
      </c>
      <c r="V130" s="280">
        <f t="shared" si="42"/>
        <v>414</v>
      </c>
      <c r="W130" s="281">
        <f t="shared" si="43"/>
        <v>4.2570694087403597E-2</v>
      </c>
    </row>
    <row r="131" spans="1:23" s="282" customFormat="1" ht="51">
      <c r="A131" s="283" t="s">
        <v>132</v>
      </c>
      <c r="B131" s="291" t="s">
        <v>358</v>
      </c>
      <c r="C131" s="292" t="s">
        <v>359</v>
      </c>
      <c r="D131" s="173" t="s">
        <v>137</v>
      </c>
      <c r="E131" s="77" t="s">
        <v>36</v>
      </c>
      <c r="F131" s="277">
        <f>IFERROR((VLOOKUP(E131,'MEMORANDOS E IPC 2023 Y 2024'!$A$1:$C$20,3,0)),"0")</f>
        <v>44974</v>
      </c>
      <c r="G131" s="293">
        <v>35928</v>
      </c>
      <c r="H131" s="279">
        <f>IF(($F131="0"),$F131,(ROUNDDOWN((G131*(1+(H$4/100))),0)))</f>
        <v>36305</v>
      </c>
      <c r="I131" s="279">
        <f t="shared" ref="I131:U134" si="97">IF(($F131="0"),$F131,(ROUNDDOWN((H131*(1+(I$4/100))),0)))</f>
        <v>36588</v>
      </c>
      <c r="J131" s="279">
        <f t="shared" si="97"/>
        <v>36745</v>
      </c>
      <c r="K131" s="279">
        <f t="shared" si="97"/>
        <v>36855</v>
      </c>
      <c r="L131" s="279">
        <f t="shared" si="97"/>
        <v>37039</v>
      </c>
      <c r="M131" s="279">
        <f t="shared" si="97"/>
        <v>37298</v>
      </c>
      <c r="N131" s="279">
        <f t="shared" si="97"/>
        <v>37499</v>
      </c>
      <c r="O131" s="279">
        <f t="shared" si="97"/>
        <v>37592</v>
      </c>
      <c r="P131" s="279">
        <f t="shared" si="97"/>
        <v>37768</v>
      </c>
      <c r="Q131" s="279">
        <f t="shared" si="97"/>
        <v>37937</v>
      </c>
      <c r="R131" s="279">
        <f t="shared" si="97"/>
        <v>38286</v>
      </c>
      <c r="S131" s="279">
        <f t="shared" si="97"/>
        <v>38703</v>
      </c>
      <c r="T131" s="279">
        <f t="shared" si="97"/>
        <v>38973</v>
      </c>
      <c r="U131" s="279">
        <f t="shared" si="97"/>
        <v>39202</v>
      </c>
      <c r="V131" s="280">
        <f t="shared" si="42"/>
        <v>3274</v>
      </c>
      <c r="W131" s="281">
        <f t="shared" si="43"/>
        <v>9.1126697840124699E-2</v>
      </c>
    </row>
    <row r="132" spans="1:23" s="282" customFormat="1" ht="51">
      <c r="A132" s="283" t="s">
        <v>132</v>
      </c>
      <c r="B132" s="291" t="s">
        <v>360</v>
      </c>
      <c r="C132" s="292" t="s">
        <v>361</v>
      </c>
      <c r="D132" s="173" t="s">
        <v>137</v>
      </c>
      <c r="E132" s="77" t="s">
        <v>44</v>
      </c>
      <c r="F132" s="277">
        <f>IFERROR((VLOOKUP(E132,'MEMORANDOS E IPC 2023 Y 2024'!$A$1:$C$20,3,0)),"0")</f>
        <v>45100</v>
      </c>
      <c r="G132" s="293">
        <v>8811</v>
      </c>
      <c r="H132" s="278">
        <f>G132</f>
        <v>8811</v>
      </c>
      <c r="I132" s="278">
        <f t="shared" ref="I132:L134" si="98">H132</f>
        <v>8811</v>
      </c>
      <c r="J132" s="278">
        <f t="shared" si="98"/>
        <v>8811</v>
      </c>
      <c r="K132" s="278">
        <f t="shared" si="98"/>
        <v>8811</v>
      </c>
      <c r="L132" s="279">
        <f t="shared" si="97"/>
        <v>8855</v>
      </c>
      <c r="M132" s="279">
        <f t="shared" si="97"/>
        <v>8916</v>
      </c>
      <c r="N132" s="279">
        <f t="shared" si="97"/>
        <v>8964</v>
      </c>
      <c r="O132" s="279">
        <f t="shared" si="97"/>
        <v>8986</v>
      </c>
      <c r="P132" s="279">
        <f t="shared" si="97"/>
        <v>9028</v>
      </c>
      <c r="Q132" s="279">
        <f t="shared" si="97"/>
        <v>9068</v>
      </c>
      <c r="R132" s="279">
        <f t="shared" si="97"/>
        <v>9151</v>
      </c>
      <c r="S132" s="279">
        <f t="shared" si="97"/>
        <v>9250</v>
      </c>
      <c r="T132" s="279">
        <f t="shared" si="97"/>
        <v>9314</v>
      </c>
      <c r="U132" s="279">
        <f t="shared" si="97"/>
        <v>9368</v>
      </c>
      <c r="V132" s="280">
        <f t="shared" si="42"/>
        <v>557</v>
      </c>
      <c r="W132" s="281">
        <f t="shared" si="43"/>
        <v>6.3216434002950864E-2</v>
      </c>
    </row>
    <row r="133" spans="1:23" s="282" customFormat="1" ht="153">
      <c r="A133" s="283" t="s">
        <v>132</v>
      </c>
      <c r="B133" s="132" t="s">
        <v>362</v>
      </c>
      <c r="C133" s="133" t="s">
        <v>363</v>
      </c>
      <c r="D133" s="78" t="s">
        <v>137</v>
      </c>
      <c r="E133" s="134" t="s">
        <v>44</v>
      </c>
      <c r="F133" s="277">
        <f>IFERROR((VLOOKUP(E133,'MEMORANDOS E IPC 2023 Y 2024'!$A$1:$C$20,3,0)),"0")</f>
        <v>45100</v>
      </c>
      <c r="G133" s="287">
        <v>9327325</v>
      </c>
      <c r="H133" s="278">
        <f>G133</f>
        <v>9327325</v>
      </c>
      <c r="I133" s="278">
        <f t="shared" si="98"/>
        <v>9327325</v>
      </c>
      <c r="J133" s="278">
        <f t="shared" si="98"/>
        <v>9327325</v>
      </c>
      <c r="K133" s="278">
        <f t="shared" si="98"/>
        <v>9327325</v>
      </c>
      <c r="L133" s="279">
        <f t="shared" si="97"/>
        <v>9373961</v>
      </c>
      <c r="M133" s="279">
        <f t="shared" si="97"/>
        <v>9439578</v>
      </c>
      <c r="N133" s="279">
        <f t="shared" si="97"/>
        <v>9490551</v>
      </c>
      <c r="O133" s="279">
        <f t="shared" si="97"/>
        <v>9514277</v>
      </c>
      <c r="P133" s="279">
        <f t="shared" si="97"/>
        <v>9558994</v>
      </c>
      <c r="Q133" s="279">
        <f t="shared" si="97"/>
        <v>9602009</v>
      </c>
      <c r="R133" s="279">
        <f t="shared" si="97"/>
        <v>9690347</v>
      </c>
      <c r="S133" s="279">
        <f t="shared" si="97"/>
        <v>9795971</v>
      </c>
      <c r="T133" s="279">
        <f t="shared" si="97"/>
        <v>9864542</v>
      </c>
      <c r="U133" s="279">
        <f t="shared" si="97"/>
        <v>9922742</v>
      </c>
      <c r="V133" s="280">
        <f t="shared" si="42"/>
        <v>595417</v>
      </c>
      <c r="W133" s="281">
        <f t="shared" si="43"/>
        <v>6.3835772850200895E-2</v>
      </c>
    </row>
    <row r="134" spans="1:23" s="282" customFormat="1" ht="51">
      <c r="A134" s="283" t="s">
        <v>132</v>
      </c>
      <c r="B134" s="291" t="s">
        <v>364</v>
      </c>
      <c r="C134" s="292" t="s">
        <v>365</v>
      </c>
      <c r="D134" s="173" t="s">
        <v>137</v>
      </c>
      <c r="E134" s="77" t="s">
        <v>46</v>
      </c>
      <c r="F134" s="277">
        <f>IFERROR((VLOOKUP(E134,'MEMORANDOS E IPC 2023 Y 2024'!$A$1:$C$20,3,0)),"0")</f>
        <v>45117</v>
      </c>
      <c r="G134" s="293">
        <v>445060</v>
      </c>
      <c r="H134" s="285">
        <f>G134</f>
        <v>445060</v>
      </c>
      <c r="I134" s="285">
        <f t="shared" si="98"/>
        <v>445060</v>
      </c>
      <c r="J134" s="285">
        <f t="shared" si="98"/>
        <v>445060</v>
      </c>
      <c r="K134" s="285">
        <f t="shared" si="98"/>
        <v>445060</v>
      </c>
      <c r="L134" s="285">
        <f t="shared" si="98"/>
        <v>445060</v>
      </c>
      <c r="M134" s="279">
        <f>IF(($F134="0"),$F134,(ROUNDDOWN((L134*(1+(M$4/100))),0)))</f>
        <v>448175</v>
      </c>
      <c r="N134" s="279">
        <f t="shared" si="97"/>
        <v>450595</v>
      </c>
      <c r="O134" s="279">
        <f t="shared" si="97"/>
        <v>451721</v>
      </c>
      <c r="P134" s="279">
        <f t="shared" si="97"/>
        <v>453844</v>
      </c>
      <c r="Q134" s="279">
        <f t="shared" si="97"/>
        <v>455886</v>
      </c>
      <c r="R134" s="279">
        <f t="shared" si="97"/>
        <v>460080</v>
      </c>
      <c r="S134" s="279">
        <f t="shared" si="97"/>
        <v>465094</v>
      </c>
      <c r="T134" s="279">
        <f t="shared" si="97"/>
        <v>468349</v>
      </c>
      <c r="U134" s="279">
        <f t="shared" si="97"/>
        <v>471112</v>
      </c>
      <c r="V134" s="280">
        <f t="shared" si="42"/>
        <v>26052</v>
      </c>
      <c r="W134" s="281">
        <f t="shared" si="43"/>
        <v>5.8535927740079992E-2</v>
      </c>
    </row>
    <row r="135" spans="1:23" s="282" customFormat="1" ht="51">
      <c r="A135" s="283" t="s">
        <v>132</v>
      </c>
      <c r="B135" s="291" t="s">
        <v>366</v>
      </c>
      <c r="C135" s="292" t="s">
        <v>367</v>
      </c>
      <c r="D135" s="173" t="s">
        <v>137</v>
      </c>
      <c r="E135" s="77" t="s">
        <v>36</v>
      </c>
      <c r="F135" s="277">
        <f>IFERROR((VLOOKUP(E135,'MEMORANDOS E IPC 2023 Y 2024'!$A$1:$C$20,3,0)),"0")</f>
        <v>44974</v>
      </c>
      <c r="G135" s="293">
        <v>5142</v>
      </c>
      <c r="H135" s="279">
        <f>IF(($F135="0"),$F135,(ROUNDDOWN((G135*(1+(H$4/100))),0)))</f>
        <v>5195</v>
      </c>
      <c r="I135" s="279">
        <f t="shared" ref="I135:U138" si="99">IF(($F135="0"),$F135,(ROUNDDOWN((H135*(1+(I$4/100))),0)))</f>
        <v>5235</v>
      </c>
      <c r="J135" s="279">
        <f t="shared" si="99"/>
        <v>5257</v>
      </c>
      <c r="K135" s="279">
        <f t="shared" si="99"/>
        <v>5272</v>
      </c>
      <c r="L135" s="279">
        <f t="shared" si="99"/>
        <v>5298</v>
      </c>
      <c r="M135" s="279">
        <f t="shared" si="99"/>
        <v>5335</v>
      </c>
      <c r="N135" s="279">
        <f t="shared" si="99"/>
        <v>5363</v>
      </c>
      <c r="O135" s="279">
        <f t="shared" si="99"/>
        <v>5376</v>
      </c>
      <c r="P135" s="279">
        <f t="shared" si="99"/>
        <v>5401</v>
      </c>
      <c r="Q135" s="279">
        <f t="shared" si="99"/>
        <v>5425</v>
      </c>
      <c r="R135" s="279">
        <f t="shared" si="99"/>
        <v>5474</v>
      </c>
      <c r="S135" s="279">
        <f t="shared" si="99"/>
        <v>5533</v>
      </c>
      <c r="T135" s="279">
        <f t="shared" si="99"/>
        <v>5571</v>
      </c>
      <c r="U135" s="279">
        <f t="shared" si="99"/>
        <v>5603</v>
      </c>
      <c r="V135" s="280">
        <f t="shared" si="42"/>
        <v>461</v>
      </c>
      <c r="W135" s="281">
        <f t="shared" si="43"/>
        <v>8.9653831194087902E-2</v>
      </c>
    </row>
    <row r="136" spans="1:23" s="282" customFormat="1" ht="51">
      <c r="A136" s="283" t="s">
        <v>132</v>
      </c>
      <c r="B136" s="291" t="s">
        <v>368</v>
      </c>
      <c r="C136" s="292" t="s">
        <v>369</v>
      </c>
      <c r="D136" s="173" t="s">
        <v>137</v>
      </c>
      <c r="E136" s="77" t="s">
        <v>36</v>
      </c>
      <c r="F136" s="277">
        <f>IFERROR((VLOOKUP(E136,'MEMORANDOS E IPC 2023 Y 2024'!$A$1:$C$20,3,0)),"0")</f>
        <v>44974</v>
      </c>
      <c r="G136" s="293">
        <v>4103120</v>
      </c>
      <c r="H136" s="279">
        <f>IF(($F136="0"),$F136,(ROUNDDOWN((G136*(1+(H$4/100))),0)))</f>
        <v>4146202</v>
      </c>
      <c r="I136" s="279">
        <f t="shared" si="99"/>
        <v>4178542</v>
      </c>
      <c r="J136" s="279">
        <f t="shared" si="99"/>
        <v>4196509</v>
      </c>
      <c r="K136" s="279">
        <f t="shared" si="99"/>
        <v>4209098</v>
      </c>
      <c r="L136" s="279">
        <f t="shared" si="99"/>
        <v>4230143</v>
      </c>
      <c r="M136" s="279">
        <f t="shared" si="99"/>
        <v>4259754</v>
      </c>
      <c r="N136" s="279">
        <f t="shared" si="99"/>
        <v>4282756</v>
      </c>
      <c r="O136" s="279">
        <f t="shared" si="99"/>
        <v>4293462</v>
      </c>
      <c r="P136" s="279">
        <f t="shared" si="99"/>
        <v>4313641</v>
      </c>
      <c r="Q136" s="279">
        <f t="shared" si="99"/>
        <v>4333052</v>
      </c>
      <c r="R136" s="279">
        <f t="shared" si="99"/>
        <v>4372916</v>
      </c>
      <c r="S136" s="279">
        <f t="shared" si="99"/>
        <v>4420580</v>
      </c>
      <c r="T136" s="279">
        <f t="shared" si="99"/>
        <v>4451524</v>
      </c>
      <c r="U136" s="279">
        <f t="shared" si="99"/>
        <v>4477787</v>
      </c>
      <c r="V136" s="280">
        <f t="shared" ref="V136:V199" si="100">U136-G136</f>
        <v>374667</v>
      </c>
      <c r="W136" s="281">
        <f t="shared" ref="W136:W199" si="101">V136/G136</f>
        <v>9.1312708378014779E-2</v>
      </c>
    </row>
    <row r="137" spans="1:23" s="282" customFormat="1" ht="63.75">
      <c r="A137" s="283" t="s">
        <v>132</v>
      </c>
      <c r="B137" s="291" t="s">
        <v>370</v>
      </c>
      <c r="C137" s="292" t="s">
        <v>371</v>
      </c>
      <c r="D137" s="173" t="s">
        <v>137</v>
      </c>
      <c r="E137" s="77" t="s">
        <v>36</v>
      </c>
      <c r="F137" s="277">
        <f>IFERROR((VLOOKUP(E137,'MEMORANDOS E IPC 2023 Y 2024'!$A$1:$C$20,3,0)),"0")</f>
        <v>44974</v>
      </c>
      <c r="G137" s="293">
        <v>36101</v>
      </c>
      <c r="H137" s="279">
        <f>IF(($F137="0"),$F137,(ROUNDDOWN((G137*(1+(H$4/100))),0)))</f>
        <v>36480</v>
      </c>
      <c r="I137" s="279">
        <f t="shared" si="99"/>
        <v>36764</v>
      </c>
      <c r="J137" s="279">
        <f t="shared" si="99"/>
        <v>36922</v>
      </c>
      <c r="K137" s="279">
        <f t="shared" si="99"/>
        <v>37032</v>
      </c>
      <c r="L137" s="279">
        <f t="shared" si="99"/>
        <v>37217</v>
      </c>
      <c r="M137" s="279">
        <f t="shared" si="99"/>
        <v>37477</v>
      </c>
      <c r="N137" s="279">
        <f t="shared" si="99"/>
        <v>37679</v>
      </c>
      <c r="O137" s="279">
        <f t="shared" si="99"/>
        <v>37773</v>
      </c>
      <c r="P137" s="279">
        <f t="shared" si="99"/>
        <v>37950</v>
      </c>
      <c r="Q137" s="279">
        <f t="shared" si="99"/>
        <v>38120</v>
      </c>
      <c r="R137" s="279">
        <f t="shared" si="99"/>
        <v>38470</v>
      </c>
      <c r="S137" s="279">
        <f t="shared" si="99"/>
        <v>38889</v>
      </c>
      <c r="T137" s="279">
        <f t="shared" si="99"/>
        <v>39161</v>
      </c>
      <c r="U137" s="279">
        <f t="shared" si="99"/>
        <v>39392</v>
      </c>
      <c r="V137" s="280">
        <f t="shared" si="100"/>
        <v>3291</v>
      </c>
      <c r="W137" s="281">
        <f t="shared" si="101"/>
        <v>9.1160909670092244E-2</v>
      </c>
    </row>
    <row r="138" spans="1:23" s="282" customFormat="1" ht="51">
      <c r="A138" s="283" t="s">
        <v>132</v>
      </c>
      <c r="B138" s="291" t="s">
        <v>372</v>
      </c>
      <c r="C138" s="292" t="s">
        <v>373</v>
      </c>
      <c r="D138" s="173" t="s">
        <v>137</v>
      </c>
      <c r="E138" s="77" t="s">
        <v>44</v>
      </c>
      <c r="F138" s="277">
        <f>IFERROR((VLOOKUP(E138,'MEMORANDOS E IPC 2023 Y 2024'!$A$1:$C$20,3,0)),"0")</f>
        <v>45100</v>
      </c>
      <c r="G138" s="293">
        <v>31883</v>
      </c>
      <c r="H138" s="278">
        <f>G138</f>
        <v>31883</v>
      </c>
      <c r="I138" s="278">
        <f t="shared" ref="I138:K138" si="102">H138</f>
        <v>31883</v>
      </c>
      <c r="J138" s="278">
        <f t="shared" si="102"/>
        <v>31883</v>
      </c>
      <c r="K138" s="278">
        <f t="shared" si="102"/>
        <v>31883</v>
      </c>
      <c r="L138" s="279">
        <f>IF(($F138="0"),$F138,(ROUNDDOWN((K138*(1+(L$4/100))),0)))</f>
        <v>32042</v>
      </c>
      <c r="M138" s="279">
        <f t="shared" si="99"/>
        <v>32266</v>
      </c>
      <c r="N138" s="279">
        <f t="shared" si="99"/>
        <v>32440</v>
      </c>
      <c r="O138" s="279">
        <f t="shared" si="99"/>
        <v>32521</v>
      </c>
      <c r="P138" s="279">
        <f t="shared" si="99"/>
        <v>32673</v>
      </c>
      <c r="Q138" s="279">
        <f t="shared" si="99"/>
        <v>32820</v>
      </c>
      <c r="R138" s="279">
        <f t="shared" si="99"/>
        <v>33121</v>
      </c>
      <c r="S138" s="279">
        <f t="shared" si="99"/>
        <v>33482</v>
      </c>
      <c r="T138" s="279">
        <f t="shared" si="99"/>
        <v>33716</v>
      </c>
      <c r="U138" s="279">
        <f t="shared" si="99"/>
        <v>33914</v>
      </c>
      <c r="V138" s="280">
        <f t="shared" si="100"/>
        <v>2031</v>
      </c>
      <c r="W138" s="281">
        <f t="shared" si="101"/>
        <v>6.3701659191418625E-2</v>
      </c>
    </row>
    <row r="139" spans="1:23" s="282" customFormat="1" ht="51">
      <c r="A139" s="283" t="s">
        <v>132</v>
      </c>
      <c r="B139" s="291" t="s">
        <v>374</v>
      </c>
      <c r="C139" s="292" t="s">
        <v>375</v>
      </c>
      <c r="D139" s="173" t="s">
        <v>137</v>
      </c>
      <c r="E139" s="77" t="s">
        <v>36</v>
      </c>
      <c r="F139" s="277">
        <f>IFERROR((VLOOKUP(E139,'MEMORANDOS E IPC 2023 Y 2024'!$A$1:$C$20,3,0)),"0")</f>
        <v>44974</v>
      </c>
      <c r="G139" s="293">
        <v>49022</v>
      </c>
      <c r="H139" s="279">
        <f>IF(($F139="0"),$F139,(ROUNDDOWN((G139*(1+(H$4/100))),0)))</f>
        <v>49536</v>
      </c>
      <c r="I139" s="279">
        <f t="shared" ref="I139:U139" si="103">IF(($F139="0"),$F139,(ROUNDDOWN((H139*(1+(I$4/100))),0)))</f>
        <v>49922</v>
      </c>
      <c r="J139" s="279">
        <f t="shared" si="103"/>
        <v>50136</v>
      </c>
      <c r="K139" s="279">
        <f t="shared" si="103"/>
        <v>50286</v>
      </c>
      <c r="L139" s="279">
        <f t="shared" si="103"/>
        <v>50537</v>
      </c>
      <c r="M139" s="279">
        <f t="shared" si="103"/>
        <v>50890</v>
      </c>
      <c r="N139" s="279">
        <f t="shared" si="103"/>
        <v>51164</v>
      </c>
      <c r="O139" s="279">
        <f t="shared" si="103"/>
        <v>51291</v>
      </c>
      <c r="P139" s="279">
        <f t="shared" si="103"/>
        <v>51532</v>
      </c>
      <c r="Q139" s="279">
        <f t="shared" si="103"/>
        <v>51763</v>
      </c>
      <c r="R139" s="279">
        <f t="shared" si="103"/>
        <v>52239</v>
      </c>
      <c r="S139" s="279">
        <f t="shared" si="103"/>
        <v>52808</v>
      </c>
      <c r="T139" s="279">
        <f t="shared" si="103"/>
        <v>53177</v>
      </c>
      <c r="U139" s="279">
        <f t="shared" si="103"/>
        <v>53490</v>
      </c>
      <c r="V139" s="280">
        <f t="shared" si="100"/>
        <v>4468</v>
      </c>
      <c r="W139" s="281">
        <f t="shared" si="101"/>
        <v>9.1142752233690991E-2</v>
      </c>
    </row>
    <row r="140" spans="1:23" s="282" customFormat="1" ht="51">
      <c r="A140" s="283" t="s">
        <v>132</v>
      </c>
      <c r="B140" s="291" t="s">
        <v>376</v>
      </c>
      <c r="C140" s="292" t="s">
        <v>377</v>
      </c>
      <c r="D140" s="173" t="s">
        <v>137</v>
      </c>
      <c r="E140" s="77" t="s">
        <v>109</v>
      </c>
      <c r="F140" s="277" t="str">
        <f>IFERROR((VLOOKUP(E140,'MEMORANDOS E IPC 2023 Y 2024'!$A$1:$C$20,3,0)),"0")</f>
        <v>0</v>
      </c>
      <c r="G140" s="293">
        <v>410110</v>
      </c>
      <c r="H140" s="279">
        <f>IF(($F140="0"),$G140,(ROUNDDOWN((G140*(1+(H$4/100))),0)))</f>
        <v>410110</v>
      </c>
      <c r="I140" s="279">
        <f t="shared" ref="I140:U140" si="104">IF(($F140="0"),$G140,(ROUNDDOWN((H140*(1+(I$4/100))),0)))</f>
        <v>410110</v>
      </c>
      <c r="J140" s="279">
        <f t="shared" si="104"/>
        <v>410110</v>
      </c>
      <c r="K140" s="279">
        <f t="shared" si="104"/>
        <v>410110</v>
      </c>
      <c r="L140" s="279">
        <f t="shared" si="104"/>
        <v>410110</v>
      </c>
      <c r="M140" s="279">
        <f t="shared" si="104"/>
        <v>410110</v>
      </c>
      <c r="N140" s="279">
        <f t="shared" si="104"/>
        <v>410110</v>
      </c>
      <c r="O140" s="279">
        <f t="shared" si="104"/>
        <v>410110</v>
      </c>
      <c r="P140" s="279">
        <f t="shared" si="104"/>
        <v>410110</v>
      </c>
      <c r="Q140" s="279">
        <f t="shared" si="104"/>
        <v>410110</v>
      </c>
      <c r="R140" s="279">
        <f t="shared" si="104"/>
        <v>410110</v>
      </c>
      <c r="S140" s="279">
        <f t="shared" si="104"/>
        <v>410110</v>
      </c>
      <c r="T140" s="279">
        <f t="shared" si="104"/>
        <v>410110</v>
      </c>
      <c r="U140" s="279">
        <f t="shared" si="104"/>
        <v>410110</v>
      </c>
      <c r="V140" s="280">
        <f t="shared" si="100"/>
        <v>0</v>
      </c>
      <c r="W140" s="281">
        <f t="shared" si="101"/>
        <v>0</v>
      </c>
    </row>
    <row r="141" spans="1:23" s="282" customFormat="1" ht="51">
      <c r="A141" s="283" t="s">
        <v>132</v>
      </c>
      <c r="B141" s="291" t="s">
        <v>378</v>
      </c>
      <c r="C141" s="292" t="s">
        <v>379</v>
      </c>
      <c r="D141" s="173" t="s">
        <v>137</v>
      </c>
      <c r="E141" s="77" t="s">
        <v>46</v>
      </c>
      <c r="F141" s="277">
        <f>IFERROR((VLOOKUP(E141,'MEMORANDOS E IPC 2023 Y 2024'!$A$1:$C$20,3,0)),"0")</f>
        <v>45117</v>
      </c>
      <c r="G141" s="293">
        <v>444212</v>
      </c>
      <c r="H141" s="285">
        <f t="shared" ref="H141:O146" si="105">G141</f>
        <v>444212</v>
      </c>
      <c r="I141" s="285">
        <f t="shared" si="105"/>
        <v>444212</v>
      </c>
      <c r="J141" s="285">
        <f t="shared" si="105"/>
        <v>444212</v>
      </c>
      <c r="K141" s="285">
        <f t="shared" si="105"/>
        <v>444212</v>
      </c>
      <c r="L141" s="285">
        <f t="shared" si="105"/>
        <v>444212</v>
      </c>
      <c r="M141" s="279">
        <f>IF(($F141="0"),$F141,(ROUNDDOWN((L141*(1+(M$4/100))),0)))</f>
        <v>447321</v>
      </c>
      <c r="N141" s="279">
        <f t="shared" ref="N141:U141" si="106">IF(($F141="0"),$F141,(ROUNDDOWN((M141*(1+(N$4/100))),0)))</f>
        <v>449736</v>
      </c>
      <c r="O141" s="279">
        <f t="shared" si="106"/>
        <v>450860</v>
      </c>
      <c r="P141" s="279">
        <f t="shared" si="106"/>
        <v>452979</v>
      </c>
      <c r="Q141" s="279">
        <f t="shared" si="106"/>
        <v>455017</v>
      </c>
      <c r="R141" s="279">
        <f t="shared" si="106"/>
        <v>459203</v>
      </c>
      <c r="S141" s="279">
        <f t="shared" si="106"/>
        <v>464208</v>
      </c>
      <c r="T141" s="279">
        <f t="shared" si="106"/>
        <v>467457</v>
      </c>
      <c r="U141" s="279">
        <f t="shared" si="106"/>
        <v>470214</v>
      </c>
      <c r="V141" s="280">
        <f t="shared" si="100"/>
        <v>26002</v>
      </c>
      <c r="W141" s="281">
        <f t="shared" si="101"/>
        <v>5.853511386455116E-2</v>
      </c>
    </row>
    <row r="142" spans="1:23" s="282" customFormat="1" ht="51">
      <c r="A142" s="283" t="s">
        <v>132</v>
      </c>
      <c r="B142" s="291" t="s">
        <v>380</v>
      </c>
      <c r="C142" s="292" t="s">
        <v>381</v>
      </c>
      <c r="D142" s="173" t="s">
        <v>137</v>
      </c>
      <c r="E142" s="77" t="s">
        <v>44</v>
      </c>
      <c r="F142" s="277">
        <f>IFERROR((VLOOKUP(E142,'MEMORANDOS E IPC 2023 Y 2024'!$A$1:$C$20,3,0)),"0")</f>
        <v>45100</v>
      </c>
      <c r="G142" s="293">
        <v>180417</v>
      </c>
      <c r="H142" s="278">
        <f t="shared" si="105"/>
        <v>180417</v>
      </c>
      <c r="I142" s="278">
        <f t="shared" si="105"/>
        <v>180417</v>
      </c>
      <c r="J142" s="278">
        <f t="shared" si="105"/>
        <v>180417</v>
      </c>
      <c r="K142" s="278">
        <f t="shared" si="105"/>
        <v>180417</v>
      </c>
      <c r="L142" s="279">
        <f t="shared" ref="L142:U143" si="107">IF(($F142="0"),$F142,(ROUNDDOWN((K142*(1+(L$4/100))),0)))</f>
        <v>181319</v>
      </c>
      <c r="M142" s="279">
        <f t="shared" si="107"/>
        <v>182588</v>
      </c>
      <c r="N142" s="279">
        <f t="shared" si="107"/>
        <v>183573</v>
      </c>
      <c r="O142" s="279">
        <f t="shared" si="107"/>
        <v>184031</v>
      </c>
      <c r="P142" s="279">
        <f t="shared" si="107"/>
        <v>184895</v>
      </c>
      <c r="Q142" s="279">
        <f t="shared" si="107"/>
        <v>185727</v>
      </c>
      <c r="R142" s="279">
        <f t="shared" si="107"/>
        <v>187435</v>
      </c>
      <c r="S142" s="279">
        <f t="shared" si="107"/>
        <v>189478</v>
      </c>
      <c r="T142" s="279">
        <f t="shared" si="107"/>
        <v>190804</v>
      </c>
      <c r="U142" s="279">
        <f t="shared" si="107"/>
        <v>191929</v>
      </c>
      <c r="V142" s="280">
        <f t="shared" si="100"/>
        <v>11512</v>
      </c>
      <c r="W142" s="281">
        <f t="shared" si="101"/>
        <v>6.3807734304416996E-2</v>
      </c>
    </row>
    <row r="143" spans="1:23" s="282" customFormat="1" ht="38.25">
      <c r="A143" s="283" t="s">
        <v>132</v>
      </c>
      <c r="B143" s="291" t="s">
        <v>382</v>
      </c>
      <c r="C143" s="133" t="s">
        <v>383</v>
      </c>
      <c r="D143" s="78" t="s">
        <v>108</v>
      </c>
      <c r="E143" s="151" t="s">
        <v>44</v>
      </c>
      <c r="F143" s="277">
        <f>IFERROR((VLOOKUP(E143,'MEMORANDOS E IPC 2023 Y 2024'!$A$1:$C$20,3,0)),"0")</f>
        <v>45100</v>
      </c>
      <c r="G143" s="294">
        <v>307967</v>
      </c>
      <c r="H143" s="278">
        <f t="shared" si="105"/>
        <v>307967</v>
      </c>
      <c r="I143" s="278">
        <f t="shared" si="105"/>
        <v>307967</v>
      </c>
      <c r="J143" s="278">
        <f t="shared" si="105"/>
        <v>307967</v>
      </c>
      <c r="K143" s="278">
        <f t="shared" si="105"/>
        <v>307967</v>
      </c>
      <c r="L143" s="279">
        <f t="shared" si="107"/>
        <v>309506</v>
      </c>
      <c r="M143" s="279">
        <f t="shared" si="107"/>
        <v>311672</v>
      </c>
      <c r="N143" s="279">
        <f t="shared" si="107"/>
        <v>313355</v>
      </c>
      <c r="O143" s="279">
        <f t="shared" si="107"/>
        <v>314138</v>
      </c>
      <c r="P143" s="279">
        <f t="shared" si="107"/>
        <v>315614</v>
      </c>
      <c r="Q143" s="279">
        <f t="shared" si="107"/>
        <v>317034</v>
      </c>
      <c r="R143" s="279">
        <f t="shared" si="107"/>
        <v>319950</v>
      </c>
      <c r="S143" s="279">
        <f t="shared" si="107"/>
        <v>323437</v>
      </c>
      <c r="T143" s="279">
        <f t="shared" si="107"/>
        <v>325701</v>
      </c>
      <c r="U143" s="279">
        <f t="shared" si="107"/>
        <v>327622</v>
      </c>
      <c r="V143" s="280">
        <f t="shared" si="100"/>
        <v>19655</v>
      </c>
      <c r="W143" s="281">
        <f t="shared" si="101"/>
        <v>6.3821773112054211E-2</v>
      </c>
    </row>
    <row r="144" spans="1:23" s="282" customFormat="1">
      <c r="A144" s="283" t="s">
        <v>132</v>
      </c>
      <c r="B144" s="291" t="s">
        <v>384</v>
      </c>
      <c r="C144" s="133" t="s">
        <v>385</v>
      </c>
      <c r="D144" s="78" t="s">
        <v>108</v>
      </c>
      <c r="E144" s="134" t="s">
        <v>38</v>
      </c>
      <c r="F144" s="277">
        <f>IFERROR((VLOOKUP(E144,'MEMORANDOS E IPC 2023 Y 2024'!$A$1:$C$20,3,0)),"0")</f>
        <v>45002</v>
      </c>
      <c r="G144" s="287">
        <v>143813</v>
      </c>
      <c r="H144" s="278">
        <f t="shared" si="105"/>
        <v>143813</v>
      </c>
      <c r="I144" s="279">
        <f>IF(($F144="0"),$F144,(ROUNDDOWN((H144*(1+(I$4/100))),0)))</f>
        <v>144934</v>
      </c>
      <c r="J144" s="279">
        <f t="shared" ref="J144:U145" si="108">IF(($F144="0"),$F144,(ROUNDDOWN((I144*(1+(J$4/100))),0)))</f>
        <v>145557</v>
      </c>
      <c r="K144" s="279">
        <f t="shared" si="108"/>
        <v>145993</v>
      </c>
      <c r="L144" s="279">
        <f t="shared" si="108"/>
        <v>146722</v>
      </c>
      <c r="M144" s="279">
        <f t="shared" si="108"/>
        <v>147749</v>
      </c>
      <c r="N144" s="279">
        <f t="shared" si="108"/>
        <v>148546</v>
      </c>
      <c r="O144" s="279">
        <f t="shared" si="108"/>
        <v>148917</v>
      </c>
      <c r="P144" s="279">
        <f t="shared" si="108"/>
        <v>149616</v>
      </c>
      <c r="Q144" s="279">
        <f t="shared" si="108"/>
        <v>150289</v>
      </c>
      <c r="R144" s="279">
        <f t="shared" si="108"/>
        <v>151671</v>
      </c>
      <c r="S144" s="279">
        <f t="shared" si="108"/>
        <v>153324</v>
      </c>
      <c r="T144" s="279">
        <f t="shared" si="108"/>
        <v>154397</v>
      </c>
      <c r="U144" s="279">
        <f t="shared" si="108"/>
        <v>155307</v>
      </c>
      <c r="V144" s="280">
        <f t="shared" si="100"/>
        <v>11494</v>
      </c>
      <c r="W144" s="281">
        <f t="shared" si="101"/>
        <v>7.992323364369007E-2</v>
      </c>
    </row>
    <row r="145" spans="1:23" s="282" customFormat="1" ht="76.5">
      <c r="A145" s="283" t="s">
        <v>132</v>
      </c>
      <c r="B145" s="291" t="s">
        <v>386</v>
      </c>
      <c r="C145" s="292" t="s">
        <v>387</v>
      </c>
      <c r="D145" s="173" t="s">
        <v>137</v>
      </c>
      <c r="E145" s="77" t="s">
        <v>56</v>
      </c>
      <c r="F145" s="277">
        <f>IFERROR((VLOOKUP(E145,'MEMORANDOS E IPC 2023 Y 2024'!$A$1:$C$20,3,0)),"0")</f>
        <v>45212</v>
      </c>
      <c r="G145" s="293">
        <v>98300</v>
      </c>
      <c r="H145" s="285">
        <f t="shared" si="105"/>
        <v>98300</v>
      </c>
      <c r="I145" s="285">
        <f t="shared" si="105"/>
        <v>98300</v>
      </c>
      <c r="J145" s="285">
        <f t="shared" si="105"/>
        <v>98300</v>
      </c>
      <c r="K145" s="285">
        <f t="shared" si="105"/>
        <v>98300</v>
      </c>
      <c r="L145" s="285">
        <f t="shared" si="105"/>
        <v>98300</v>
      </c>
      <c r="M145" s="285">
        <f t="shared" si="105"/>
        <v>98300</v>
      </c>
      <c r="N145" s="285">
        <f t="shared" si="105"/>
        <v>98300</v>
      </c>
      <c r="O145" s="285">
        <f t="shared" si="105"/>
        <v>98300</v>
      </c>
      <c r="P145" s="279">
        <f>IF(($F145="0"),$F145,(ROUNDDOWN((O145*(1+(P$4/100))),0)))</f>
        <v>98762</v>
      </c>
      <c r="Q145" s="279">
        <f t="shared" si="108"/>
        <v>99206</v>
      </c>
      <c r="R145" s="279">
        <f t="shared" si="108"/>
        <v>100118</v>
      </c>
      <c r="S145" s="279">
        <f t="shared" si="108"/>
        <v>101209</v>
      </c>
      <c r="T145" s="279">
        <f t="shared" si="108"/>
        <v>101917</v>
      </c>
      <c r="U145" s="279">
        <f t="shared" si="108"/>
        <v>102518</v>
      </c>
      <c r="V145" s="280">
        <f t="shared" si="100"/>
        <v>4218</v>
      </c>
      <c r="W145" s="281">
        <f t="shared" si="101"/>
        <v>4.2909460834181075E-2</v>
      </c>
    </row>
    <row r="146" spans="1:23" s="282" customFormat="1" ht="51">
      <c r="A146" s="283" t="s">
        <v>132</v>
      </c>
      <c r="B146" s="291" t="s">
        <v>388</v>
      </c>
      <c r="C146" s="292" t="s">
        <v>389</v>
      </c>
      <c r="D146" s="173" t="s">
        <v>137</v>
      </c>
      <c r="E146" s="77" t="s">
        <v>44</v>
      </c>
      <c r="F146" s="277">
        <f>IFERROR((VLOOKUP(E146,'MEMORANDOS E IPC 2023 Y 2024'!$A$1:$C$20,3,0)),"0")</f>
        <v>45100</v>
      </c>
      <c r="G146" s="293">
        <v>30449</v>
      </c>
      <c r="H146" s="278">
        <f t="shared" si="105"/>
        <v>30449</v>
      </c>
      <c r="I146" s="278">
        <f t="shared" si="105"/>
        <v>30449</v>
      </c>
      <c r="J146" s="278">
        <f t="shared" si="105"/>
        <v>30449</v>
      </c>
      <c r="K146" s="278">
        <f t="shared" si="105"/>
        <v>30449</v>
      </c>
      <c r="L146" s="279">
        <f>IF(($F146="0"),$F146,(ROUNDDOWN((K146*(1+(L$4/100))),0)))</f>
        <v>30601</v>
      </c>
      <c r="M146" s="279">
        <f t="shared" ref="M146:U146" si="109">IF(($F146="0"),$F146,(ROUNDDOWN((L146*(1+(M$4/100))),0)))</f>
        <v>30815</v>
      </c>
      <c r="N146" s="279">
        <f t="shared" si="109"/>
        <v>30981</v>
      </c>
      <c r="O146" s="279">
        <f t="shared" si="109"/>
        <v>31058</v>
      </c>
      <c r="P146" s="279">
        <f t="shared" si="109"/>
        <v>31203</v>
      </c>
      <c r="Q146" s="279">
        <f t="shared" si="109"/>
        <v>31343</v>
      </c>
      <c r="R146" s="279">
        <f t="shared" si="109"/>
        <v>31631</v>
      </c>
      <c r="S146" s="279">
        <f t="shared" si="109"/>
        <v>31975</v>
      </c>
      <c r="T146" s="279">
        <f t="shared" si="109"/>
        <v>32198</v>
      </c>
      <c r="U146" s="279">
        <f t="shared" si="109"/>
        <v>32387</v>
      </c>
      <c r="V146" s="280">
        <f t="shared" si="100"/>
        <v>1938</v>
      </c>
      <c r="W146" s="281">
        <f t="shared" si="101"/>
        <v>6.3647410423987652E-2</v>
      </c>
    </row>
    <row r="147" spans="1:23" s="282" customFormat="1" ht="51">
      <c r="A147" s="283" t="s">
        <v>132</v>
      </c>
      <c r="B147" s="291" t="s">
        <v>390</v>
      </c>
      <c r="C147" s="292" t="s">
        <v>391</v>
      </c>
      <c r="D147" s="173" t="s">
        <v>137</v>
      </c>
      <c r="E147" s="77" t="s">
        <v>36</v>
      </c>
      <c r="F147" s="277">
        <f>IFERROR((VLOOKUP(E147,'MEMORANDOS E IPC 2023 Y 2024'!$A$1:$C$20,3,0)),"0")</f>
        <v>44974</v>
      </c>
      <c r="G147" s="293">
        <v>3318951</v>
      </c>
      <c r="H147" s="279">
        <f>IF(($F147="0"),$F147,(ROUNDDOWN((G147*(1+(H$4/100))),0)))</f>
        <v>3353799</v>
      </c>
      <c r="I147" s="279">
        <f t="shared" ref="I147:U150" si="110">IF(($F147="0"),$F147,(ROUNDDOWN((H147*(1+(I$4/100))),0)))</f>
        <v>3379958</v>
      </c>
      <c r="J147" s="279">
        <f t="shared" si="110"/>
        <v>3394491</v>
      </c>
      <c r="K147" s="279">
        <f t="shared" si="110"/>
        <v>3404674</v>
      </c>
      <c r="L147" s="279">
        <f t="shared" si="110"/>
        <v>3421697</v>
      </c>
      <c r="M147" s="279">
        <f t="shared" si="110"/>
        <v>3445648</v>
      </c>
      <c r="N147" s="279">
        <f t="shared" si="110"/>
        <v>3464254</v>
      </c>
      <c r="O147" s="279">
        <f t="shared" si="110"/>
        <v>3472914</v>
      </c>
      <c r="P147" s="279">
        <f t="shared" si="110"/>
        <v>3489236</v>
      </c>
      <c r="Q147" s="279">
        <f t="shared" si="110"/>
        <v>3504937</v>
      </c>
      <c r="R147" s="279">
        <f t="shared" si="110"/>
        <v>3537182</v>
      </c>
      <c r="S147" s="279">
        <f t="shared" si="110"/>
        <v>3575737</v>
      </c>
      <c r="T147" s="279">
        <f t="shared" si="110"/>
        <v>3600767</v>
      </c>
      <c r="U147" s="279">
        <f t="shared" si="110"/>
        <v>3622011</v>
      </c>
      <c r="V147" s="280">
        <f t="shared" si="100"/>
        <v>303060</v>
      </c>
      <c r="W147" s="281">
        <f t="shared" si="101"/>
        <v>9.1311983816573364E-2</v>
      </c>
    </row>
    <row r="148" spans="1:23" s="282" customFormat="1" ht="51">
      <c r="A148" s="283" t="s">
        <v>132</v>
      </c>
      <c r="B148" s="291" t="s">
        <v>392</v>
      </c>
      <c r="C148" s="292" t="s">
        <v>393</v>
      </c>
      <c r="D148" s="155" t="s">
        <v>137</v>
      </c>
      <c r="E148" s="153" t="s">
        <v>36</v>
      </c>
      <c r="F148" s="277">
        <f>IFERROR((VLOOKUP(E148,'MEMORANDOS E IPC 2023 Y 2024'!$A$1:$C$20,3,0)),"0")</f>
        <v>44974</v>
      </c>
      <c r="G148" s="290">
        <v>214867</v>
      </c>
      <c r="H148" s="279">
        <f>IF(($F148="0"),$F148,(ROUNDDOWN((G148*(1+(H$4/100))),0)))</f>
        <v>217123</v>
      </c>
      <c r="I148" s="279">
        <f t="shared" si="110"/>
        <v>218816</v>
      </c>
      <c r="J148" s="279">
        <f t="shared" si="110"/>
        <v>219756</v>
      </c>
      <c r="K148" s="279">
        <f t="shared" si="110"/>
        <v>220415</v>
      </c>
      <c r="L148" s="279">
        <f t="shared" si="110"/>
        <v>221517</v>
      </c>
      <c r="M148" s="279">
        <f t="shared" si="110"/>
        <v>223067</v>
      </c>
      <c r="N148" s="279">
        <f t="shared" si="110"/>
        <v>224271</v>
      </c>
      <c r="O148" s="279">
        <f t="shared" si="110"/>
        <v>224831</v>
      </c>
      <c r="P148" s="279">
        <f t="shared" si="110"/>
        <v>225887</v>
      </c>
      <c r="Q148" s="279">
        <f t="shared" si="110"/>
        <v>226903</v>
      </c>
      <c r="R148" s="279">
        <f t="shared" si="110"/>
        <v>228990</v>
      </c>
      <c r="S148" s="279">
        <f t="shared" si="110"/>
        <v>231485</v>
      </c>
      <c r="T148" s="279">
        <f t="shared" si="110"/>
        <v>233105</v>
      </c>
      <c r="U148" s="279">
        <f t="shared" si="110"/>
        <v>234480</v>
      </c>
      <c r="V148" s="280">
        <f t="shared" si="100"/>
        <v>19613</v>
      </c>
      <c r="W148" s="281">
        <f t="shared" si="101"/>
        <v>9.1279721874461872E-2</v>
      </c>
    </row>
    <row r="149" spans="1:23" s="282" customFormat="1" ht="51">
      <c r="A149" s="283" t="s">
        <v>132</v>
      </c>
      <c r="B149" s="291" t="s">
        <v>394</v>
      </c>
      <c r="C149" s="292" t="s">
        <v>395</v>
      </c>
      <c r="D149" s="173" t="s">
        <v>137</v>
      </c>
      <c r="E149" s="77" t="s">
        <v>36</v>
      </c>
      <c r="F149" s="277">
        <f>IFERROR((VLOOKUP(E149,'MEMORANDOS E IPC 2023 Y 2024'!$A$1:$C$20,3,0)),"0")</f>
        <v>44974</v>
      </c>
      <c r="G149" s="293">
        <v>30646</v>
      </c>
      <c r="H149" s="279">
        <f>IF(($F149="0"),$F149,(ROUNDDOWN((G149*(1+(H$4/100))),0)))</f>
        <v>30967</v>
      </c>
      <c r="I149" s="279">
        <f t="shared" si="110"/>
        <v>31208</v>
      </c>
      <c r="J149" s="279">
        <f t="shared" si="110"/>
        <v>31342</v>
      </c>
      <c r="K149" s="279">
        <f t="shared" si="110"/>
        <v>31436</v>
      </c>
      <c r="L149" s="279">
        <f t="shared" si="110"/>
        <v>31593</v>
      </c>
      <c r="M149" s="279">
        <f t="shared" si="110"/>
        <v>31814</v>
      </c>
      <c r="N149" s="279">
        <f t="shared" si="110"/>
        <v>31985</v>
      </c>
      <c r="O149" s="279">
        <f t="shared" si="110"/>
        <v>32064</v>
      </c>
      <c r="P149" s="279">
        <f t="shared" si="110"/>
        <v>32214</v>
      </c>
      <c r="Q149" s="279">
        <f t="shared" si="110"/>
        <v>32358</v>
      </c>
      <c r="R149" s="279">
        <f t="shared" si="110"/>
        <v>32655</v>
      </c>
      <c r="S149" s="279">
        <f t="shared" si="110"/>
        <v>33010</v>
      </c>
      <c r="T149" s="279">
        <f t="shared" si="110"/>
        <v>33241</v>
      </c>
      <c r="U149" s="279">
        <f t="shared" si="110"/>
        <v>33437</v>
      </c>
      <c r="V149" s="280">
        <f t="shared" si="100"/>
        <v>2791</v>
      </c>
      <c r="W149" s="281">
        <f t="shared" si="101"/>
        <v>9.1072244338575997E-2</v>
      </c>
    </row>
    <row r="150" spans="1:23" s="282" customFormat="1" ht="51">
      <c r="A150" s="283" t="s">
        <v>132</v>
      </c>
      <c r="B150" s="291" t="s">
        <v>396</v>
      </c>
      <c r="C150" s="292" t="s">
        <v>397</v>
      </c>
      <c r="D150" s="173" t="s">
        <v>137</v>
      </c>
      <c r="E150" s="77" t="s">
        <v>48</v>
      </c>
      <c r="F150" s="277">
        <f>IFERROR((VLOOKUP(E150,'MEMORANDOS E IPC 2023 Y 2024'!$A$1:$C$20,3,0)),"0")</f>
        <v>45161</v>
      </c>
      <c r="G150" s="293">
        <v>115171</v>
      </c>
      <c r="H150" s="278">
        <f>G150</f>
        <v>115171</v>
      </c>
      <c r="I150" s="278">
        <f t="shared" ref="I150:O153" si="111">H150</f>
        <v>115171</v>
      </c>
      <c r="J150" s="278">
        <f t="shared" si="111"/>
        <v>115171</v>
      </c>
      <c r="K150" s="278">
        <f t="shared" si="111"/>
        <v>115171</v>
      </c>
      <c r="L150" s="278">
        <f t="shared" si="111"/>
        <v>115171</v>
      </c>
      <c r="M150" s="278">
        <f t="shared" si="111"/>
        <v>115171</v>
      </c>
      <c r="N150" s="279">
        <f>IF(($F150="0"),$F150,(ROUNDDOWN((M150*(1+(N$4/100))),0)))</f>
        <v>115792</v>
      </c>
      <c r="O150" s="279">
        <f t="shared" si="110"/>
        <v>116081</v>
      </c>
      <c r="P150" s="279">
        <f t="shared" si="110"/>
        <v>116626</v>
      </c>
      <c r="Q150" s="279">
        <f t="shared" si="110"/>
        <v>117150</v>
      </c>
      <c r="R150" s="279">
        <f t="shared" si="110"/>
        <v>118227</v>
      </c>
      <c r="S150" s="279">
        <f t="shared" si="110"/>
        <v>119515</v>
      </c>
      <c r="T150" s="279">
        <f t="shared" si="110"/>
        <v>120351</v>
      </c>
      <c r="U150" s="279">
        <f t="shared" si="110"/>
        <v>121061</v>
      </c>
      <c r="V150" s="280">
        <f t="shared" si="100"/>
        <v>5890</v>
      </c>
      <c r="W150" s="281">
        <f t="shared" si="101"/>
        <v>5.1141346345868317E-2</v>
      </c>
    </row>
    <row r="151" spans="1:23" s="282" customFormat="1" ht="51">
      <c r="A151" s="283" t="s">
        <v>132</v>
      </c>
      <c r="B151" s="291" t="s">
        <v>398</v>
      </c>
      <c r="C151" s="292" t="s">
        <v>399</v>
      </c>
      <c r="D151" s="173" t="s">
        <v>137</v>
      </c>
      <c r="E151" s="77" t="s">
        <v>46</v>
      </c>
      <c r="F151" s="277">
        <f>IFERROR((VLOOKUP(E151,'MEMORANDOS E IPC 2023 Y 2024'!$A$1:$C$20,3,0)),"0")</f>
        <v>45117</v>
      </c>
      <c r="G151" s="293">
        <v>82338</v>
      </c>
      <c r="H151" s="285">
        <f>G151</f>
        <v>82338</v>
      </c>
      <c r="I151" s="285">
        <f t="shared" si="111"/>
        <v>82338</v>
      </c>
      <c r="J151" s="285">
        <f t="shared" si="111"/>
        <v>82338</v>
      </c>
      <c r="K151" s="285">
        <f t="shared" si="111"/>
        <v>82338</v>
      </c>
      <c r="L151" s="285">
        <f t="shared" si="111"/>
        <v>82338</v>
      </c>
      <c r="M151" s="279">
        <f>IF(($F151="0"),$F151,(ROUNDDOWN((L151*(1+(M$4/100))),0)))</f>
        <v>82914</v>
      </c>
      <c r="N151" s="279">
        <f t="shared" ref="N151:U153" si="112">IF(($F151="0"),$F151,(ROUNDDOWN((M151*(1+(N$4/100))),0)))</f>
        <v>83361</v>
      </c>
      <c r="O151" s="279">
        <f t="shared" si="112"/>
        <v>83569</v>
      </c>
      <c r="P151" s="279">
        <f t="shared" si="112"/>
        <v>83961</v>
      </c>
      <c r="Q151" s="279">
        <f t="shared" si="112"/>
        <v>84338</v>
      </c>
      <c r="R151" s="279">
        <f t="shared" si="112"/>
        <v>85113</v>
      </c>
      <c r="S151" s="279">
        <f t="shared" si="112"/>
        <v>86040</v>
      </c>
      <c r="T151" s="279">
        <f t="shared" si="112"/>
        <v>86642</v>
      </c>
      <c r="U151" s="279">
        <f t="shared" si="112"/>
        <v>87153</v>
      </c>
      <c r="V151" s="280">
        <f t="shared" si="100"/>
        <v>4815</v>
      </c>
      <c r="W151" s="281">
        <f t="shared" si="101"/>
        <v>5.8478466807549367E-2</v>
      </c>
    </row>
    <row r="152" spans="1:23" s="282" customFormat="1" ht="51">
      <c r="A152" s="283" t="s">
        <v>132</v>
      </c>
      <c r="B152" s="291" t="s">
        <v>400</v>
      </c>
      <c r="C152" s="292" t="s">
        <v>401</v>
      </c>
      <c r="D152" s="173" t="s">
        <v>137</v>
      </c>
      <c r="E152" s="77" t="s">
        <v>56</v>
      </c>
      <c r="F152" s="277">
        <f>IFERROR((VLOOKUP(E152,'MEMORANDOS E IPC 2023 Y 2024'!$A$1:$C$20,3,0)),"0")</f>
        <v>45212</v>
      </c>
      <c r="G152" s="293">
        <v>195075</v>
      </c>
      <c r="H152" s="285">
        <f>G152</f>
        <v>195075</v>
      </c>
      <c r="I152" s="285">
        <f t="shared" si="111"/>
        <v>195075</v>
      </c>
      <c r="J152" s="285">
        <f t="shared" si="111"/>
        <v>195075</v>
      </c>
      <c r="K152" s="285">
        <f t="shared" si="111"/>
        <v>195075</v>
      </c>
      <c r="L152" s="285">
        <f t="shared" si="111"/>
        <v>195075</v>
      </c>
      <c r="M152" s="285">
        <f t="shared" si="111"/>
        <v>195075</v>
      </c>
      <c r="N152" s="285">
        <f t="shared" si="111"/>
        <v>195075</v>
      </c>
      <c r="O152" s="285">
        <f t="shared" si="111"/>
        <v>195075</v>
      </c>
      <c r="P152" s="279">
        <f t="shared" si="112"/>
        <v>195991</v>
      </c>
      <c r="Q152" s="279">
        <f t="shared" si="112"/>
        <v>196872</v>
      </c>
      <c r="R152" s="279">
        <f t="shared" si="112"/>
        <v>198683</v>
      </c>
      <c r="S152" s="279">
        <f t="shared" si="112"/>
        <v>200848</v>
      </c>
      <c r="T152" s="279">
        <f t="shared" si="112"/>
        <v>202253</v>
      </c>
      <c r="U152" s="279">
        <f t="shared" si="112"/>
        <v>203446</v>
      </c>
      <c r="V152" s="280">
        <f t="shared" si="100"/>
        <v>8371</v>
      </c>
      <c r="W152" s="281">
        <f t="shared" si="101"/>
        <v>4.2911700627963602E-2</v>
      </c>
    </row>
    <row r="153" spans="1:23" s="282" customFormat="1" ht="51">
      <c r="A153" s="283" t="s">
        <v>132</v>
      </c>
      <c r="B153" s="291" t="s">
        <v>402</v>
      </c>
      <c r="C153" s="292" t="s">
        <v>403</v>
      </c>
      <c r="D153" s="173" t="s">
        <v>137</v>
      </c>
      <c r="E153" s="77" t="s">
        <v>56</v>
      </c>
      <c r="F153" s="277">
        <f>IFERROR((VLOOKUP(E153,'MEMORANDOS E IPC 2023 Y 2024'!$A$1:$C$20,3,0)),"0")</f>
        <v>45212</v>
      </c>
      <c r="G153" s="293">
        <v>20700</v>
      </c>
      <c r="H153" s="285">
        <f>G153</f>
        <v>20700</v>
      </c>
      <c r="I153" s="285">
        <f t="shared" si="111"/>
        <v>20700</v>
      </c>
      <c r="J153" s="285">
        <f t="shared" si="111"/>
        <v>20700</v>
      </c>
      <c r="K153" s="285">
        <f t="shared" si="111"/>
        <v>20700</v>
      </c>
      <c r="L153" s="285">
        <f t="shared" si="111"/>
        <v>20700</v>
      </c>
      <c r="M153" s="285">
        <f t="shared" si="111"/>
        <v>20700</v>
      </c>
      <c r="N153" s="285">
        <f t="shared" si="111"/>
        <v>20700</v>
      </c>
      <c r="O153" s="285">
        <f t="shared" si="111"/>
        <v>20700</v>
      </c>
      <c r="P153" s="279">
        <f t="shared" si="112"/>
        <v>20797</v>
      </c>
      <c r="Q153" s="279">
        <f t="shared" si="112"/>
        <v>20890</v>
      </c>
      <c r="R153" s="279">
        <f t="shared" si="112"/>
        <v>21082</v>
      </c>
      <c r="S153" s="279">
        <f t="shared" si="112"/>
        <v>21311</v>
      </c>
      <c r="T153" s="279">
        <f t="shared" si="112"/>
        <v>21460</v>
      </c>
      <c r="U153" s="279">
        <f t="shared" si="112"/>
        <v>21586</v>
      </c>
      <c r="V153" s="280">
        <f t="shared" si="100"/>
        <v>886</v>
      </c>
      <c r="W153" s="281">
        <f t="shared" si="101"/>
        <v>4.2801932367149756E-2</v>
      </c>
    </row>
    <row r="154" spans="1:23" s="282" customFormat="1" ht="51">
      <c r="A154" s="283" t="s">
        <v>132</v>
      </c>
      <c r="B154" s="291" t="s">
        <v>404</v>
      </c>
      <c r="C154" s="292" t="s">
        <v>405</v>
      </c>
      <c r="D154" s="173" t="s">
        <v>137</v>
      </c>
      <c r="E154" s="77" t="s">
        <v>36</v>
      </c>
      <c r="F154" s="277">
        <f>IFERROR((VLOOKUP(E154,'MEMORANDOS E IPC 2023 Y 2024'!$A$1:$C$20,3,0)),"0")</f>
        <v>44974</v>
      </c>
      <c r="G154" s="293">
        <v>39735</v>
      </c>
      <c r="H154" s="279">
        <f>IF(($F154="0"),$F154,(ROUNDDOWN((G154*(1+(H$4/100))),0)))</f>
        <v>40152</v>
      </c>
      <c r="I154" s="279">
        <f t="shared" ref="I154:U157" si="113">IF(($F154="0"),$F154,(ROUNDDOWN((H154*(1+(I$4/100))),0)))</f>
        <v>40465</v>
      </c>
      <c r="J154" s="279">
        <f t="shared" si="113"/>
        <v>40638</v>
      </c>
      <c r="K154" s="279">
        <f t="shared" si="113"/>
        <v>40759</v>
      </c>
      <c r="L154" s="279">
        <f t="shared" si="113"/>
        <v>40962</v>
      </c>
      <c r="M154" s="279">
        <f t="shared" si="113"/>
        <v>41248</v>
      </c>
      <c r="N154" s="279">
        <f t="shared" si="113"/>
        <v>41470</v>
      </c>
      <c r="O154" s="279">
        <f t="shared" si="113"/>
        <v>41573</v>
      </c>
      <c r="P154" s="279">
        <f t="shared" si="113"/>
        <v>41768</v>
      </c>
      <c r="Q154" s="279">
        <f t="shared" si="113"/>
        <v>41955</v>
      </c>
      <c r="R154" s="279">
        <f t="shared" si="113"/>
        <v>42340</v>
      </c>
      <c r="S154" s="279">
        <f t="shared" si="113"/>
        <v>42801</v>
      </c>
      <c r="T154" s="279">
        <f t="shared" si="113"/>
        <v>43100</v>
      </c>
      <c r="U154" s="279">
        <f t="shared" si="113"/>
        <v>43354</v>
      </c>
      <c r="V154" s="280">
        <f t="shared" si="100"/>
        <v>3619</v>
      </c>
      <c r="W154" s="281">
        <f t="shared" si="101"/>
        <v>9.1078394362652568E-2</v>
      </c>
    </row>
    <row r="155" spans="1:23" s="282" customFormat="1" ht="51">
      <c r="A155" s="283" t="s">
        <v>132</v>
      </c>
      <c r="B155" s="291" t="s">
        <v>406</v>
      </c>
      <c r="C155" s="292" t="s">
        <v>407</v>
      </c>
      <c r="D155" s="173" t="s">
        <v>137</v>
      </c>
      <c r="E155" s="77" t="s">
        <v>36</v>
      </c>
      <c r="F155" s="277">
        <f>IFERROR((VLOOKUP(E155,'MEMORANDOS E IPC 2023 Y 2024'!$A$1:$C$20,3,0)),"0")</f>
        <v>44974</v>
      </c>
      <c r="G155" s="293">
        <v>39735</v>
      </c>
      <c r="H155" s="279">
        <f>IF(($F155="0"),$F155,(ROUNDDOWN((G155*(1+(H$4/100))),0)))</f>
        <v>40152</v>
      </c>
      <c r="I155" s="279">
        <f t="shared" si="113"/>
        <v>40465</v>
      </c>
      <c r="J155" s="279">
        <f t="shared" si="113"/>
        <v>40638</v>
      </c>
      <c r="K155" s="279">
        <f t="shared" si="113"/>
        <v>40759</v>
      </c>
      <c r="L155" s="279">
        <f t="shared" si="113"/>
        <v>40962</v>
      </c>
      <c r="M155" s="279">
        <f t="shared" si="113"/>
        <v>41248</v>
      </c>
      <c r="N155" s="279">
        <f t="shared" si="113"/>
        <v>41470</v>
      </c>
      <c r="O155" s="279">
        <f t="shared" si="113"/>
        <v>41573</v>
      </c>
      <c r="P155" s="279">
        <f t="shared" si="113"/>
        <v>41768</v>
      </c>
      <c r="Q155" s="279">
        <f t="shared" si="113"/>
        <v>41955</v>
      </c>
      <c r="R155" s="279">
        <f t="shared" si="113"/>
        <v>42340</v>
      </c>
      <c r="S155" s="279">
        <f t="shared" si="113"/>
        <v>42801</v>
      </c>
      <c r="T155" s="279">
        <f t="shared" si="113"/>
        <v>43100</v>
      </c>
      <c r="U155" s="279">
        <f t="shared" si="113"/>
        <v>43354</v>
      </c>
      <c r="V155" s="280">
        <f t="shared" si="100"/>
        <v>3619</v>
      </c>
      <c r="W155" s="281">
        <f t="shared" si="101"/>
        <v>9.1078394362652568E-2</v>
      </c>
    </row>
    <row r="156" spans="1:23" s="282" customFormat="1" ht="51">
      <c r="A156" s="283" t="s">
        <v>132</v>
      </c>
      <c r="B156" s="295" t="s">
        <v>408</v>
      </c>
      <c r="C156" s="193" t="s">
        <v>409</v>
      </c>
      <c r="D156" s="296" t="s">
        <v>137</v>
      </c>
      <c r="E156" s="221" t="s">
        <v>36</v>
      </c>
      <c r="F156" s="277">
        <f>IFERROR((VLOOKUP(E156,'MEMORANDOS E IPC 2023 Y 2024'!$A$1:$C$20,3,0)),"0")</f>
        <v>44974</v>
      </c>
      <c r="G156" s="297">
        <v>17093</v>
      </c>
      <c r="H156" s="279">
        <f>IF(($F156="0"),$F156,(ROUNDDOWN((G156*(1+(H$4/100))),0)))</f>
        <v>17272</v>
      </c>
      <c r="I156" s="279">
        <f t="shared" si="113"/>
        <v>17406</v>
      </c>
      <c r="J156" s="279">
        <f t="shared" si="113"/>
        <v>17480</v>
      </c>
      <c r="K156" s="279">
        <f t="shared" si="113"/>
        <v>17532</v>
      </c>
      <c r="L156" s="279">
        <f t="shared" si="113"/>
        <v>17619</v>
      </c>
      <c r="M156" s="279">
        <f t="shared" si="113"/>
        <v>17742</v>
      </c>
      <c r="N156" s="279">
        <f t="shared" si="113"/>
        <v>17837</v>
      </c>
      <c r="O156" s="279">
        <f t="shared" si="113"/>
        <v>17881</v>
      </c>
      <c r="P156" s="279">
        <f t="shared" si="113"/>
        <v>17965</v>
      </c>
      <c r="Q156" s="279">
        <f t="shared" si="113"/>
        <v>18045</v>
      </c>
      <c r="R156" s="279">
        <f t="shared" si="113"/>
        <v>18211</v>
      </c>
      <c r="S156" s="279">
        <f t="shared" si="113"/>
        <v>18409</v>
      </c>
      <c r="T156" s="279">
        <f t="shared" si="113"/>
        <v>18537</v>
      </c>
      <c r="U156" s="279">
        <f t="shared" si="113"/>
        <v>18646</v>
      </c>
      <c r="V156" s="280">
        <f t="shared" si="100"/>
        <v>1553</v>
      </c>
      <c r="W156" s="281">
        <f t="shared" si="101"/>
        <v>9.0855905926402622E-2</v>
      </c>
    </row>
    <row r="157" spans="1:23" s="282" customFormat="1" ht="38.25">
      <c r="A157" s="283" t="s">
        <v>132</v>
      </c>
      <c r="B157" s="291" t="s">
        <v>410</v>
      </c>
      <c r="C157" s="292" t="s">
        <v>411</v>
      </c>
      <c r="D157" s="173" t="s">
        <v>108</v>
      </c>
      <c r="E157" s="77" t="s">
        <v>52</v>
      </c>
      <c r="F157" s="277">
        <f>IFERROR((VLOOKUP(E157,'MEMORANDOS E IPC 2023 Y 2024'!$A$1:$C$20,3,0)),"0")</f>
        <v>45210</v>
      </c>
      <c r="G157" s="293">
        <v>54469</v>
      </c>
      <c r="H157" s="285">
        <f>G157</f>
        <v>54469</v>
      </c>
      <c r="I157" s="285">
        <f t="shared" ref="I157:O157" si="114">H157</f>
        <v>54469</v>
      </c>
      <c r="J157" s="285">
        <f t="shared" si="114"/>
        <v>54469</v>
      </c>
      <c r="K157" s="285">
        <f t="shared" si="114"/>
        <v>54469</v>
      </c>
      <c r="L157" s="285">
        <f t="shared" si="114"/>
        <v>54469</v>
      </c>
      <c r="M157" s="285">
        <f t="shared" si="114"/>
        <v>54469</v>
      </c>
      <c r="N157" s="285">
        <f t="shared" si="114"/>
        <v>54469</v>
      </c>
      <c r="O157" s="285">
        <f t="shared" si="114"/>
        <v>54469</v>
      </c>
      <c r="P157" s="279">
        <f>IF(($F157="0"),$F157,(ROUNDDOWN((O157*(1+(P$4/100))),0)))</f>
        <v>54725</v>
      </c>
      <c r="Q157" s="279">
        <f t="shared" si="113"/>
        <v>54971</v>
      </c>
      <c r="R157" s="279">
        <f t="shared" si="113"/>
        <v>55476</v>
      </c>
      <c r="S157" s="279">
        <f t="shared" si="113"/>
        <v>56080</v>
      </c>
      <c r="T157" s="279">
        <f t="shared" si="113"/>
        <v>56472</v>
      </c>
      <c r="U157" s="279">
        <f t="shared" si="113"/>
        <v>56805</v>
      </c>
      <c r="V157" s="280">
        <f t="shared" si="100"/>
        <v>2336</v>
      </c>
      <c r="W157" s="281">
        <f t="shared" si="101"/>
        <v>4.28867796361233E-2</v>
      </c>
    </row>
    <row r="158" spans="1:23" s="282" customFormat="1" ht="51">
      <c r="A158" s="283" t="s">
        <v>132</v>
      </c>
      <c r="B158" s="291" t="s">
        <v>412</v>
      </c>
      <c r="C158" s="292" t="s">
        <v>413</v>
      </c>
      <c r="D158" s="173" t="s">
        <v>137</v>
      </c>
      <c r="E158" s="77" t="s">
        <v>36</v>
      </c>
      <c r="F158" s="277">
        <f>IFERROR((VLOOKUP(E158,'MEMORANDOS E IPC 2023 Y 2024'!$A$1:$C$20,3,0)),"0")</f>
        <v>44974</v>
      </c>
      <c r="G158" s="293">
        <v>15950</v>
      </c>
      <c r="H158" s="279">
        <f>IF(($F158="0"),$F158,(ROUNDDOWN((G158*(1+(H$4/100))),0)))</f>
        <v>16117</v>
      </c>
      <c r="I158" s="279">
        <f t="shared" ref="I158:U159" si="115">IF(($F158="0"),$F158,(ROUNDDOWN((H158*(1+(I$4/100))),0)))</f>
        <v>16242</v>
      </c>
      <c r="J158" s="279">
        <f t="shared" si="115"/>
        <v>16311</v>
      </c>
      <c r="K158" s="279">
        <f t="shared" si="115"/>
        <v>16359</v>
      </c>
      <c r="L158" s="279">
        <f t="shared" si="115"/>
        <v>16440</v>
      </c>
      <c r="M158" s="279">
        <f t="shared" si="115"/>
        <v>16555</v>
      </c>
      <c r="N158" s="279">
        <f t="shared" si="115"/>
        <v>16644</v>
      </c>
      <c r="O158" s="279">
        <f t="shared" si="115"/>
        <v>16685</v>
      </c>
      <c r="P158" s="279">
        <f t="shared" si="115"/>
        <v>16763</v>
      </c>
      <c r="Q158" s="279">
        <f t="shared" si="115"/>
        <v>16838</v>
      </c>
      <c r="R158" s="279">
        <f t="shared" si="115"/>
        <v>16992</v>
      </c>
      <c r="S158" s="279">
        <f t="shared" si="115"/>
        <v>17177</v>
      </c>
      <c r="T158" s="279">
        <f t="shared" si="115"/>
        <v>17297</v>
      </c>
      <c r="U158" s="279">
        <f t="shared" si="115"/>
        <v>17399</v>
      </c>
      <c r="V158" s="280">
        <f t="shared" si="100"/>
        <v>1449</v>
      </c>
      <c r="W158" s="281">
        <f t="shared" si="101"/>
        <v>9.084639498432602E-2</v>
      </c>
    </row>
    <row r="159" spans="1:23" s="282" customFormat="1" ht="51">
      <c r="A159" s="283" t="s">
        <v>132</v>
      </c>
      <c r="B159" s="291" t="s">
        <v>414</v>
      </c>
      <c r="C159" s="292" t="s">
        <v>415</v>
      </c>
      <c r="D159" s="173" t="s">
        <v>137</v>
      </c>
      <c r="E159" s="77" t="s">
        <v>44</v>
      </c>
      <c r="F159" s="277">
        <f>IFERROR((VLOOKUP(E159,'MEMORANDOS E IPC 2023 Y 2024'!$A$1:$C$20,3,0)),"0")</f>
        <v>45100</v>
      </c>
      <c r="G159" s="293">
        <v>6546</v>
      </c>
      <c r="H159" s="278">
        <f>G159</f>
        <v>6546</v>
      </c>
      <c r="I159" s="278">
        <f t="shared" ref="I159:K159" si="116">H159</f>
        <v>6546</v>
      </c>
      <c r="J159" s="278">
        <f t="shared" si="116"/>
        <v>6546</v>
      </c>
      <c r="K159" s="278">
        <f t="shared" si="116"/>
        <v>6546</v>
      </c>
      <c r="L159" s="279">
        <f>IF(($F159="0"),$F159,(ROUNDDOWN((K159*(1+(L$4/100))),0)))</f>
        <v>6578</v>
      </c>
      <c r="M159" s="279">
        <f t="shared" si="115"/>
        <v>6624</v>
      </c>
      <c r="N159" s="279">
        <f t="shared" si="115"/>
        <v>6659</v>
      </c>
      <c r="O159" s="279">
        <f t="shared" si="115"/>
        <v>6675</v>
      </c>
      <c r="P159" s="279">
        <f t="shared" si="115"/>
        <v>6706</v>
      </c>
      <c r="Q159" s="279">
        <f t="shared" si="115"/>
        <v>6736</v>
      </c>
      <c r="R159" s="279">
        <f t="shared" si="115"/>
        <v>6797</v>
      </c>
      <c r="S159" s="279">
        <f t="shared" si="115"/>
        <v>6871</v>
      </c>
      <c r="T159" s="279">
        <f t="shared" si="115"/>
        <v>6919</v>
      </c>
      <c r="U159" s="279">
        <f t="shared" si="115"/>
        <v>6959</v>
      </c>
      <c r="V159" s="280">
        <f t="shared" si="100"/>
        <v>413</v>
      </c>
      <c r="W159" s="281">
        <f t="shared" si="101"/>
        <v>6.3091964558509017E-2</v>
      </c>
    </row>
    <row r="160" spans="1:23" s="282" customFormat="1" ht="63.75">
      <c r="A160" s="283" t="s">
        <v>132</v>
      </c>
      <c r="B160" s="291" t="s">
        <v>416</v>
      </c>
      <c r="C160" s="292" t="s">
        <v>417</v>
      </c>
      <c r="D160" s="173" t="s">
        <v>137</v>
      </c>
      <c r="E160" s="77" t="s">
        <v>36</v>
      </c>
      <c r="F160" s="277">
        <f>IFERROR((VLOOKUP(E160,'MEMORANDOS E IPC 2023 Y 2024'!$A$1:$C$20,3,0)),"0")</f>
        <v>44974</v>
      </c>
      <c r="G160" s="293">
        <v>2655500</v>
      </c>
      <c r="H160" s="279">
        <f>IF(($F160="0"),$F160,(ROUNDDOWN((G160*(1+(H$4/100))),0)))</f>
        <v>2683382</v>
      </c>
      <c r="I160" s="279">
        <f t="shared" ref="I160:U161" si="117">IF(($F160="0"),$F160,(ROUNDDOWN((H160*(1+(I$4/100))),0)))</f>
        <v>2704312</v>
      </c>
      <c r="J160" s="279">
        <f t="shared" si="117"/>
        <v>2715940</v>
      </c>
      <c r="K160" s="279">
        <f t="shared" si="117"/>
        <v>2724087</v>
      </c>
      <c r="L160" s="279">
        <f t="shared" si="117"/>
        <v>2737707</v>
      </c>
      <c r="M160" s="279">
        <f t="shared" si="117"/>
        <v>2756870</v>
      </c>
      <c r="N160" s="279">
        <f t="shared" si="117"/>
        <v>2771757</v>
      </c>
      <c r="O160" s="279">
        <f t="shared" si="117"/>
        <v>2778686</v>
      </c>
      <c r="P160" s="279">
        <f t="shared" si="117"/>
        <v>2791745</v>
      </c>
      <c r="Q160" s="279">
        <f t="shared" si="117"/>
        <v>2804307</v>
      </c>
      <c r="R160" s="279">
        <f t="shared" si="117"/>
        <v>2830106</v>
      </c>
      <c r="S160" s="279">
        <f t="shared" si="117"/>
        <v>2860954</v>
      </c>
      <c r="T160" s="279">
        <f t="shared" si="117"/>
        <v>2880980</v>
      </c>
      <c r="U160" s="279">
        <f t="shared" si="117"/>
        <v>2897977</v>
      </c>
      <c r="V160" s="280">
        <f t="shared" si="100"/>
        <v>242477</v>
      </c>
      <c r="W160" s="281">
        <f t="shared" si="101"/>
        <v>9.1311240820937681E-2</v>
      </c>
    </row>
    <row r="161" spans="1:23" s="282" customFormat="1" ht="51">
      <c r="A161" s="283" t="s">
        <v>132</v>
      </c>
      <c r="B161" s="291" t="s">
        <v>418</v>
      </c>
      <c r="C161" s="292" t="s">
        <v>419</v>
      </c>
      <c r="D161" s="173" t="s">
        <v>137</v>
      </c>
      <c r="E161" s="77" t="s">
        <v>38</v>
      </c>
      <c r="F161" s="277">
        <f>IFERROR((VLOOKUP(E161,'MEMORANDOS E IPC 2023 Y 2024'!$A$1:$C$20,3,0)),"0")</f>
        <v>45002</v>
      </c>
      <c r="G161" s="293">
        <v>1261678</v>
      </c>
      <c r="H161" s="278">
        <f>G161</f>
        <v>1261678</v>
      </c>
      <c r="I161" s="279">
        <f>IF(($F161="0"),$F161,(ROUNDDOWN((H161*(1+(I$4/100))),0)))</f>
        <v>1271519</v>
      </c>
      <c r="J161" s="279">
        <f t="shared" si="117"/>
        <v>1276986</v>
      </c>
      <c r="K161" s="279">
        <f t="shared" si="117"/>
        <v>1280816</v>
      </c>
      <c r="L161" s="279">
        <f t="shared" si="117"/>
        <v>1287220</v>
      </c>
      <c r="M161" s="279">
        <f t="shared" si="117"/>
        <v>1296230</v>
      </c>
      <c r="N161" s="279">
        <f t="shared" si="117"/>
        <v>1303229</v>
      </c>
      <c r="O161" s="279">
        <f t="shared" si="117"/>
        <v>1306487</v>
      </c>
      <c r="P161" s="279">
        <f t="shared" si="117"/>
        <v>1312627</v>
      </c>
      <c r="Q161" s="279">
        <f t="shared" si="117"/>
        <v>1318533</v>
      </c>
      <c r="R161" s="279">
        <f t="shared" si="117"/>
        <v>1330663</v>
      </c>
      <c r="S161" s="279">
        <f t="shared" si="117"/>
        <v>1345167</v>
      </c>
      <c r="T161" s="279">
        <f t="shared" si="117"/>
        <v>1354583</v>
      </c>
      <c r="U161" s="279">
        <f t="shared" si="117"/>
        <v>1362575</v>
      </c>
      <c r="V161" s="280">
        <f t="shared" si="100"/>
        <v>100897</v>
      </c>
      <c r="W161" s="281">
        <f t="shared" si="101"/>
        <v>7.9970483752589805E-2</v>
      </c>
    </row>
    <row r="162" spans="1:23" ht="36">
      <c r="A162" s="283" t="s">
        <v>132</v>
      </c>
      <c r="B162" s="291" t="s">
        <v>420</v>
      </c>
      <c r="C162" s="292" t="s">
        <v>421</v>
      </c>
      <c r="D162" s="298" t="s">
        <v>137</v>
      </c>
      <c r="E162" s="299" t="s">
        <v>84</v>
      </c>
      <c r="F162" s="277" t="str">
        <f>IFERROR((VLOOKUP(E162,'MEMORANDOS E IPC 2023 Y 2024'!$A$1:$C$20,3,0)),"0")</f>
        <v>0</v>
      </c>
      <c r="G162" s="293">
        <v>3063900</v>
      </c>
      <c r="H162" s="279">
        <f>IF(($F162="0"),$G162,(ROUNDDOWN((G162*(1+(H$4/100))),0)))</f>
        <v>3063900</v>
      </c>
      <c r="I162" s="279">
        <f t="shared" ref="I162:U162" si="118">IF(($F162="0"),$G162,(ROUNDDOWN((H162*(1+(I$4/100))),0)))</f>
        <v>3063900</v>
      </c>
      <c r="J162" s="279">
        <f t="shared" si="118"/>
        <v>3063900</v>
      </c>
      <c r="K162" s="279">
        <f t="shared" si="118"/>
        <v>3063900</v>
      </c>
      <c r="L162" s="279">
        <f t="shared" si="118"/>
        <v>3063900</v>
      </c>
      <c r="M162" s="279">
        <f t="shared" si="118"/>
        <v>3063900</v>
      </c>
      <c r="N162" s="279">
        <f t="shared" si="118"/>
        <v>3063900</v>
      </c>
      <c r="O162" s="279">
        <f t="shared" si="118"/>
        <v>3063900</v>
      </c>
      <c r="P162" s="279">
        <f t="shared" si="118"/>
        <v>3063900</v>
      </c>
      <c r="Q162" s="279">
        <f t="shared" si="118"/>
        <v>3063900</v>
      </c>
      <c r="R162" s="279">
        <f t="shared" si="118"/>
        <v>3063900</v>
      </c>
      <c r="S162" s="279">
        <f t="shared" si="118"/>
        <v>3063900</v>
      </c>
      <c r="T162" s="279">
        <f t="shared" si="118"/>
        <v>3063900</v>
      </c>
      <c r="U162" s="279">
        <f t="shared" si="118"/>
        <v>3063900</v>
      </c>
      <c r="V162" s="280">
        <f t="shared" si="100"/>
        <v>0</v>
      </c>
      <c r="W162" s="281">
        <f t="shared" si="101"/>
        <v>0</v>
      </c>
    </row>
    <row r="163" spans="1:23" ht="25.5">
      <c r="A163" s="300" t="s">
        <v>422</v>
      </c>
      <c r="B163" s="301" t="s">
        <v>423</v>
      </c>
      <c r="C163" s="173" t="s">
        <v>424</v>
      </c>
      <c r="D163" s="76" t="s">
        <v>425</v>
      </c>
      <c r="E163" s="155" t="s">
        <v>36</v>
      </c>
      <c r="F163" s="277">
        <f>IFERROR((VLOOKUP(E163,'MEMORANDOS E IPC 2023 Y 2024'!$A$1:$C$20,3,0)),"0")</f>
        <v>44974</v>
      </c>
      <c r="G163" s="302">
        <v>81599</v>
      </c>
      <c r="H163" s="279">
        <f>IF(($F163="0"),$F163,(ROUNDDOWN((G163*(1+(H$4/100))),0)))</f>
        <v>82455</v>
      </c>
      <c r="I163" s="279">
        <f t="shared" ref="I163:U165" si="119">IF(($F163="0"),$F163,(ROUNDDOWN((H163*(1+(I$4/100))),0)))</f>
        <v>83098</v>
      </c>
      <c r="J163" s="279">
        <f t="shared" si="119"/>
        <v>83455</v>
      </c>
      <c r="K163" s="279">
        <f t="shared" si="119"/>
        <v>83705</v>
      </c>
      <c r="L163" s="279">
        <f t="shared" si="119"/>
        <v>84123</v>
      </c>
      <c r="M163" s="279">
        <f t="shared" si="119"/>
        <v>84711</v>
      </c>
      <c r="N163" s="279">
        <f t="shared" si="119"/>
        <v>85168</v>
      </c>
      <c r="O163" s="279">
        <f t="shared" si="119"/>
        <v>85380</v>
      </c>
      <c r="P163" s="279">
        <f t="shared" si="119"/>
        <v>85781</v>
      </c>
      <c r="Q163" s="279">
        <f t="shared" si="119"/>
        <v>86167</v>
      </c>
      <c r="R163" s="279">
        <f t="shared" si="119"/>
        <v>86959</v>
      </c>
      <c r="S163" s="279">
        <f t="shared" si="119"/>
        <v>87906</v>
      </c>
      <c r="T163" s="279">
        <f t="shared" si="119"/>
        <v>88521</v>
      </c>
      <c r="U163" s="279">
        <f t="shared" si="119"/>
        <v>89043</v>
      </c>
      <c r="V163" s="280">
        <f t="shared" si="100"/>
        <v>7444</v>
      </c>
      <c r="W163" s="281">
        <f t="shared" si="101"/>
        <v>9.1226608169217765E-2</v>
      </c>
    </row>
    <row r="164" spans="1:23" ht="25.5">
      <c r="A164" s="300" t="s">
        <v>422</v>
      </c>
      <c r="B164" s="301" t="s">
        <v>426</v>
      </c>
      <c r="C164" s="173" t="s">
        <v>427</v>
      </c>
      <c r="D164" s="76" t="s">
        <v>425</v>
      </c>
      <c r="E164" s="155" t="s">
        <v>36</v>
      </c>
      <c r="F164" s="277">
        <f>IFERROR((VLOOKUP(E164,'MEMORANDOS E IPC 2023 Y 2024'!$A$1:$C$20,3,0)),"0")</f>
        <v>44974</v>
      </c>
      <c r="G164" s="302">
        <v>19996</v>
      </c>
      <c r="H164" s="279">
        <f>IF(($F164="0"),$F164,(ROUNDDOWN((G164*(1+(H$4/100))),0)))</f>
        <v>20205</v>
      </c>
      <c r="I164" s="279">
        <f t="shared" si="119"/>
        <v>20362</v>
      </c>
      <c r="J164" s="279">
        <f t="shared" si="119"/>
        <v>20449</v>
      </c>
      <c r="K164" s="279">
        <f t="shared" si="119"/>
        <v>20510</v>
      </c>
      <c r="L164" s="279">
        <f t="shared" si="119"/>
        <v>20612</v>
      </c>
      <c r="M164" s="279">
        <f t="shared" si="119"/>
        <v>20756</v>
      </c>
      <c r="N164" s="279">
        <f t="shared" si="119"/>
        <v>20868</v>
      </c>
      <c r="O164" s="279">
        <f t="shared" si="119"/>
        <v>20920</v>
      </c>
      <c r="P164" s="279">
        <f t="shared" si="119"/>
        <v>21018</v>
      </c>
      <c r="Q164" s="279">
        <f t="shared" si="119"/>
        <v>21112</v>
      </c>
      <c r="R164" s="279">
        <f t="shared" si="119"/>
        <v>21306</v>
      </c>
      <c r="S164" s="279">
        <f t="shared" si="119"/>
        <v>21538</v>
      </c>
      <c r="T164" s="279">
        <f t="shared" si="119"/>
        <v>21688</v>
      </c>
      <c r="U164" s="279">
        <f t="shared" si="119"/>
        <v>21815</v>
      </c>
      <c r="V164" s="280">
        <f t="shared" si="100"/>
        <v>1819</v>
      </c>
      <c r="W164" s="281">
        <f t="shared" si="101"/>
        <v>9.096819363872774E-2</v>
      </c>
    </row>
    <row r="165" spans="1:23" ht="25.5">
      <c r="A165" s="300" t="s">
        <v>422</v>
      </c>
      <c r="B165" s="301" t="s">
        <v>428</v>
      </c>
      <c r="C165" s="173" t="s">
        <v>429</v>
      </c>
      <c r="D165" s="76" t="s">
        <v>425</v>
      </c>
      <c r="E165" s="155" t="s">
        <v>46</v>
      </c>
      <c r="F165" s="277">
        <f>IFERROR((VLOOKUP(E165,'MEMORANDOS E IPC 2023 Y 2024'!$A$1:$C$20,3,0)),"0")</f>
        <v>45117</v>
      </c>
      <c r="G165" s="302">
        <v>108695</v>
      </c>
      <c r="H165" s="285">
        <f>G165</f>
        <v>108695</v>
      </c>
      <c r="I165" s="285">
        <f t="shared" ref="I165:L165" si="120">H165</f>
        <v>108695</v>
      </c>
      <c r="J165" s="285">
        <f t="shared" si="120"/>
        <v>108695</v>
      </c>
      <c r="K165" s="285">
        <f t="shared" si="120"/>
        <v>108695</v>
      </c>
      <c r="L165" s="285">
        <f t="shared" si="120"/>
        <v>108695</v>
      </c>
      <c r="M165" s="279">
        <f>IF(($F165="0"),$F165,(ROUNDDOWN((L165*(1+(M$4/100))),0)))</f>
        <v>109455</v>
      </c>
      <c r="N165" s="279">
        <f t="shared" si="119"/>
        <v>110046</v>
      </c>
      <c r="O165" s="279">
        <f t="shared" si="119"/>
        <v>110321</v>
      </c>
      <c r="P165" s="279">
        <f t="shared" si="119"/>
        <v>110839</v>
      </c>
      <c r="Q165" s="279">
        <f t="shared" si="119"/>
        <v>111337</v>
      </c>
      <c r="R165" s="279">
        <f t="shared" si="119"/>
        <v>112361</v>
      </c>
      <c r="S165" s="279">
        <f t="shared" si="119"/>
        <v>113585</v>
      </c>
      <c r="T165" s="279">
        <f t="shared" si="119"/>
        <v>114380</v>
      </c>
      <c r="U165" s="279">
        <f t="shared" si="119"/>
        <v>115054</v>
      </c>
      <c r="V165" s="280">
        <f t="shared" si="100"/>
        <v>6359</v>
      </c>
      <c r="W165" s="281">
        <f t="shared" si="101"/>
        <v>5.8503151018906116E-2</v>
      </c>
    </row>
    <row r="166" spans="1:23">
      <c r="A166" s="300" t="s">
        <v>422</v>
      </c>
      <c r="B166" s="301" t="s">
        <v>430</v>
      </c>
      <c r="C166" s="303" t="s">
        <v>431</v>
      </c>
      <c r="D166" s="195" t="s">
        <v>425</v>
      </c>
      <c r="E166" s="155" t="s">
        <v>36</v>
      </c>
      <c r="F166" s="277">
        <f>IFERROR((VLOOKUP(E166,'MEMORANDOS E IPC 2023 Y 2024'!$A$1:$C$20,3,0)),"0")</f>
        <v>44974</v>
      </c>
      <c r="G166" s="302">
        <v>76037</v>
      </c>
      <c r="H166" s="279">
        <f>IF(($F166="0"),$F166,(ROUNDDOWN((G166*(1+(H$4/100))),0)))</f>
        <v>76835</v>
      </c>
      <c r="I166" s="279">
        <f t="shared" ref="I166:U168" si="121">IF(($F166="0"),$F166,(ROUNDDOWN((H166*(1+(I$4/100))),0)))</f>
        <v>77434</v>
      </c>
      <c r="J166" s="279">
        <f t="shared" si="121"/>
        <v>77766</v>
      </c>
      <c r="K166" s="279">
        <f t="shared" si="121"/>
        <v>77999</v>
      </c>
      <c r="L166" s="279">
        <f t="shared" si="121"/>
        <v>78388</v>
      </c>
      <c r="M166" s="279">
        <f t="shared" si="121"/>
        <v>78936</v>
      </c>
      <c r="N166" s="279">
        <f t="shared" si="121"/>
        <v>79362</v>
      </c>
      <c r="O166" s="279">
        <f t="shared" si="121"/>
        <v>79560</v>
      </c>
      <c r="P166" s="279">
        <f t="shared" si="121"/>
        <v>79933</v>
      </c>
      <c r="Q166" s="279">
        <f t="shared" si="121"/>
        <v>80292</v>
      </c>
      <c r="R166" s="279">
        <f t="shared" si="121"/>
        <v>81030</v>
      </c>
      <c r="S166" s="279">
        <f t="shared" si="121"/>
        <v>81913</v>
      </c>
      <c r="T166" s="279">
        <f t="shared" si="121"/>
        <v>82486</v>
      </c>
      <c r="U166" s="279">
        <f t="shared" si="121"/>
        <v>82972</v>
      </c>
      <c r="V166" s="280">
        <f t="shared" si="100"/>
        <v>6935</v>
      </c>
      <c r="W166" s="281">
        <f t="shared" si="101"/>
        <v>9.1205597275010847E-2</v>
      </c>
    </row>
    <row r="167" spans="1:23">
      <c r="A167" s="300" t="s">
        <v>422</v>
      </c>
      <c r="B167" s="304" t="s">
        <v>432</v>
      </c>
      <c r="C167" s="305" t="s">
        <v>433</v>
      </c>
      <c r="D167" s="195" t="s">
        <v>108</v>
      </c>
      <c r="E167" s="155" t="s">
        <v>36</v>
      </c>
      <c r="F167" s="277">
        <f>IFERROR((VLOOKUP(E167,'MEMORANDOS E IPC 2023 Y 2024'!$A$1:$C$20,3,0)),"0")</f>
        <v>44974</v>
      </c>
      <c r="G167" s="302">
        <v>3997</v>
      </c>
      <c r="H167" s="279">
        <f>IF(($F167="0"),$F167,(ROUNDDOWN((G167*(1+(H$4/100))),0)))</f>
        <v>4038</v>
      </c>
      <c r="I167" s="279">
        <f t="shared" si="121"/>
        <v>4069</v>
      </c>
      <c r="J167" s="279">
        <f t="shared" si="121"/>
        <v>4086</v>
      </c>
      <c r="K167" s="279">
        <f t="shared" si="121"/>
        <v>4098</v>
      </c>
      <c r="L167" s="279">
        <f t="shared" si="121"/>
        <v>4118</v>
      </c>
      <c r="M167" s="279">
        <f t="shared" si="121"/>
        <v>4146</v>
      </c>
      <c r="N167" s="279">
        <f t="shared" si="121"/>
        <v>4168</v>
      </c>
      <c r="O167" s="279">
        <f t="shared" si="121"/>
        <v>4178</v>
      </c>
      <c r="P167" s="279">
        <f t="shared" si="121"/>
        <v>4197</v>
      </c>
      <c r="Q167" s="279">
        <f t="shared" si="121"/>
        <v>4215</v>
      </c>
      <c r="R167" s="279">
        <f t="shared" si="121"/>
        <v>4253</v>
      </c>
      <c r="S167" s="279">
        <f t="shared" si="121"/>
        <v>4299</v>
      </c>
      <c r="T167" s="279">
        <f t="shared" si="121"/>
        <v>4329</v>
      </c>
      <c r="U167" s="279">
        <f t="shared" si="121"/>
        <v>4354</v>
      </c>
      <c r="V167" s="280">
        <f t="shared" si="100"/>
        <v>357</v>
      </c>
      <c r="W167" s="281">
        <f t="shared" si="101"/>
        <v>8.9316987740805598E-2</v>
      </c>
    </row>
    <row r="168" spans="1:23" ht="26.25">
      <c r="A168" s="306" t="s">
        <v>434</v>
      </c>
      <c r="B168" s="307" t="s">
        <v>435</v>
      </c>
      <c r="C168" s="308" t="s">
        <v>436</v>
      </c>
      <c r="D168" s="76" t="s">
        <v>108</v>
      </c>
      <c r="E168" s="77" t="s">
        <v>48</v>
      </c>
      <c r="F168" s="277">
        <f>IFERROR((VLOOKUP(E168,'MEMORANDOS E IPC 2023 Y 2024'!$A$1:$C$20,3,0)),"0")</f>
        <v>45161</v>
      </c>
      <c r="G168" s="209">
        <v>4174</v>
      </c>
      <c r="H168" s="278">
        <f>G168</f>
        <v>4174</v>
      </c>
      <c r="I168" s="278">
        <f t="shared" ref="I168:M168" si="122">H168</f>
        <v>4174</v>
      </c>
      <c r="J168" s="278">
        <f t="shared" si="122"/>
        <v>4174</v>
      </c>
      <c r="K168" s="278">
        <f t="shared" si="122"/>
        <v>4174</v>
      </c>
      <c r="L168" s="278">
        <f t="shared" si="122"/>
        <v>4174</v>
      </c>
      <c r="M168" s="278">
        <f t="shared" si="122"/>
        <v>4174</v>
      </c>
      <c r="N168" s="279">
        <f>IF(($F168="0"),$F168,(ROUNDDOWN((M168*(1+(N$4/100))),0)))</f>
        <v>4196</v>
      </c>
      <c r="O168" s="279">
        <f t="shared" si="121"/>
        <v>4206</v>
      </c>
      <c r="P168" s="279">
        <f t="shared" si="121"/>
        <v>4225</v>
      </c>
      <c r="Q168" s="279">
        <f t="shared" si="121"/>
        <v>4244</v>
      </c>
      <c r="R168" s="279">
        <f t="shared" si="121"/>
        <v>4283</v>
      </c>
      <c r="S168" s="279">
        <f t="shared" si="121"/>
        <v>4329</v>
      </c>
      <c r="T168" s="279">
        <f t="shared" si="121"/>
        <v>4359</v>
      </c>
      <c r="U168" s="279">
        <f t="shared" si="121"/>
        <v>4384</v>
      </c>
      <c r="V168" s="280">
        <f t="shared" si="100"/>
        <v>210</v>
      </c>
      <c r="W168" s="281">
        <f t="shared" si="101"/>
        <v>5.0311451844753233E-2</v>
      </c>
    </row>
    <row r="169" spans="1:23">
      <c r="A169" s="306" t="s">
        <v>434</v>
      </c>
      <c r="B169" s="309" t="s">
        <v>437</v>
      </c>
      <c r="C169" s="308" t="s">
        <v>438</v>
      </c>
      <c r="D169" s="76" t="s">
        <v>439</v>
      </c>
      <c r="E169" s="77" t="s">
        <v>38</v>
      </c>
      <c r="F169" s="277">
        <f>IFERROR((VLOOKUP(E169,'MEMORANDOS E IPC 2023 Y 2024'!$A$1:$C$20,3,0)),"0")</f>
        <v>45002</v>
      </c>
      <c r="G169" s="209">
        <v>40609</v>
      </c>
      <c r="H169" s="278">
        <f>G169</f>
        <v>40609</v>
      </c>
      <c r="I169" s="279">
        <f t="shared" ref="I169:U171" si="123">IF(($F169="0"),$F169,(ROUNDDOWN((H169*(1+(I$4/100))),0)))</f>
        <v>40925</v>
      </c>
      <c r="J169" s="279">
        <f t="shared" si="123"/>
        <v>41100</v>
      </c>
      <c r="K169" s="279">
        <f t="shared" si="123"/>
        <v>41223</v>
      </c>
      <c r="L169" s="279">
        <f t="shared" si="123"/>
        <v>41429</v>
      </c>
      <c r="M169" s="279">
        <f t="shared" si="123"/>
        <v>41719</v>
      </c>
      <c r="N169" s="279">
        <f t="shared" si="123"/>
        <v>41944</v>
      </c>
      <c r="O169" s="279">
        <f t="shared" si="123"/>
        <v>42048</v>
      </c>
      <c r="P169" s="279">
        <f t="shared" si="123"/>
        <v>42245</v>
      </c>
      <c r="Q169" s="279">
        <f t="shared" si="123"/>
        <v>42435</v>
      </c>
      <c r="R169" s="279">
        <f t="shared" si="123"/>
        <v>42825</v>
      </c>
      <c r="S169" s="279">
        <f t="shared" si="123"/>
        <v>43291</v>
      </c>
      <c r="T169" s="279">
        <f t="shared" si="123"/>
        <v>43594</v>
      </c>
      <c r="U169" s="279">
        <f t="shared" si="123"/>
        <v>43851</v>
      </c>
      <c r="V169" s="280">
        <f t="shared" si="100"/>
        <v>3242</v>
      </c>
      <c r="W169" s="281">
        <f t="shared" si="101"/>
        <v>7.9834519441503118E-2</v>
      </c>
    </row>
    <row r="170" spans="1:23" ht="25.5">
      <c r="A170" s="306" t="s">
        <v>434</v>
      </c>
      <c r="B170" s="309" t="s">
        <v>440</v>
      </c>
      <c r="C170" s="308" t="s">
        <v>441</v>
      </c>
      <c r="D170" s="76" t="s">
        <v>442</v>
      </c>
      <c r="E170" s="77" t="s">
        <v>38</v>
      </c>
      <c r="F170" s="277">
        <f>IFERROR((VLOOKUP(E170,'MEMORANDOS E IPC 2023 Y 2024'!$A$1:$C$20,3,0)),"0")</f>
        <v>45002</v>
      </c>
      <c r="G170" s="209">
        <v>40132</v>
      </c>
      <c r="H170" s="278">
        <f>G170</f>
        <v>40132</v>
      </c>
      <c r="I170" s="279">
        <f t="shared" si="123"/>
        <v>40445</v>
      </c>
      <c r="J170" s="279">
        <f t="shared" si="123"/>
        <v>40618</v>
      </c>
      <c r="K170" s="279">
        <f t="shared" si="123"/>
        <v>40739</v>
      </c>
      <c r="L170" s="279">
        <f t="shared" si="123"/>
        <v>40942</v>
      </c>
      <c r="M170" s="279">
        <f t="shared" si="123"/>
        <v>41228</v>
      </c>
      <c r="N170" s="279">
        <f t="shared" si="123"/>
        <v>41450</v>
      </c>
      <c r="O170" s="279">
        <f t="shared" si="123"/>
        <v>41553</v>
      </c>
      <c r="P170" s="279">
        <f t="shared" si="123"/>
        <v>41748</v>
      </c>
      <c r="Q170" s="279">
        <f t="shared" si="123"/>
        <v>41935</v>
      </c>
      <c r="R170" s="279">
        <f t="shared" si="123"/>
        <v>42320</v>
      </c>
      <c r="S170" s="279">
        <f t="shared" si="123"/>
        <v>42781</v>
      </c>
      <c r="T170" s="279">
        <f t="shared" si="123"/>
        <v>43080</v>
      </c>
      <c r="U170" s="279">
        <f t="shared" si="123"/>
        <v>43334</v>
      </c>
      <c r="V170" s="280">
        <f t="shared" si="100"/>
        <v>3202</v>
      </c>
      <c r="W170" s="281">
        <f t="shared" si="101"/>
        <v>7.9786703877205226E-2</v>
      </c>
    </row>
    <row r="171" spans="1:23" ht="26.25">
      <c r="A171" s="306" t="s">
        <v>434</v>
      </c>
      <c r="B171" s="301" t="s">
        <v>423</v>
      </c>
      <c r="C171" s="308" t="s">
        <v>443</v>
      </c>
      <c r="D171" s="76" t="s">
        <v>444</v>
      </c>
      <c r="E171" s="77" t="s">
        <v>46</v>
      </c>
      <c r="F171" s="277">
        <f>IFERROR((VLOOKUP(E171,'MEMORANDOS E IPC 2023 Y 2024'!$A$1:$C$20,3,0)),"0")</f>
        <v>45117</v>
      </c>
      <c r="G171" s="209">
        <v>106033</v>
      </c>
      <c r="H171" s="285">
        <f>G171</f>
        <v>106033</v>
      </c>
      <c r="I171" s="285">
        <f t="shared" ref="I171:L171" si="124">H171</f>
        <v>106033</v>
      </c>
      <c r="J171" s="285">
        <f t="shared" si="124"/>
        <v>106033</v>
      </c>
      <c r="K171" s="285">
        <f t="shared" si="124"/>
        <v>106033</v>
      </c>
      <c r="L171" s="285">
        <f t="shared" si="124"/>
        <v>106033</v>
      </c>
      <c r="M171" s="279">
        <f>IF(($F171="0"),$F171,(ROUNDDOWN((L171*(1+(M$4/100))),0)))</f>
        <v>106775</v>
      </c>
      <c r="N171" s="279">
        <f t="shared" si="123"/>
        <v>107351</v>
      </c>
      <c r="O171" s="279">
        <f t="shared" si="123"/>
        <v>107619</v>
      </c>
      <c r="P171" s="279">
        <f t="shared" si="123"/>
        <v>108124</v>
      </c>
      <c r="Q171" s="279">
        <f t="shared" si="123"/>
        <v>108610</v>
      </c>
      <c r="R171" s="279">
        <f t="shared" si="123"/>
        <v>109609</v>
      </c>
      <c r="S171" s="279">
        <f t="shared" si="123"/>
        <v>110803</v>
      </c>
      <c r="T171" s="279">
        <f t="shared" si="123"/>
        <v>111578</v>
      </c>
      <c r="U171" s="279">
        <f t="shared" si="123"/>
        <v>112236</v>
      </c>
      <c r="V171" s="280">
        <f t="shared" si="100"/>
        <v>6203</v>
      </c>
      <c r="W171" s="281">
        <f t="shared" si="101"/>
        <v>5.8500655456320202E-2</v>
      </c>
    </row>
    <row r="172" spans="1:23">
      <c r="A172" s="306" t="s">
        <v>434</v>
      </c>
      <c r="B172" s="307" t="s">
        <v>445</v>
      </c>
      <c r="C172" s="308" t="s">
        <v>446</v>
      </c>
      <c r="D172" s="76" t="s">
        <v>108</v>
      </c>
      <c r="E172" s="77" t="s">
        <v>36</v>
      </c>
      <c r="F172" s="277">
        <f>IFERROR((VLOOKUP(E172,'MEMORANDOS E IPC 2023 Y 2024'!$A$1:$C$20,3,0)),"0")</f>
        <v>44974</v>
      </c>
      <c r="G172" s="209">
        <v>952</v>
      </c>
      <c r="H172" s="279">
        <f t="shared" ref="H172:U181" si="125">IF(($F172="0"),$F172,(ROUNDDOWN((G172*(1+(H$4/100))),0)))</f>
        <v>961</v>
      </c>
      <c r="I172" s="279">
        <f t="shared" si="125"/>
        <v>968</v>
      </c>
      <c r="J172" s="279">
        <f t="shared" si="125"/>
        <v>972</v>
      </c>
      <c r="K172" s="279">
        <f t="shared" si="125"/>
        <v>974</v>
      </c>
      <c r="L172" s="279">
        <f t="shared" si="125"/>
        <v>978</v>
      </c>
      <c r="M172" s="279">
        <f t="shared" si="125"/>
        <v>984</v>
      </c>
      <c r="N172" s="279">
        <f t="shared" si="125"/>
        <v>989</v>
      </c>
      <c r="O172" s="279">
        <f t="shared" si="125"/>
        <v>991</v>
      </c>
      <c r="P172" s="279">
        <f t="shared" si="125"/>
        <v>995</v>
      </c>
      <c r="Q172" s="279">
        <f t="shared" si="125"/>
        <v>999</v>
      </c>
      <c r="R172" s="279">
        <f t="shared" si="125"/>
        <v>1008</v>
      </c>
      <c r="S172" s="279">
        <f t="shared" si="125"/>
        <v>1018</v>
      </c>
      <c r="T172" s="279">
        <f t="shared" si="125"/>
        <v>1025</v>
      </c>
      <c r="U172" s="279">
        <f t="shared" si="125"/>
        <v>1031</v>
      </c>
      <c r="V172" s="280">
        <f t="shared" si="100"/>
        <v>79</v>
      </c>
      <c r="W172" s="281">
        <f t="shared" si="101"/>
        <v>8.2983193277310921E-2</v>
      </c>
    </row>
    <row r="173" spans="1:23" ht="26.25">
      <c r="A173" s="306" t="s">
        <v>434</v>
      </c>
      <c r="B173" s="310" t="s">
        <v>447</v>
      </c>
      <c r="C173" s="308" t="s">
        <v>448</v>
      </c>
      <c r="D173" s="76" t="s">
        <v>108</v>
      </c>
      <c r="E173" s="77" t="s">
        <v>36</v>
      </c>
      <c r="F173" s="277">
        <f>IFERROR((VLOOKUP(E173,'MEMORANDOS E IPC 2023 Y 2024'!$A$1:$C$20,3,0)),"0")</f>
        <v>44974</v>
      </c>
      <c r="G173" s="311">
        <v>744</v>
      </c>
      <c r="H173" s="279">
        <f t="shared" si="125"/>
        <v>751</v>
      </c>
      <c r="I173" s="279">
        <f t="shared" si="125"/>
        <v>756</v>
      </c>
      <c r="J173" s="279">
        <f t="shared" si="125"/>
        <v>759</v>
      </c>
      <c r="K173" s="279">
        <f t="shared" si="125"/>
        <v>761</v>
      </c>
      <c r="L173" s="279">
        <f t="shared" si="125"/>
        <v>764</v>
      </c>
      <c r="M173" s="279">
        <f t="shared" si="125"/>
        <v>769</v>
      </c>
      <c r="N173" s="279">
        <f t="shared" si="125"/>
        <v>773</v>
      </c>
      <c r="O173" s="279">
        <f t="shared" si="125"/>
        <v>774</v>
      </c>
      <c r="P173" s="279">
        <f t="shared" si="125"/>
        <v>777</v>
      </c>
      <c r="Q173" s="279">
        <f t="shared" si="125"/>
        <v>780</v>
      </c>
      <c r="R173" s="279">
        <f t="shared" si="125"/>
        <v>787</v>
      </c>
      <c r="S173" s="279">
        <f t="shared" si="125"/>
        <v>795</v>
      </c>
      <c r="T173" s="279">
        <f t="shared" si="125"/>
        <v>800</v>
      </c>
      <c r="U173" s="279">
        <f t="shared" si="125"/>
        <v>804</v>
      </c>
      <c r="V173" s="280">
        <f t="shared" si="100"/>
        <v>60</v>
      </c>
      <c r="W173" s="281">
        <f t="shared" si="101"/>
        <v>8.0645161290322578E-2</v>
      </c>
    </row>
    <row r="174" spans="1:23" ht="26.25">
      <c r="A174" s="306" t="s">
        <v>434</v>
      </c>
      <c r="B174" s="310" t="s">
        <v>449</v>
      </c>
      <c r="C174" s="308" t="s">
        <v>450</v>
      </c>
      <c r="D174" s="76" t="s">
        <v>108</v>
      </c>
      <c r="E174" s="77" t="s">
        <v>36</v>
      </c>
      <c r="F174" s="277">
        <f>IFERROR((VLOOKUP(E174,'MEMORANDOS E IPC 2023 Y 2024'!$A$1:$C$20,3,0)),"0")</f>
        <v>44974</v>
      </c>
      <c r="G174" s="311">
        <v>952</v>
      </c>
      <c r="H174" s="279">
        <f t="shared" si="125"/>
        <v>961</v>
      </c>
      <c r="I174" s="279">
        <f t="shared" si="125"/>
        <v>968</v>
      </c>
      <c r="J174" s="279">
        <f t="shared" si="125"/>
        <v>972</v>
      </c>
      <c r="K174" s="279">
        <f t="shared" si="125"/>
        <v>974</v>
      </c>
      <c r="L174" s="279">
        <f t="shared" si="125"/>
        <v>978</v>
      </c>
      <c r="M174" s="279">
        <f t="shared" si="125"/>
        <v>984</v>
      </c>
      <c r="N174" s="279">
        <f t="shared" si="125"/>
        <v>989</v>
      </c>
      <c r="O174" s="279">
        <f t="shared" si="125"/>
        <v>991</v>
      </c>
      <c r="P174" s="279">
        <f t="shared" si="125"/>
        <v>995</v>
      </c>
      <c r="Q174" s="279">
        <f t="shared" si="125"/>
        <v>999</v>
      </c>
      <c r="R174" s="279">
        <f t="shared" si="125"/>
        <v>1008</v>
      </c>
      <c r="S174" s="279">
        <f t="shared" si="125"/>
        <v>1018</v>
      </c>
      <c r="T174" s="279">
        <f t="shared" si="125"/>
        <v>1025</v>
      </c>
      <c r="U174" s="279">
        <f t="shared" si="125"/>
        <v>1031</v>
      </c>
      <c r="V174" s="280">
        <f t="shared" si="100"/>
        <v>79</v>
      </c>
      <c r="W174" s="281">
        <f t="shared" si="101"/>
        <v>8.2983193277310921E-2</v>
      </c>
    </row>
    <row r="175" spans="1:23" ht="26.25">
      <c r="A175" s="306" t="s">
        <v>434</v>
      </c>
      <c r="B175" s="310" t="s">
        <v>451</v>
      </c>
      <c r="C175" s="308" t="s">
        <v>452</v>
      </c>
      <c r="D175" s="76" t="s">
        <v>108</v>
      </c>
      <c r="E175" s="77" t="s">
        <v>36</v>
      </c>
      <c r="F175" s="277">
        <f>IFERROR((VLOOKUP(E175,'MEMORANDOS E IPC 2023 Y 2024'!$A$1:$C$20,3,0)),"0")</f>
        <v>44974</v>
      </c>
      <c r="G175" s="311">
        <v>952</v>
      </c>
      <c r="H175" s="279">
        <f t="shared" si="125"/>
        <v>961</v>
      </c>
      <c r="I175" s="279">
        <f t="shared" si="125"/>
        <v>968</v>
      </c>
      <c r="J175" s="279">
        <f t="shared" si="125"/>
        <v>972</v>
      </c>
      <c r="K175" s="279">
        <f t="shared" si="125"/>
        <v>974</v>
      </c>
      <c r="L175" s="279">
        <f t="shared" si="125"/>
        <v>978</v>
      </c>
      <c r="M175" s="279">
        <f t="shared" si="125"/>
        <v>984</v>
      </c>
      <c r="N175" s="279">
        <f t="shared" si="125"/>
        <v>989</v>
      </c>
      <c r="O175" s="279">
        <f t="shared" si="125"/>
        <v>991</v>
      </c>
      <c r="P175" s="279">
        <f t="shared" si="125"/>
        <v>995</v>
      </c>
      <c r="Q175" s="279">
        <f t="shared" si="125"/>
        <v>999</v>
      </c>
      <c r="R175" s="279">
        <f t="shared" si="125"/>
        <v>1008</v>
      </c>
      <c r="S175" s="279">
        <f t="shared" si="125"/>
        <v>1018</v>
      </c>
      <c r="T175" s="279">
        <f t="shared" si="125"/>
        <v>1025</v>
      </c>
      <c r="U175" s="279">
        <f t="shared" si="125"/>
        <v>1031</v>
      </c>
      <c r="V175" s="280">
        <f t="shared" si="100"/>
        <v>79</v>
      </c>
      <c r="W175" s="281">
        <f t="shared" si="101"/>
        <v>8.2983193277310921E-2</v>
      </c>
    </row>
    <row r="176" spans="1:23" ht="26.25">
      <c r="A176" s="306" t="s">
        <v>434</v>
      </c>
      <c r="B176" s="310" t="s">
        <v>453</v>
      </c>
      <c r="C176" s="308" t="s">
        <v>454</v>
      </c>
      <c r="D176" s="76" t="s">
        <v>108</v>
      </c>
      <c r="E176" s="77" t="s">
        <v>36</v>
      </c>
      <c r="F176" s="277">
        <f>IFERROR((VLOOKUP(E176,'MEMORANDOS E IPC 2023 Y 2024'!$A$1:$C$20,3,0)),"0")</f>
        <v>44974</v>
      </c>
      <c r="G176" s="311">
        <v>952</v>
      </c>
      <c r="H176" s="279">
        <f t="shared" si="125"/>
        <v>961</v>
      </c>
      <c r="I176" s="279">
        <f t="shared" si="125"/>
        <v>968</v>
      </c>
      <c r="J176" s="279">
        <f t="shared" si="125"/>
        <v>972</v>
      </c>
      <c r="K176" s="279">
        <f t="shared" si="125"/>
        <v>974</v>
      </c>
      <c r="L176" s="279">
        <f t="shared" si="125"/>
        <v>978</v>
      </c>
      <c r="M176" s="279">
        <f t="shared" si="125"/>
        <v>984</v>
      </c>
      <c r="N176" s="279">
        <f t="shared" si="125"/>
        <v>989</v>
      </c>
      <c r="O176" s="279">
        <f t="shared" si="125"/>
        <v>991</v>
      </c>
      <c r="P176" s="279">
        <f t="shared" si="125"/>
        <v>995</v>
      </c>
      <c r="Q176" s="279">
        <f t="shared" si="125"/>
        <v>999</v>
      </c>
      <c r="R176" s="279">
        <f t="shared" si="125"/>
        <v>1008</v>
      </c>
      <c r="S176" s="279">
        <f t="shared" si="125"/>
        <v>1018</v>
      </c>
      <c r="T176" s="279">
        <f t="shared" si="125"/>
        <v>1025</v>
      </c>
      <c r="U176" s="279">
        <f t="shared" si="125"/>
        <v>1031</v>
      </c>
      <c r="V176" s="280">
        <f t="shared" si="100"/>
        <v>79</v>
      </c>
      <c r="W176" s="281">
        <f t="shared" si="101"/>
        <v>8.2983193277310921E-2</v>
      </c>
    </row>
    <row r="177" spans="1:23" ht="26.25">
      <c r="A177" s="306" t="s">
        <v>434</v>
      </c>
      <c r="B177" s="310" t="s">
        <v>455</v>
      </c>
      <c r="C177" s="308" t="s">
        <v>456</v>
      </c>
      <c r="D177" s="76" t="s">
        <v>108</v>
      </c>
      <c r="E177" s="77" t="s">
        <v>36</v>
      </c>
      <c r="F177" s="277">
        <f>IFERROR((VLOOKUP(E177,'MEMORANDOS E IPC 2023 Y 2024'!$A$1:$C$20,3,0)),"0")</f>
        <v>44974</v>
      </c>
      <c r="G177" s="311">
        <v>952</v>
      </c>
      <c r="H177" s="279">
        <f t="shared" si="125"/>
        <v>961</v>
      </c>
      <c r="I177" s="279">
        <f t="shared" si="125"/>
        <v>968</v>
      </c>
      <c r="J177" s="279">
        <f t="shared" si="125"/>
        <v>972</v>
      </c>
      <c r="K177" s="279">
        <f t="shared" si="125"/>
        <v>974</v>
      </c>
      <c r="L177" s="279">
        <f t="shared" si="125"/>
        <v>978</v>
      </c>
      <c r="M177" s="279">
        <f t="shared" si="125"/>
        <v>984</v>
      </c>
      <c r="N177" s="279">
        <f t="shared" si="125"/>
        <v>989</v>
      </c>
      <c r="O177" s="279">
        <f t="shared" si="125"/>
        <v>991</v>
      </c>
      <c r="P177" s="279">
        <f t="shared" si="125"/>
        <v>995</v>
      </c>
      <c r="Q177" s="279">
        <f t="shared" si="125"/>
        <v>999</v>
      </c>
      <c r="R177" s="279">
        <f t="shared" si="125"/>
        <v>1008</v>
      </c>
      <c r="S177" s="279">
        <f t="shared" si="125"/>
        <v>1018</v>
      </c>
      <c r="T177" s="279">
        <f t="shared" si="125"/>
        <v>1025</v>
      </c>
      <c r="U177" s="279">
        <f t="shared" si="125"/>
        <v>1031</v>
      </c>
      <c r="V177" s="280">
        <f t="shared" si="100"/>
        <v>79</v>
      </c>
      <c r="W177" s="281">
        <f t="shared" si="101"/>
        <v>8.2983193277310921E-2</v>
      </c>
    </row>
    <row r="178" spans="1:23">
      <c r="A178" s="306" t="s">
        <v>434</v>
      </c>
      <c r="B178" s="310" t="s">
        <v>457</v>
      </c>
      <c r="C178" s="308" t="s">
        <v>458</v>
      </c>
      <c r="D178" s="76" t="s">
        <v>108</v>
      </c>
      <c r="E178" s="77" t="s">
        <v>36</v>
      </c>
      <c r="F178" s="277">
        <f>IFERROR((VLOOKUP(E178,'MEMORANDOS E IPC 2023 Y 2024'!$A$1:$C$20,3,0)),"0")</f>
        <v>44974</v>
      </c>
      <c r="G178" s="311">
        <v>952</v>
      </c>
      <c r="H178" s="279">
        <f t="shared" si="125"/>
        <v>961</v>
      </c>
      <c r="I178" s="279">
        <f t="shared" si="125"/>
        <v>968</v>
      </c>
      <c r="J178" s="279">
        <f t="shared" si="125"/>
        <v>972</v>
      </c>
      <c r="K178" s="279">
        <f t="shared" si="125"/>
        <v>974</v>
      </c>
      <c r="L178" s="279">
        <f t="shared" si="125"/>
        <v>978</v>
      </c>
      <c r="M178" s="279">
        <f t="shared" si="125"/>
        <v>984</v>
      </c>
      <c r="N178" s="279">
        <f t="shared" si="125"/>
        <v>989</v>
      </c>
      <c r="O178" s="279">
        <f t="shared" si="125"/>
        <v>991</v>
      </c>
      <c r="P178" s="279">
        <f t="shared" si="125"/>
        <v>995</v>
      </c>
      <c r="Q178" s="279">
        <f t="shared" si="125"/>
        <v>999</v>
      </c>
      <c r="R178" s="279">
        <f t="shared" si="125"/>
        <v>1008</v>
      </c>
      <c r="S178" s="279">
        <f t="shared" si="125"/>
        <v>1018</v>
      </c>
      <c r="T178" s="279">
        <f t="shared" si="125"/>
        <v>1025</v>
      </c>
      <c r="U178" s="279">
        <f t="shared" si="125"/>
        <v>1031</v>
      </c>
      <c r="V178" s="280">
        <f t="shared" si="100"/>
        <v>79</v>
      </c>
      <c r="W178" s="281">
        <f t="shared" si="101"/>
        <v>8.2983193277310921E-2</v>
      </c>
    </row>
    <row r="179" spans="1:23">
      <c r="A179" s="306" t="s">
        <v>434</v>
      </c>
      <c r="B179" s="307" t="s">
        <v>459</v>
      </c>
      <c r="C179" s="308" t="s">
        <v>460</v>
      </c>
      <c r="D179" s="76" t="s">
        <v>108</v>
      </c>
      <c r="E179" s="77" t="s">
        <v>36</v>
      </c>
      <c r="F179" s="277">
        <f>IFERROR((VLOOKUP(E179,'MEMORANDOS E IPC 2023 Y 2024'!$A$1:$C$20,3,0)),"0")</f>
        <v>44974</v>
      </c>
      <c r="G179" s="211">
        <v>8749</v>
      </c>
      <c r="H179" s="279">
        <f t="shared" si="125"/>
        <v>8840</v>
      </c>
      <c r="I179" s="279">
        <f t="shared" si="125"/>
        <v>8908</v>
      </c>
      <c r="J179" s="279">
        <f t="shared" si="125"/>
        <v>8946</v>
      </c>
      <c r="K179" s="279">
        <f t="shared" si="125"/>
        <v>8972</v>
      </c>
      <c r="L179" s="279">
        <f t="shared" si="125"/>
        <v>9016</v>
      </c>
      <c r="M179" s="279">
        <f t="shared" si="125"/>
        <v>9079</v>
      </c>
      <c r="N179" s="279">
        <f t="shared" si="125"/>
        <v>9128</v>
      </c>
      <c r="O179" s="279">
        <f t="shared" si="125"/>
        <v>9150</v>
      </c>
      <c r="P179" s="279">
        <f t="shared" si="125"/>
        <v>9193</v>
      </c>
      <c r="Q179" s="279">
        <f t="shared" si="125"/>
        <v>9234</v>
      </c>
      <c r="R179" s="279">
        <f t="shared" si="125"/>
        <v>9318</v>
      </c>
      <c r="S179" s="279">
        <f t="shared" si="125"/>
        <v>9419</v>
      </c>
      <c r="T179" s="279">
        <f t="shared" si="125"/>
        <v>9484</v>
      </c>
      <c r="U179" s="279">
        <f t="shared" si="125"/>
        <v>9539</v>
      </c>
      <c r="V179" s="280">
        <f t="shared" si="100"/>
        <v>790</v>
      </c>
      <c r="W179" s="281">
        <f t="shared" si="101"/>
        <v>9.0296033832437991E-2</v>
      </c>
    </row>
    <row r="180" spans="1:23">
      <c r="A180" s="306" t="s">
        <v>434</v>
      </c>
      <c r="B180" s="4" t="s">
        <v>461</v>
      </c>
      <c r="C180" s="308" t="s">
        <v>108</v>
      </c>
      <c r="D180" s="76" t="s">
        <v>108</v>
      </c>
      <c r="E180" s="77" t="s">
        <v>36</v>
      </c>
      <c r="F180" s="277">
        <f>IFERROR((VLOOKUP(E180,'MEMORANDOS E IPC 2023 Y 2024'!$A$1:$C$20,3,0)),"0")</f>
        <v>44974</v>
      </c>
      <c r="G180" s="209">
        <v>13963</v>
      </c>
      <c r="H180" s="279">
        <f t="shared" si="125"/>
        <v>14109</v>
      </c>
      <c r="I180" s="279">
        <f t="shared" si="125"/>
        <v>14219</v>
      </c>
      <c r="J180" s="279">
        <f t="shared" si="125"/>
        <v>14280</v>
      </c>
      <c r="K180" s="279">
        <f t="shared" si="125"/>
        <v>14322</v>
      </c>
      <c r="L180" s="279">
        <f t="shared" si="125"/>
        <v>14393</v>
      </c>
      <c r="M180" s="279">
        <f t="shared" si="125"/>
        <v>14493</v>
      </c>
      <c r="N180" s="279">
        <f t="shared" si="125"/>
        <v>14571</v>
      </c>
      <c r="O180" s="279">
        <f t="shared" si="125"/>
        <v>14607</v>
      </c>
      <c r="P180" s="279">
        <f t="shared" si="125"/>
        <v>14675</v>
      </c>
      <c r="Q180" s="279">
        <f t="shared" si="125"/>
        <v>14741</v>
      </c>
      <c r="R180" s="279">
        <f t="shared" si="125"/>
        <v>14876</v>
      </c>
      <c r="S180" s="279">
        <f t="shared" si="125"/>
        <v>15038</v>
      </c>
      <c r="T180" s="279">
        <f t="shared" si="125"/>
        <v>15143</v>
      </c>
      <c r="U180" s="279">
        <f t="shared" si="125"/>
        <v>15232</v>
      </c>
      <c r="V180" s="280">
        <f t="shared" si="100"/>
        <v>1269</v>
      </c>
      <c r="W180" s="281">
        <f t="shared" si="101"/>
        <v>9.0883048055575455E-2</v>
      </c>
    </row>
    <row r="181" spans="1:23" ht="25.5">
      <c r="A181" s="306" t="s">
        <v>434</v>
      </c>
      <c r="B181" s="307" t="s">
        <v>430</v>
      </c>
      <c r="C181" s="308" t="s">
        <v>462</v>
      </c>
      <c r="D181" s="76" t="s">
        <v>444</v>
      </c>
      <c r="E181" s="77" t="s">
        <v>36</v>
      </c>
      <c r="F181" s="277">
        <f>IFERROR((VLOOKUP(E181,'MEMORANDOS E IPC 2023 Y 2024'!$A$1:$C$20,3,0)),"0")</f>
        <v>44974</v>
      </c>
      <c r="G181" s="209">
        <v>76037</v>
      </c>
      <c r="H181" s="279">
        <f t="shared" si="125"/>
        <v>76835</v>
      </c>
      <c r="I181" s="279">
        <f t="shared" si="125"/>
        <v>77434</v>
      </c>
      <c r="J181" s="279">
        <f t="shared" si="125"/>
        <v>77766</v>
      </c>
      <c r="K181" s="279">
        <f t="shared" si="125"/>
        <v>77999</v>
      </c>
      <c r="L181" s="279">
        <f t="shared" si="125"/>
        <v>78388</v>
      </c>
      <c r="M181" s="279">
        <f t="shared" si="125"/>
        <v>78936</v>
      </c>
      <c r="N181" s="279">
        <f t="shared" si="125"/>
        <v>79362</v>
      </c>
      <c r="O181" s="279">
        <f t="shared" si="125"/>
        <v>79560</v>
      </c>
      <c r="P181" s="279">
        <f t="shared" si="125"/>
        <v>79933</v>
      </c>
      <c r="Q181" s="279">
        <f t="shared" si="125"/>
        <v>80292</v>
      </c>
      <c r="R181" s="279">
        <f t="shared" si="125"/>
        <v>81030</v>
      </c>
      <c r="S181" s="279">
        <f t="shared" si="125"/>
        <v>81913</v>
      </c>
      <c r="T181" s="279">
        <f t="shared" si="125"/>
        <v>82486</v>
      </c>
      <c r="U181" s="279">
        <f t="shared" si="125"/>
        <v>82972</v>
      </c>
      <c r="V181" s="280">
        <f t="shared" si="100"/>
        <v>6935</v>
      </c>
      <c r="W181" s="281">
        <f t="shared" si="101"/>
        <v>9.1205597275010847E-2</v>
      </c>
    </row>
    <row r="182" spans="1:23" ht="26.25">
      <c r="A182" s="306" t="s">
        <v>434</v>
      </c>
      <c r="B182" s="241" t="s">
        <v>463</v>
      </c>
      <c r="C182" s="308" t="s">
        <v>464</v>
      </c>
      <c r="D182" s="76" t="s">
        <v>465</v>
      </c>
      <c r="E182" s="77" t="s">
        <v>64</v>
      </c>
      <c r="F182" s="277" t="str">
        <f>IFERROR((VLOOKUP(E182,'MEMORANDOS E IPC 2023 Y 2024'!$A$1:$C$20,3,0)),"0")</f>
        <v>0</v>
      </c>
      <c r="G182" s="209">
        <v>15791</v>
      </c>
      <c r="H182" s="279">
        <f>IF(($F182="0"),$G182,(ROUNDDOWN((G182*(1+(H$4/100))),0)))</f>
        <v>15791</v>
      </c>
      <c r="I182" s="279">
        <f t="shared" ref="I182:U182" si="126">IF(($F182="0"),$G182,(ROUNDDOWN((H182*(1+(I$4/100))),0)))</f>
        <v>15791</v>
      </c>
      <c r="J182" s="279">
        <f t="shared" si="126"/>
        <v>15791</v>
      </c>
      <c r="K182" s="279">
        <f t="shared" si="126"/>
        <v>15791</v>
      </c>
      <c r="L182" s="279">
        <f t="shared" si="126"/>
        <v>15791</v>
      </c>
      <c r="M182" s="279">
        <f t="shared" si="126"/>
        <v>15791</v>
      </c>
      <c r="N182" s="279">
        <f t="shared" si="126"/>
        <v>15791</v>
      </c>
      <c r="O182" s="279">
        <f t="shared" si="126"/>
        <v>15791</v>
      </c>
      <c r="P182" s="279">
        <f t="shared" si="126"/>
        <v>15791</v>
      </c>
      <c r="Q182" s="279">
        <f t="shared" si="126"/>
        <v>15791</v>
      </c>
      <c r="R182" s="279">
        <f t="shared" si="126"/>
        <v>15791</v>
      </c>
      <c r="S182" s="279">
        <f t="shared" si="126"/>
        <v>15791</v>
      </c>
      <c r="T182" s="279">
        <f t="shared" si="126"/>
        <v>15791</v>
      </c>
      <c r="U182" s="279">
        <f t="shared" si="126"/>
        <v>15791</v>
      </c>
      <c r="V182" s="280">
        <f t="shared" si="100"/>
        <v>0</v>
      </c>
      <c r="W182" s="281">
        <f t="shared" si="101"/>
        <v>0</v>
      </c>
    </row>
    <row r="183" spans="1:23">
      <c r="A183" s="306" t="s">
        <v>434</v>
      </c>
      <c r="B183" s="241" t="s">
        <v>466</v>
      </c>
      <c r="C183" s="308" t="s">
        <v>467</v>
      </c>
      <c r="D183" s="76" t="s">
        <v>108</v>
      </c>
      <c r="E183" s="77" t="s">
        <v>36</v>
      </c>
      <c r="F183" s="277">
        <f>IFERROR((VLOOKUP(E183,'MEMORANDOS E IPC 2023 Y 2024'!$A$1:$C$20,3,0)),"0")</f>
        <v>44974</v>
      </c>
      <c r="G183" s="209">
        <v>14465</v>
      </c>
      <c r="H183" s="279">
        <f>IF(($F183="0"),$F183,(ROUNDDOWN((G183*(1+(H$4/100))),0)))</f>
        <v>14616</v>
      </c>
      <c r="I183" s="279">
        <f t="shared" ref="I183:U185" si="127">IF(($F183="0"),$F183,(ROUNDDOWN((H183*(1+(I$4/100))),0)))</f>
        <v>14730</v>
      </c>
      <c r="J183" s="279">
        <f t="shared" si="127"/>
        <v>14793</v>
      </c>
      <c r="K183" s="279">
        <f t="shared" si="127"/>
        <v>14837</v>
      </c>
      <c r="L183" s="279">
        <f t="shared" si="127"/>
        <v>14911</v>
      </c>
      <c r="M183" s="279">
        <f t="shared" si="127"/>
        <v>15015</v>
      </c>
      <c r="N183" s="279">
        <f t="shared" si="127"/>
        <v>15096</v>
      </c>
      <c r="O183" s="279">
        <f t="shared" si="127"/>
        <v>15133</v>
      </c>
      <c r="P183" s="279">
        <f t="shared" si="127"/>
        <v>15204</v>
      </c>
      <c r="Q183" s="279">
        <f t="shared" si="127"/>
        <v>15272</v>
      </c>
      <c r="R183" s="279">
        <f t="shared" si="127"/>
        <v>15412</v>
      </c>
      <c r="S183" s="279">
        <f t="shared" si="127"/>
        <v>15579</v>
      </c>
      <c r="T183" s="279">
        <f t="shared" si="127"/>
        <v>15688</v>
      </c>
      <c r="U183" s="279">
        <f t="shared" si="127"/>
        <v>15780</v>
      </c>
      <c r="V183" s="280">
        <f t="shared" si="100"/>
        <v>1315</v>
      </c>
      <c r="W183" s="281">
        <f t="shared" si="101"/>
        <v>9.0909090909090912E-2</v>
      </c>
    </row>
    <row r="184" spans="1:23">
      <c r="A184" s="306" t="s">
        <v>434</v>
      </c>
      <c r="B184" s="309" t="s">
        <v>468</v>
      </c>
      <c r="C184" s="308" t="s">
        <v>469</v>
      </c>
      <c r="D184" s="76" t="s">
        <v>108</v>
      </c>
      <c r="E184" s="77" t="s">
        <v>36</v>
      </c>
      <c r="F184" s="277">
        <f>IFERROR((VLOOKUP(E184,'MEMORANDOS E IPC 2023 Y 2024'!$A$1:$C$20,3,0)),"0")</f>
        <v>44974</v>
      </c>
      <c r="G184" s="209">
        <v>621</v>
      </c>
      <c r="H184" s="279">
        <f>IF(($F184="0"),$F184,(ROUNDDOWN((G184*(1+(H$4/100))),0)))</f>
        <v>627</v>
      </c>
      <c r="I184" s="279">
        <f t="shared" si="127"/>
        <v>631</v>
      </c>
      <c r="J184" s="279">
        <f t="shared" si="127"/>
        <v>633</v>
      </c>
      <c r="K184" s="279">
        <f t="shared" si="127"/>
        <v>634</v>
      </c>
      <c r="L184" s="279">
        <f t="shared" si="127"/>
        <v>637</v>
      </c>
      <c r="M184" s="279">
        <f t="shared" si="127"/>
        <v>641</v>
      </c>
      <c r="N184" s="279">
        <f t="shared" si="127"/>
        <v>644</v>
      </c>
      <c r="O184" s="279">
        <f t="shared" si="127"/>
        <v>645</v>
      </c>
      <c r="P184" s="279">
        <f t="shared" si="127"/>
        <v>648</v>
      </c>
      <c r="Q184" s="279">
        <f t="shared" si="127"/>
        <v>650</v>
      </c>
      <c r="R184" s="279">
        <f t="shared" si="127"/>
        <v>655</v>
      </c>
      <c r="S184" s="279">
        <f t="shared" si="127"/>
        <v>662</v>
      </c>
      <c r="T184" s="279">
        <f t="shared" si="127"/>
        <v>666</v>
      </c>
      <c r="U184" s="279">
        <f t="shared" si="127"/>
        <v>669</v>
      </c>
      <c r="V184" s="280">
        <f t="shared" si="100"/>
        <v>48</v>
      </c>
      <c r="W184" s="281">
        <f t="shared" si="101"/>
        <v>7.7294685990338161E-2</v>
      </c>
    </row>
    <row r="185" spans="1:23">
      <c r="A185" s="306" t="s">
        <v>434</v>
      </c>
      <c r="B185" s="309" t="s">
        <v>470</v>
      </c>
      <c r="C185" s="308" t="s">
        <v>471</v>
      </c>
      <c r="D185" s="76" t="s">
        <v>108</v>
      </c>
      <c r="E185" s="77" t="s">
        <v>36</v>
      </c>
      <c r="F185" s="277">
        <f>IFERROR((VLOOKUP(E185,'MEMORANDOS E IPC 2023 Y 2024'!$A$1:$C$20,3,0)),"0")</f>
        <v>44974</v>
      </c>
      <c r="G185" s="209">
        <v>2636</v>
      </c>
      <c r="H185" s="279">
        <f>IF(($F185="0"),$F185,(ROUNDDOWN((G185*(1+(H$4/100))),0)))</f>
        <v>2663</v>
      </c>
      <c r="I185" s="279">
        <f t="shared" si="127"/>
        <v>2683</v>
      </c>
      <c r="J185" s="279">
        <f t="shared" si="127"/>
        <v>2694</v>
      </c>
      <c r="K185" s="279">
        <f t="shared" si="127"/>
        <v>2702</v>
      </c>
      <c r="L185" s="279">
        <f t="shared" si="127"/>
        <v>2715</v>
      </c>
      <c r="M185" s="279">
        <f t="shared" si="127"/>
        <v>2734</v>
      </c>
      <c r="N185" s="279">
        <f t="shared" si="127"/>
        <v>2748</v>
      </c>
      <c r="O185" s="279">
        <f t="shared" si="127"/>
        <v>2754</v>
      </c>
      <c r="P185" s="279">
        <f t="shared" si="127"/>
        <v>2766</v>
      </c>
      <c r="Q185" s="279">
        <f t="shared" si="127"/>
        <v>2778</v>
      </c>
      <c r="R185" s="279">
        <f t="shared" si="127"/>
        <v>2803</v>
      </c>
      <c r="S185" s="279">
        <f t="shared" si="127"/>
        <v>2833</v>
      </c>
      <c r="T185" s="279">
        <f t="shared" si="127"/>
        <v>2852</v>
      </c>
      <c r="U185" s="279">
        <f t="shared" si="127"/>
        <v>2868</v>
      </c>
      <c r="V185" s="280">
        <f t="shared" si="100"/>
        <v>232</v>
      </c>
      <c r="W185" s="281">
        <f t="shared" si="101"/>
        <v>8.8012139605462822E-2</v>
      </c>
    </row>
    <row r="186" spans="1:23">
      <c r="A186" s="306" t="s">
        <v>434</v>
      </c>
      <c r="B186" s="307" t="s">
        <v>472</v>
      </c>
      <c r="C186" s="308" t="s">
        <v>473</v>
      </c>
      <c r="D186" s="76" t="s">
        <v>108</v>
      </c>
      <c r="E186" s="77" t="s">
        <v>38</v>
      </c>
      <c r="F186" s="277">
        <f>IFERROR((VLOOKUP(E186,'MEMORANDOS E IPC 2023 Y 2024'!$A$1:$C$20,3,0)),"0")</f>
        <v>45002</v>
      </c>
      <c r="G186" s="209">
        <v>6684</v>
      </c>
      <c r="H186" s="279">
        <f>IF(($F186="0"),$G186,(ROUNDDOWN((G186*(1+(H$4/100))),0)))</f>
        <v>6754</v>
      </c>
      <c r="I186" s="279">
        <f t="shared" ref="I186:U186" si="128">IF(($F186="0"),$G186,(ROUNDDOWN((H186*(1+(I$4/100))),0)))</f>
        <v>6806</v>
      </c>
      <c r="J186" s="279">
        <f t="shared" si="128"/>
        <v>6835</v>
      </c>
      <c r="K186" s="279">
        <f t="shared" si="128"/>
        <v>6855</v>
      </c>
      <c r="L186" s="279">
        <f t="shared" si="128"/>
        <v>6889</v>
      </c>
      <c r="M186" s="279">
        <f t="shared" si="128"/>
        <v>6937</v>
      </c>
      <c r="N186" s="279">
        <f t="shared" si="128"/>
        <v>6974</v>
      </c>
      <c r="O186" s="279">
        <f t="shared" si="128"/>
        <v>6991</v>
      </c>
      <c r="P186" s="279">
        <f t="shared" si="128"/>
        <v>7023</v>
      </c>
      <c r="Q186" s="279">
        <f t="shared" si="128"/>
        <v>7054</v>
      </c>
      <c r="R186" s="279">
        <f t="shared" si="128"/>
        <v>7118</v>
      </c>
      <c r="S186" s="279">
        <f t="shared" si="128"/>
        <v>7195</v>
      </c>
      <c r="T186" s="279">
        <f t="shared" si="128"/>
        <v>7245</v>
      </c>
      <c r="U186" s="279">
        <f t="shared" si="128"/>
        <v>7287</v>
      </c>
      <c r="V186" s="280">
        <f t="shared" si="100"/>
        <v>603</v>
      </c>
      <c r="W186" s="281">
        <f t="shared" si="101"/>
        <v>9.0215439856373425E-2</v>
      </c>
    </row>
    <row r="187" spans="1:23">
      <c r="A187" s="306" t="s">
        <v>434</v>
      </c>
      <c r="B187" s="307" t="s">
        <v>432</v>
      </c>
      <c r="C187" s="308" t="s">
        <v>108</v>
      </c>
      <c r="D187" s="76" t="s">
        <v>108</v>
      </c>
      <c r="E187" s="77" t="s">
        <v>36</v>
      </c>
      <c r="F187" s="277">
        <f>IFERROR((VLOOKUP(E187,'MEMORANDOS E IPC 2023 Y 2024'!$A$1:$C$20,3,0)),"0")</f>
        <v>44974</v>
      </c>
      <c r="G187" s="209">
        <v>3997</v>
      </c>
      <c r="H187" s="279">
        <f>IF(($F187="0"),$F187,(ROUNDDOWN((G187*(1+(H$4/100))),0)))</f>
        <v>4038</v>
      </c>
      <c r="I187" s="279">
        <f t="shared" ref="I187:U188" si="129">IF(($F187="0"),$F187,(ROUNDDOWN((H187*(1+(I$4/100))),0)))</f>
        <v>4069</v>
      </c>
      <c r="J187" s="279">
        <f t="shared" si="129"/>
        <v>4086</v>
      </c>
      <c r="K187" s="279">
        <f t="shared" si="129"/>
        <v>4098</v>
      </c>
      <c r="L187" s="279">
        <f t="shared" si="129"/>
        <v>4118</v>
      </c>
      <c r="M187" s="279">
        <f t="shared" si="129"/>
        <v>4146</v>
      </c>
      <c r="N187" s="279">
        <f t="shared" si="129"/>
        <v>4168</v>
      </c>
      <c r="O187" s="279">
        <f t="shared" si="129"/>
        <v>4178</v>
      </c>
      <c r="P187" s="279">
        <f t="shared" si="129"/>
        <v>4197</v>
      </c>
      <c r="Q187" s="279">
        <f t="shared" si="129"/>
        <v>4215</v>
      </c>
      <c r="R187" s="279">
        <f t="shared" si="129"/>
        <v>4253</v>
      </c>
      <c r="S187" s="279">
        <f t="shared" si="129"/>
        <v>4299</v>
      </c>
      <c r="T187" s="279">
        <f t="shared" si="129"/>
        <v>4329</v>
      </c>
      <c r="U187" s="279">
        <f t="shared" si="129"/>
        <v>4354</v>
      </c>
      <c r="V187" s="280">
        <f t="shared" si="100"/>
        <v>357</v>
      </c>
      <c r="W187" s="281">
        <f t="shared" si="101"/>
        <v>8.9316987740805598E-2</v>
      </c>
    </row>
    <row r="188" spans="1:23" ht="25.5">
      <c r="A188" s="306" t="s">
        <v>434</v>
      </c>
      <c r="B188" s="309" t="s">
        <v>474</v>
      </c>
      <c r="C188" s="308" t="s">
        <v>475</v>
      </c>
      <c r="D188" s="76" t="s">
        <v>444</v>
      </c>
      <c r="E188" s="77" t="s">
        <v>38</v>
      </c>
      <c r="F188" s="277">
        <f>IFERROR((VLOOKUP(E188,'MEMORANDOS E IPC 2023 Y 2024'!$A$1:$C$20,3,0)),"0")</f>
        <v>45002</v>
      </c>
      <c r="G188" s="209">
        <v>173018</v>
      </c>
      <c r="H188" s="278">
        <f>G188</f>
        <v>173018</v>
      </c>
      <c r="I188" s="279">
        <f>IF(($F188="0"),$F188,(ROUNDDOWN((H188*(1+(I$4/100))),0)))</f>
        <v>174367</v>
      </c>
      <c r="J188" s="279">
        <f t="shared" si="129"/>
        <v>175116</v>
      </c>
      <c r="K188" s="279">
        <f t="shared" si="129"/>
        <v>175641</v>
      </c>
      <c r="L188" s="279">
        <f t="shared" si="129"/>
        <v>176519</v>
      </c>
      <c r="M188" s="279">
        <f t="shared" si="129"/>
        <v>177754</v>
      </c>
      <c r="N188" s="279">
        <f t="shared" si="129"/>
        <v>178713</v>
      </c>
      <c r="O188" s="279">
        <f t="shared" si="129"/>
        <v>179159</v>
      </c>
      <c r="P188" s="279">
        <f t="shared" si="129"/>
        <v>180001</v>
      </c>
      <c r="Q188" s="279">
        <f t="shared" si="129"/>
        <v>180811</v>
      </c>
      <c r="R188" s="279">
        <f t="shared" si="129"/>
        <v>182474</v>
      </c>
      <c r="S188" s="279">
        <f t="shared" si="129"/>
        <v>184462</v>
      </c>
      <c r="T188" s="279">
        <f t="shared" si="129"/>
        <v>185753</v>
      </c>
      <c r="U188" s="279">
        <f t="shared" si="129"/>
        <v>186848</v>
      </c>
      <c r="V188" s="280">
        <f t="shared" si="100"/>
        <v>13830</v>
      </c>
      <c r="W188" s="281">
        <f t="shared" si="101"/>
        <v>7.9933879711937481E-2</v>
      </c>
    </row>
    <row r="189" spans="1:23" ht="24">
      <c r="A189" s="306" t="s">
        <v>434</v>
      </c>
      <c r="B189" s="312" t="s">
        <v>476</v>
      </c>
      <c r="C189" s="308" t="s">
        <v>477</v>
      </c>
      <c r="D189" s="76" t="s">
        <v>108</v>
      </c>
      <c r="E189" s="77" t="s">
        <v>36</v>
      </c>
      <c r="F189" s="277">
        <f>IFERROR((VLOOKUP(E189,'MEMORANDOS E IPC 2023 Y 2024'!$A$1:$C$20,3,0)),"0")</f>
        <v>44974</v>
      </c>
      <c r="G189" s="209">
        <v>6979</v>
      </c>
      <c r="H189" s="279">
        <f>IF(($F189="0"),$F189,(ROUNDDOWN((G189*(1+(H$4/100))),0)))</f>
        <v>7052</v>
      </c>
      <c r="I189" s="279">
        <f t="shared" ref="I189:U189" si="130">IF(($F189="0"),$F189,(ROUNDDOWN((H189*(1+(I$4/100))),0)))</f>
        <v>7107</v>
      </c>
      <c r="J189" s="279">
        <f t="shared" si="130"/>
        <v>7137</v>
      </c>
      <c r="K189" s="279">
        <f t="shared" si="130"/>
        <v>7158</v>
      </c>
      <c r="L189" s="279">
        <f t="shared" si="130"/>
        <v>7193</v>
      </c>
      <c r="M189" s="279">
        <f t="shared" si="130"/>
        <v>7243</v>
      </c>
      <c r="N189" s="279">
        <f t="shared" si="130"/>
        <v>7282</v>
      </c>
      <c r="O189" s="279">
        <f t="shared" si="130"/>
        <v>7300</v>
      </c>
      <c r="P189" s="279">
        <f t="shared" si="130"/>
        <v>7334</v>
      </c>
      <c r="Q189" s="279">
        <f t="shared" si="130"/>
        <v>7367</v>
      </c>
      <c r="R189" s="279">
        <f t="shared" si="130"/>
        <v>7434</v>
      </c>
      <c r="S189" s="279">
        <f t="shared" si="130"/>
        <v>7515</v>
      </c>
      <c r="T189" s="279">
        <f t="shared" si="130"/>
        <v>7567</v>
      </c>
      <c r="U189" s="279">
        <f t="shared" si="130"/>
        <v>7611</v>
      </c>
      <c r="V189" s="280">
        <f t="shared" si="100"/>
        <v>632</v>
      </c>
      <c r="W189" s="281">
        <f t="shared" si="101"/>
        <v>9.0557386445049431E-2</v>
      </c>
    </row>
    <row r="190" spans="1:23">
      <c r="A190" s="306" t="s">
        <v>434</v>
      </c>
      <c r="B190" s="241" t="s">
        <v>478</v>
      </c>
      <c r="C190" s="308" t="s">
        <v>479</v>
      </c>
      <c r="D190" s="76" t="s">
        <v>480</v>
      </c>
      <c r="E190" s="77" t="s">
        <v>64</v>
      </c>
      <c r="F190" s="277" t="str">
        <f>IFERROR((VLOOKUP(E190,'MEMORANDOS E IPC 2023 Y 2024'!$A$1:$C$20,3,0)),"0")</f>
        <v>0</v>
      </c>
      <c r="G190" s="209">
        <v>15791</v>
      </c>
      <c r="H190" s="279">
        <f>IF(($F190="0"),$G190,(ROUNDDOWN((G190*(1+(H$4/100))),0)))</f>
        <v>15791</v>
      </c>
      <c r="I190" s="279">
        <f t="shared" ref="I190:U190" si="131">IF(($F190="0"),$G190,(ROUNDDOWN((H190*(1+(I$4/100))),0)))</f>
        <v>15791</v>
      </c>
      <c r="J190" s="279">
        <f t="shared" si="131"/>
        <v>15791</v>
      </c>
      <c r="K190" s="279">
        <f t="shared" si="131"/>
        <v>15791</v>
      </c>
      <c r="L190" s="279">
        <f t="shared" si="131"/>
        <v>15791</v>
      </c>
      <c r="M190" s="279">
        <f t="shared" si="131"/>
        <v>15791</v>
      </c>
      <c r="N190" s="279">
        <f t="shared" si="131"/>
        <v>15791</v>
      </c>
      <c r="O190" s="279">
        <f t="shared" si="131"/>
        <v>15791</v>
      </c>
      <c r="P190" s="279">
        <f t="shared" si="131"/>
        <v>15791</v>
      </c>
      <c r="Q190" s="279">
        <f t="shared" si="131"/>
        <v>15791</v>
      </c>
      <c r="R190" s="279">
        <f t="shared" si="131"/>
        <v>15791</v>
      </c>
      <c r="S190" s="279">
        <f t="shared" si="131"/>
        <v>15791</v>
      </c>
      <c r="T190" s="279">
        <f t="shared" si="131"/>
        <v>15791</v>
      </c>
      <c r="U190" s="279">
        <f t="shared" si="131"/>
        <v>15791</v>
      </c>
      <c r="V190" s="280">
        <f t="shared" si="100"/>
        <v>0</v>
      </c>
      <c r="W190" s="281">
        <f t="shared" si="101"/>
        <v>0</v>
      </c>
    </row>
    <row r="191" spans="1:23">
      <c r="A191" s="306" t="s">
        <v>434</v>
      </c>
      <c r="B191" s="307" t="s">
        <v>481</v>
      </c>
      <c r="C191" s="308" t="s">
        <v>482</v>
      </c>
      <c r="D191" s="76" t="s">
        <v>483</v>
      </c>
      <c r="E191" s="77" t="s">
        <v>36</v>
      </c>
      <c r="F191" s="277">
        <f>IFERROR((VLOOKUP(E191,'MEMORANDOS E IPC 2023 Y 2024'!$A$1:$C$20,3,0)),"0")</f>
        <v>44974</v>
      </c>
      <c r="G191" s="209">
        <f>ROUNDUP((131024/48),0)</f>
        <v>2730</v>
      </c>
      <c r="H191" s="279">
        <f>IF(($F191="0"),$F191,(ROUNDDOWN((G191*(1+(H$4/100))),0)))</f>
        <v>2758</v>
      </c>
      <c r="I191" s="279">
        <f t="shared" ref="I191:U193" si="132">IF(($F191="0"),$F191,(ROUNDDOWN((H191*(1+(I$4/100))),0)))</f>
        <v>2779</v>
      </c>
      <c r="J191" s="279">
        <f t="shared" si="132"/>
        <v>2790</v>
      </c>
      <c r="K191" s="279">
        <f t="shared" si="132"/>
        <v>2798</v>
      </c>
      <c r="L191" s="279">
        <f t="shared" si="132"/>
        <v>2811</v>
      </c>
      <c r="M191" s="279">
        <f t="shared" si="132"/>
        <v>2830</v>
      </c>
      <c r="N191" s="279">
        <f t="shared" si="132"/>
        <v>2845</v>
      </c>
      <c r="O191" s="279">
        <f t="shared" si="132"/>
        <v>2852</v>
      </c>
      <c r="P191" s="279">
        <f t="shared" si="132"/>
        <v>2865</v>
      </c>
      <c r="Q191" s="279">
        <f t="shared" si="132"/>
        <v>2877</v>
      </c>
      <c r="R191" s="279">
        <f t="shared" si="132"/>
        <v>2903</v>
      </c>
      <c r="S191" s="279">
        <f t="shared" si="132"/>
        <v>2934</v>
      </c>
      <c r="T191" s="279">
        <f t="shared" si="132"/>
        <v>2954</v>
      </c>
      <c r="U191" s="279">
        <f t="shared" si="132"/>
        <v>2971</v>
      </c>
      <c r="V191" s="280">
        <f t="shared" si="100"/>
        <v>241</v>
      </c>
      <c r="W191" s="281">
        <f t="shared" si="101"/>
        <v>8.8278388278388284E-2</v>
      </c>
    </row>
    <row r="192" spans="1:23">
      <c r="A192" s="306" t="s">
        <v>434</v>
      </c>
      <c r="B192" s="241" t="s">
        <v>484</v>
      </c>
      <c r="C192" s="308" t="s">
        <v>485</v>
      </c>
      <c r="D192" s="76" t="s">
        <v>108</v>
      </c>
      <c r="E192" s="77" t="s">
        <v>36</v>
      </c>
      <c r="F192" s="277">
        <f>IFERROR((VLOOKUP(E192,'MEMORANDOS E IPC 2023 Y 2024'!$A$1:$C$20,3,0)),"0")</f>
        <v>44974</v>
      </c>
      <c r="G192" s="211">
        <v>10337</v>
      </c>
      <c r="H192" s="279">
        <f>IF(($F192="0"),$F192,(ROUNDDOWN((G192*(1+(H$4/100))),0)))</f>
        <v>10445</v>
      </c>
      <c r="I192" s="279">
        <f t="shared" si="132"/>
        <v>10526</v>
      </c>
      <c r="J192" s="279">
        <f t="shared" si="132"/>
        <v>10571</v>
      </c>
      <c r="K192" s="279">
        <f t="shared" si="132"/>
        <v>10602</v>
      </c>
      <c r="L192" s="279">
        <f t="shared" si="132"/>
        <v>10655</v>
      </c>
      <c r="M192" s="279">
        <f t="shared" si="132"/>
        <v>10729</v>
      </c>
      <c r="N192" s="279">
        <f t="shared" si="132"/>
        <v>10786</v>
      </c>
      <c r="O192" s="279">
        <f t="shared" si="132"/>
        <v>10812</v>
      </c>
      <c r="P192" s="279">
        <f t="shared" si="132"/>
        <v>10862</v>
      </c>
      <c r="Q192" s="279">
        <f t="shared" si="132"/>
        <v>10910</v>
      </c>
      <c r="R192" s="279">
        <f t="shared" si="132"/>
        <v>11010</v>
      </c>
      <c r="S192" s="279">
        <f t="shared" si="132"/>
        <v>11130</v>
      </c>
      <c r="T192" s="279">
        <f t="shared" si="132"/>
        <v>11207</v>
      </c>
      <c r="U192" s="279">
        <f t="shared" si="132"/>
        <v>11273</v>
      </c>
      <c r="V192" s="280">
        <f t="shared" si="100"/>
        <v>936</v>
      </c>
      <c r="W192" s="281">
        <f t="shared" si="101"/>
        <v>9.0548515043049241E-2</v>
      </c>
    </row>
    <row r="193" spans="1:23" ht="25.5">
      <c r="A193" s="306" t="s">
        <v>434</v>
      </c>
      <c r="B193" s="309" t="s">
        <v>486</v>
      </c>
      <c r="C193" s="309" t="s">
        <v>487</v>
      </c>
      <c r="D193" s="76" t="s">
        <v>488</v>
      </c>
      <c r="E193" s="77" t="s">
        <v>36</v>
      </c>
      <c r="F193" s="277">
        <f>IFERROR((VLOOKUP(E193,'MEMORANDOS E IPC 2023 Y 2024'!$A$1:$C$20,3,0)),"0")</f>
        <v>44974</v>
      </c>
      <c r="G193" s="209">
        <v>5465</v>
      </c>
      <c r="H193" s="279">
        <f>IF(($F193="0"),$F193,(ROUNDDOWN((G193*(1+(H$4/100))),0)))</f>
        <v>5522</v>
      </c>
      <c r="I193" s="279">
        <f t="shared" si="132"/>
        <v>5565</v>
      </c>
      <c r="J193" s="279">
        <f t="shared" si="132"/>
        <v>5588</v>
      </c>
      <c r="K193" s="279">
        <f t="shared" si="132"/>
        <v>5604</v>
      </c>
      <c r="L193" s="279">
        <f t="shared" si="132"/>
        <v>5632</v>
      </c>
      <c r="M193" s="279">
        <f t="shared" si="132"/>
        <v>5671</v>
      </c>
      <c r="N193" s="279">
        <f t="shared" si="132"/>
        <v>5701</v>
      </c>
      <c r="O193" s="279">
        <f t="shared" si="132"/>
        <v>5715</v>
      </c>
      <c r="P193" s="279">
        <f t="shared" si="132"/>
        <v>5741</v>
      </c>
      <c r="Q193" s="279">
        <f t="shared" si="132"/>
        <v>5766</v>
      </c>
      <c r="R193" s="279">
        <f t="shared" si="132"/>
        <v>5819</v>
      </c>
      <c r="S193" s="279">
        <f t="shared" si="132"/>
        <v>5882</v>
      </c>
      <c r="T193" s="279">
        <f t="shared" si="132"/>
        <v>5923</v>
      </c>
      <c r="U193" s="279">
        <f t="shared" si="132"/>
        <v>5957</v>
      </c>
      <c r="V193" s="280">
        <f t="shared" si="100"/>
        <v>492</v>
      </c>
      <c r="W193" s="281">
        <f t="shared" si="101"/>
        <v>9.0027447392497711E-2</v>
      </c>
    </row>
    <row r="194" spans="1:23" ht="26.25">
      <c r="A194" s="306" t="s">
        <v>434</v>
      </c>
      <c r="B194" s="307" t="s">
        <v>489</v>
      </c>
      <c r="C194" s="308" t="s">
        <v>490</v>
      </c>
      <c r="D194" s="76" t="s">
        <v>480</v>
      </c>
      <c r="E194" s="77" t="s">
        <v>64</v>
      </c>
      <c r="F194" s="277" t="str">
        <f>IFERROR((VLOOKUP(E194,'MEMORANDOS E IPC 2023 Y 2024'!$A$1:$C$20,3,0)),"0")</f>
        <v>0</v>
      </c>
      <c r="G194" s="209">
        <v>10731</v>
      </c>
      <c r="H194" s="279">
        <f>IF(($F194="0"),$G194,(ROUNDDOWN((G194*(1+(H$4/100))),0)))</f>
        <v>10731</v>
      </c>
      <c r="I194" s="279">
        <f t="shared" ref="I194:U194" si="133">IF(($F194="0"),$G194,(ROUNDDOWN((H194*(1+(I$4/100))),0)))</f>
        <v>10731</v>
      </c>
      <c r="J194" s="279">
        <f t="shared" si="133"/>
        <v>10731</v>
      </c>
      <c r="K194" s="279">
        <f t="shared" si="133"/>
        <v>10731</v>
      </c>
      <c r="L194" s="279">
        <f t="shared" si="133"/>
        <v>10731</v>
      </c>
      <c r="M194" s="279">
        <f t="shared" si="133"/>
        <v>10731</v>
      </c>
      <c r="N194" s="279">
        <f t="shared" si="133"/>
        <v>10731</v>
      </c>
      <c r="O194" s="279">
        <f t="shared" si="133"/>
        <v>10731</v>
      </c>
      <c r="P194" s="279">
        <f t="shared" si="133"/>
        <v>10731</v>
      </c>
      <c r="Q194" s="279">
        <f t="shared" si="133"/>
        <v>10731</v>
      </c>
      <c r="R194" s="279">
        <f t="shared" si="133"/>
        <v>10731</v>
      </c>
      <c r="S194" s="279">
        <f t="shared" si="133"/>
        <v>10731</v>
      </c>
      <c r="T194" s="279">
        <f t="shared" si="133"/>
        <v>10731</v>
      </c>
      <c r="U194" s="279">
        <f t="shared" si="133"/>
        <v>10731</v>
      </c>
      <c r="V194" s="280">
        <f t="shared" si="100"/>
        <v>0</v>
      </c>
      <c r="W194" s="281">
        <f t="shared" si="101"/>
        <v>0</v>
      </c>
    </row>
    <row r="195" spans="1:23">
      <c r="A195" s="306" t="s">
        <v>434</v>
      </c>
      <c r="B195" s="241" t="s">
        <v>491</v>
      </c>
      <c r="C195" s="308" t="s">
        <v>492</v>
      </c>
      <c r="D195" s="76" t="s">
        <v>108</v>
      </c>
      <c r="E195" s="77" t="s">
        <v>36</v>
      </c>
      <c r="F195" s="277">
        <f>IFERROR((VLOOKUP(E195,'MEMORANDOS E IPC 2023 Y 2024'!$A$1:$C$20,3,0)),"0")</f>
        <v>44974</v>
      </c>
      <c r="G195" s="209">
        <v>16866</v>
      </c>
      <c r="H195" s="279">
        <f>IF(($F195="0"),$F195,(ROUNDDOWN((G195*(1+(H$4/100))),0)))</f>
        <v>17043</v>
      </c>
      <c r="I195" s="279">
        <f t="shared" ref="I195:U202" si="134">IF(($F195="0"),$F195,(ROUNDDOWN((H195*(1+(I$4/100))),0)))</f>
        <v>17175</v>
      </c>
      <c r="J195" s="279">
        <f t="shared" si="134"/>
        <v>17248</v>
      </c>
      <c r="K195" s="279">
        <f t="shared" si="134"/>
        <v>17299</v>
      </c>
      <c r="L195" s="279">
        <f t="shared" si="134"/>
        <v>17385</v>
      </c>
      <c r="M195" s="279">
        <f t="shared" si="134"/>
        <v>17506</v>
      </c>
      <c r="N195" s="279">
        <f t="shared" si="134"/>
        <v>17600</v>
      </c>
      <c r="O195" s="279">
        <f t="shared" si="134"/>
        <v>17644</v>
      </c>
      <c r="P195" s="279">
        <f t="shared" si="134"/>
        <v>17726</v>
      </c>
      <c r="Q195" s="279">
        <f t="shared" si="134"/>
        <v>17805</v>
      </c>
      <c r="R195" s="279">
        <f t="shared" si="134"/>
        <v>17968</v>
      </c>
      <c r="S195" s="279">
        <f t="shared" si="134"/>
        <v>18163</v>
      </c>
      <c r="T195" s="279">
        <f t="shared" si="134"/>
        <v>18290</v>
      </c>
      <c r="U195" s="279">
        <f t="shared" si="134"/>
        <v>18397</v>
      </c>
      <c r="V195" s="280">
        <f t="shared" si="100"/>
        <v>1531</v>
      </c>
      <c r="W195" s="281">
        <f t="shared" si="101"/>
        <v>9.0774338906676147E-2</v>
      </c>
    </row>
    <row r="196" spans="1:23" ht="24">
      <c r="A196" s="313" t="s">
        <v>493</v>
      </c>
      <c r="B196" s="314" t="s">
        <v>494</v>
      </c>
      <c r="C196" s="309" t="s">
        <v>495</v>
      </c>
      <c r="D196" s="298" t="s">
        <v>108</v>
      </c>
      <c r="E196" s="299" t="s">
        <v>38</v>
      </c>
      <c r="F196" s="277">
        <f>IFERROR((VLOOKUP(E196,'MEMORANDOS E IPC 2023 Y 2024'!$A$1:$C$20,3,0)),"0")</f>
        <v>45002</v>
      </c>
      <c r="G196" s="224">
        <v>17775</v>
      </c>
      <c r="H196" s="278">
        <f t="shared" ref="H196:H202" si="135">G196</f>
        <v>17775</v>
      </c>
      <c r="I196" s="279">
        <f t="shared" si="134"/>
        <v>17913</v>
      </c>
      <c r="J196" s="279">
        <f t="shared" si="134"/>
        <v>17990</v>
      </c>
      <c r="K196" s="279">
        <f t="shared" si="134"/>
        <v>18043</v>
      </c>
      <c r="L196" s="279">
        <f t="shared" si="134"/>
        <v>18133</v>
      </c>
      <c r="M196" s="279">
        <f t="shared" si="134"/>
        <v>18259</v>
      </c>
      <c r="N196" s="279">
        <f t="shared" si="134"/>
        <v>18357</v>
      </c>
      <c r="O196" s="279">
        <f t="shared" si="134"/>
        <v>18402</v>
      </c>
      <c r="P196" s="279">
        <f t="shared" si="134"/>
        <v>18488</v>
      </c>
      <c r="Q196" s="279">
        <f t="shared" si="134"/>
        <v>18571</v>
      </c>
      <c r="R196" s="279">
        <f t="shared" si="134"/>
        <v>18741</v>
      </c>
      <c r="S196" s="279">
        <f t="shared" si="134"/>
        <v>18945</v>
      </c>
      <c r="T196" s="279">
        <f t="shared" si="134"/>
        <v>19077</v>
      </c>
      <c r="U196" s="279">
        <f t="shared" si="134"/>
        <v>19189</v>
      </c>
      <c r="V196" s="280">
        <f t="shared" si="100"/>
        <v>1414</v>
      </c>
      <c r="W196" s="281">
        <f t="shared" si="101"/>
        <v>7.9549929676511949E-2</v>
      </c>
    </row>
    <row r="197" spans="1:23" ht="24">
      <c r="A197" s="313" t="s">
        <v>493</v>
      </c>
      <c r="B197" s="314" t="s">
        <v>496</v>
      </c>
      <c r="C197" s="309" t="s">
        <v>495</v>
      </c>
      <c r="D197" s="298" t="s">
        <v>465</v>
      </c>
      <c r="E197" s="299" t="s">
        <v>38</v>
      </c>
      <c r="F197" s="277">
        <f>IFERROR((VLOOKUP(E197,'MEMORANDOS E IPC 2023 Y 2024'!$A$1:$C$20,3,0)),"0")</f>
        <v>45002</v>
      </c>
      <c r="G197" s="224">
        <v>17775</v>
      </c>
      <c r="H197" s="278">
        <f t="shared" si="135"/>
        <v>17775</v>
      </c>
      <c r="I197" s="279">
        <f t="shared" si="134"/>
        <v>17913</v>
      </c>
      <c r="J197" s="279">
        <f t="shared" si="134"/>
        <v>17990</v>
      </c>
      <c r="K197" s="279">
        <f t="shared" si="134"/>
        <v>18043</v>
      </c>
      <c r="L197" s="279">
        <f t="shared" si="134"/>
        <v>18133</v>
      </c>
      <c r="M197" s="279">
        <f t="shared" si="134"/>
        <v>18259</v>
      </c>
      <c r="N197" s="279">
        <f t="shared" si="134"/>
        <v>18357</v>
      </c>
      <c r="O197" s="279">
        <f t="shared" si="134"/>
        <v>18402</v>
      </c>
      <c r="P197" s="279">
        <f t="shared" si="134"/>
        <v>18488</v>
      </c>
      <c r="Q197" s="279">
        <f t="shared" si="134"/>
        <v>18571</v>
      </c>
      <c r="R197" s="279">
        <f t="shared" si="134"/>
        <v>18741</v>
      </c>
      <c r="S197" s="279">
        <f t="shared" si="134"/>
        <v>18945</v>
      </c>
      <c r="T197" s="279">
        <f t="shared" si="134"/>
        <v>19077</v>
      </c>
      <c r="U197" s="279">
        <f t="shared" si="134"/>
        <v>19189</v>
      </c>
      <c r="V197" s="280">
        <f t="shared" si="100"/>
        <v>1414</v>
      </c>
      <c r="W197" s="281">
        <f t="shared" si="101"/>
        <v>7.9549929676511949E-2</v>
      </c>
    </row>
    <row r="198" spans="1:23" ht="24">
      <c r="A198" s="313" t="s">
        <v>493</v>
      </c>
      <c r="B198" s="314" t="s">
        <v>497</v>
      </c>
      <c r="C198" s="309" t="s">
        <v>495</v>
      </c>
      <c r="D198" s="298" t="s">
        <v>108</v>
      </c>
      <c r="E198" s="299" t="s">
        <v>38</v>
      </c>
      <c r="F198" s="277">
        <f>IFERROR((VLOOKUP(E198,'MEMORANDOS E IPC 2023 Y 2024'!$A$1:$C$20,3,0)),"0")</f>
        <v>45002</v>
      </c>
      <c r="G198" s="224">
        <v>17775</v>
      </c>
      <c r="H198" s="278">
        <f t="shared" si="135"/>
        <v>17775</v>
      </c>
      <c r="I198" s="279">
        <f t="shared" si="134"/>
        <v>17913</v>
      </c>
      <c r="J198" s="279">
        <f t="shared" si="134"/>
        <v>17990</v>
      </c>
      <c r="K198" s="279">
        <f t="shared" si="134"/>
        <v>18043</v>
      </c>
      <c r="L198" s="279">
        <f t="shared" si="134"/>
        <v>18133</v>
      </c>
      <c r="M198" s="279">
        <f t="shared" si="134"/>
        <v>18259</v>
      </c>
      <c r="N198" s="279">
        <f t="shared" si="134"/>
        <v>18357</v>
      </c>
      <c r="O198" s="279">
        <f t="shared" si="134"/>
        <v>18402</v>
      </c>
      <c r="P198" s="279">
        <f t="shared" si="134"/>
        <v>18488</v>
      </c>
      <c r="Q198" s="279">
        <f t="shared" si="134"/>
        <v>18571</v>
      </c>
      <c r="R198" s="279">
        <f t="shared" si="134"/>
        <v>18741</v>
      </c>
      <c r="S198" s="279">
        <f t="shared" si="134"/>
        <v>18945</v>
      </c>
      <c r="T198" s="279">
        <f t="shared" si="134"/>
        <v>19077</v>
      </c>
      <c r="U198" s="279">
        <f t="shared" si="134"/>
        <v>19189</v>
      </c>
      <c r="V198" s="280">
        <f t="shared" si="100"/>
        <v>1414</v>
      </c>
      <c r="W198" s="281">
        <f t="shared" si="101"/>
        <v>7.9549929676511949E-2</v>
      </c>
    </row>
    <row r="199" spans="1:23" ht="24">
      <c r="A199" s="313" t="s">
        <v>493</v>
      </c>
      <c r="B199" s="314" t="s">
        <v>498</v>
      </c>
      <c r="C199" s="309" t="s">
        <v>495</v>
      </c>
      <c r="D199" s="117" t="s">
        <v>108</v>
      </c>
      <c r="E199" s="315" t="s">
        <v>38</v>
      </c>
      <c r="F199" s="277">
        <f>IFERROR((VLOOKUP(E199,'MEMORANDOS E IPC 2023 Y 2024'!$A$1:$C$20,3,0)),"0")</f>
        <v>45002</v>
      </c>
      <c r="G199" s="224">
        <v>17775</v>
      </c>
      <c r="H199" s="278">
        <f t="shared" si="135"/>
        <v>17775</v>
      </c>
      <c r="I199" s="279">
        <f t="shared" si="134"/>
        <v>17913</v>
      </c>
      <c r="J199" s="279">
        <f t="shared" si="134"/>
        <v>17990</v>
      </c>
      <c r="K199" s="279">
        <f t="shared" si="134"/>
        <v>18043</v>
      </c>
      <c r="L199" s="279">
        <f t="shared" si="134"/>
        <v>18133</v>
      </c>
      <c r="M199" s="279">
        <f t="shared" si="134"/>
        <v>18259</v>
      </c>
      <c r="N199" s="279">
        <f t="shared" si="134"/>
        <v>18357</v>
      </c>
      <c r="O199" s="279">
        <f t="shared" si="134"/>
        <v>18402</v>
      </c>
      <c r="P199" s="279">
        <f t="shared" si="134"/>
        <v>18488</v>
      </c>
      <c r="Q199" s="279">
        <f t="shared" si="134"/>
        <v>18571</v>
      </c>
      <c r="R199" s="279">
        <f t="shared" si="134"/>
        <v>18741</v>
      </c>
      <c r="S199" s="279">
        <f t="shared" si="134"/>
        <v>18945</v>
      </c>
      <c r="T199" s="279">
        <f t="shared" si="134"/>
        <v>19077</v>
      </c>
      <c r="U199" s="279">
        <f t="shared" si="134"/>
        <v>19189</v>
      </c>
      <c r="V199" s="280">
        <f t="shared" si="100"/>
        <v>1414</v>
      </c>
      <c r="W199" s="281">
        <f t="shared" si="101"/>
        <v>7.9549929676511949E-2</v>
      </c>
    </row>
    <row r="200" spans="1:23" ht="24">
      <c r="A200" s="313" t="s">
        <v>493</v>
      </c>
      <c r="B200" s="314" t="s">
        <v>499</v>
      </c>
      <c r="C200" s="309" t="s">
        <v>495</v>
      </c>
      <c r="D200" s="298" t="s">
        <v>108</v>
      </c>
      <c r="E200" s="299" t="s">
        <v>38</v>
      </c>
      <c r="F200" s="277">
        <f>IFERROR((VLOOKUP(E200,'MEMORANDOS E IPC 2023 Y 2024'!$A$1:$C$20,3,0)),"0")</f>
        <v>45002</v>
      </c>
      <c r="G200" s="224">
        <v>17775</v>
      </c>
      <c r="H200" s="278">
        <f t="shared" si="135"/>
        <v>17775</v>
      </c>
      <c r="I200" s="279">
        <f t="shared" si="134"/>
        <v>17913</v>
      </c>
      <c r="J200" s="279">
        <f t="shared" si="134"/>
        <v>17990</v>
      </c>
      <c r="K200" s="279">
        <f t="shared" si="134"/>
        <v>18043</v>
      </c>
      <c r="L200" s="279">
        <f t="shared" si="134"/>
        <v>18133</v>
      </c>
      <c r="M200" s="279">
        <f t="shared" si="134"/>
        <v>18259</v>
      </c>
      <c r="N200" s="279">
        <f t="shared" si="134"/>
        <v>18357</v>
      </c>
      <c r="O200" s="279">
        <f t="shared" si="134"/>
        <v>18402</v>
      </c>
      <c r="P200" s="279">
        <f t="shared" si="134"/>
        <v>18488</v>
      </c>
      <c r="Q200" s="279">
        <f t="shared" si="134"/>
        <v>18571</v>
      </c>
      <c r="R200" s="279">
        <f t="shared" si="134"/>
        <v>18741</v>
      </c>
      <c r="S200" s="279">
        <f t="shared" si="134"/>
        <v>18945</v>
      </c>
      <c r="T200" s="279">
        <f t="shared" si="134"/>
        <v>19077</v>
      </c>
      <c r="U200" s="279">
        <f t="shared" si="134"/>
        <v>19189</v>
      </c>
      <c r="V200" s="280">
        <f t="shared" ref="V200:V264" si="136">U200-G200</f>
        <v>1414</v>
      </c>
      <c r="W200" s="281">
        <f t="shared" ref="W200:W264" si="137">V200/G200</f>
        <v>7.9549929676511949E-2</v>
      </c>
    </row>
    <row r="201" spans="1:23" ht="24">
      <c r="A201" s="313" t="s">
        <v>493</v>
      </c>
      <c r="B201" s="314" t="s">
        <v>500</v>
      </c>
      <c r="C201" s="316" t="s">
        <v>495</v>
      </c>
      <c r="D201" s="298" t="s">
        <v>108</v>
      </c>
      <c r="E201" s="299" t="s">
        <v>38</v>
      </c>
      <c r="F201" s="277">
        <f>IFERROR((VLOOKUP(E201,'MEMORANDOS E IPC 2023 Y 2024'!$A$1:$C$20,3,0)),"0")</f>
        <v>45002</v>
      </c>
      <c r="G201" s="224">
        <v>17775</v>
      </c>
      <c r="H201" s="278">
        <f t="shared" si="135"/>
        <v>17775</v>
      </c>
      <c r="I201" s="279">
        <f t="shared" si="134"/>
        <v>17913</v>
      </c>
      <c r="J201" s="279">
        <f t="shared" si="134"/>
        <v>17990</v>
      </c>
      <c r="K201" s="279">
        <f t="shared" si="134"/>
        <v>18043</v>
      </c>
      <c r="L201" s="279">
        <f t="shared" si="134"/>
        <v>18133</v>
      </c>
      <c r="M201" s="279">
        <f t="shared" si="134"/>
        <v>18259</v>
      </c>
      <c r="N201" s="279">
        <f t="shared" si="134"/>
        <v>18357</v>
      </c>
      <c r="O201" s="279">
        <f t="shared" si="134"/>
        <v>18402</v>
      </c>
      <c r="P201" s="279">
        <f t="shared" si="134"/>
        <v>18488</v>
      </c>
      <c r="Q201" s="279">
        <f t="shared" si="134"/>
        <v>18571</v>
      </c>
      <c r="R201" s="279">
        <f t="shared" si="134"/>
        <v>18741</v>
      </c>
      <c r="S201" s="279">
        <f t="shared" si="134"/>
        <v>18945</v>
      </c>
      <c r="T201" s="279">
        <f t="shared" si="134"/>
        <v>19077</v>
      </c>
      <c r="U201" s="279">
        <f t="shared" si="134"/>
        <v>19189</v>
      </c>
      <c r="V201" s="280">
        <f t="shared" si="136"/>
        <v>1414</v>
      </c>
      <c r="W201" s="281">
        <f t="shared" si="137"/>
        <v>7.9549929676511949E-2</v>
      </c>
    </row>
    <row r="202" spans="1:23" ht="24">
      <c r="A202" s="313" t="s">
        <v>493</v>
      </c>
      <c r="B202" s="314" t="s">
        <v>501</v>
      </c>
      <c r="C202" s="309" t="s">
        <v>495</v>
      </c>
      <c r="D202" s="298" t="s">
        <v>108</v>
      </c>
      <c r="E202" s="299" t="s">
        <v>38</v>
      </c>
      <c r="F202" s="277">
        <f>IFERROR((VLOOKUP(E202,'MEMORANDOS E IPC 2023 Y 2024'!$A$1:$C$20,3,0)),"0")</f>
        <v>45002</v>
      </c>
      <c r="G202" s="224">
        <v>17775</v>
      </c>
      <c r="H202" s="278">
        <f t="shared" si="135"/>
        <v>17775</v>
      </c>
      <c r="I202" s="279">
        <f t="shared" si="134"/>
        <v>17913</v>
      </c>
      <c r="J202" s="279">
        <f t="shared" si="134"/>
        <v>17990</v>
      </c>
      <c r="K202" s="279">
        <f t="shared" si="134"/>
        <v>18043</v>
      </c>
      <c r="L202" s="279">
        <f t="shared" si="134"/>
        <v>18133</v>
      </c>
      <c r="M202" s="279">
        <f t="shared" si="134"/>
        <v>18259</v>
      </c>
      <c r="N202" s="279">
        <f t="shared" si="134"/>
        <v>18357</v>
      </c>
      <c r="O202" s="279">
        <f t="shared" si="134"/>
        <v>18402</v>
      </c>
      <c r="P202" s="279">
        <f t="shared" si="134"/>
        <v>18488</v>
      </c>
      <c r="Q202" s="279">
        <f t="shared" si="134"/>
        <v>18571</v>
      </c>
      <c r="R202" s="279">
        <f t="shared" si="134"/>
        <v>18741</v>
      </c>
      <c r="S202" s="279">
        <f t="shared" si="134"/>
        <v>18945</v>
      </c>
      <c r="T202" s="279">
        <f t="shared" si="134"/>
        <v>19077</v>
      </c>
      <c r="U202" s="279">
        <f t="shared" si="134"/>
        <v>19189</v>
      </c>
      <c r="V202" s="280">
        <f t="shared" si="136"/>
        <v>1414</v>
      </c>
      <c r="W202" s="281">
        <f t="shared" si="137"/>
        <v>7.9549929676511949E-2</v>
      </c>
    </row>
    <row r="203" spans="1:23">
      <c r="A203" s="313" t="s">
        <v>493</v>
      </c>
      <c r="B203" s="314" t="s">
        <v>502</v>
      </c>
      <c r="C203" s="117" t="s">
        <v>503</v>
      </c>
      <c r="D203" s="298" t="s">
        <v>465</v>
      </c>
      <c r="E203" s="299" t="s">
        <v>84</v>
      </c>
      <c r="F203" s="277" t="str">
        <f>IFERROR((VLOOKUP(E203,'MEMORANDOS E IPC 2023 Y 2024'!$A$1:$C$20,3,0)),"0")</f>
        <v>0</v>
      </c>
      <c r="G203" s="224">
        <v>36951</v>
      </c>
      <c r="H203" s="279">
        <f>IF(($F203="0"),$G203,(ROUNDDOWN((G203*(1+(H$4/100))),0)))</f>
        <v>36951</v>
      </c>
      <c r="I203" s="279">
        <f t="shared" ref="I203:U204" si="138">IF(($F203="0"),$G203,(ROUNDDOWN((H203*(1+(I$4/100))),0)))</f>
        <v>36951</v>
      </c>
      <c r="J203" s="279">
        <f t="shared" si="138"/>
        <v>36951</v>
      </c>
      <c r="K203" s="279">
        <f t="shared" si="138"/>
        <v>36951</v>
      </c>
      <c r="L203" s="279">
        <f t="shared" si="138"/>
        <v>36951</v>
      </c>
      <c r="M203" s="279">
        <f t="shared" si="138"/>
        <v>36951</v>
      </c>
      <c r="N203" s="279">
        <f t="shared" si="138"/>
        <v>36951</v>
      </c>
      <c r="O203" s="279">
        <f t="shared" si="138"/>
        <v>36951</v>
      </c>
      <c r="P203" s="279">
        <f t="shared" si="138"/>
        <v>36951</v>
      </c>
      <c r="Q203" s="279">
        <f t="shared" si="138"/>
        <v>36951</v>
      </c>
      <c r="R203" s="279">
        <f t="shared" si="138"/>
        <v>36951</v>
      </c>
      <c r="S203" s="279">
        <f t="shared" si="138"/>
        <v>36951</v>
      </c>
      <c r="T203" s="279">
        <f t="shared" si="138"/>
        <v>36951</v>
      </c>
      <c r="U203" s="279">
        <f t="shared" si="138"/>
        <v>36951</v>
      </c>
      <c r="V203" s="280">
        <f t="shared" si="136"/>
        <v>0</v>
      </c>
      <c r="W203" s="281">
        <f t="shared" si="137"/>
        <v>0</v>
      </c>
    </row>
    <row r="204" spans="1:23">
      <c r="A204" s="313" t="s">
        <v>493</v>
      </c>
      <c r="B204" s="314" t="s">
        <v>504</v>
      </c>
      <c r="C204" s="309" t="s">
        <v>505</v>
      </c>
      <c r="D204" s="298" t="s">
        <v>108</v>
      </c>
      <c r="E204" s="299" t="s">
        <v>84</v>
      </c>
      <c r="F204" s="277" t="str">
        <f>IFERROR((VLOOKUP(E204,'MEMORANDOS E IPC 2023 Y 2024'!$A$1:$C$20,3,0)),"0")</f>
        <v>0</v>
      </c>
      <c r="G204" s="224">
        <v>11369</v>
      </c>
      <c r="H204" s="279">
        <f>IF(($F204="0"),$G204,(ROUNDDOWN((G204*(1+(H$4/100))),0)))</f>
        <v>11369</v>
      </c>
      <c r="I204" s="279">
        <f t="shared" si="138"/>
        <v>11369</v>
      </c>
      <c r="J204" s="279">
        <f t="shared" si="138"/>
        <v>11369</v>
      </c>
      <c r="K204" s="279">
        <f t="shared" si="138"/>
        <v>11369</v>
      </c>
      <c r="L204" s="279">
        <f t="shared" si="138"/>
        <v>11369</v>
      </c>
      <c r="M204" s="279">
        <f t="shared" si="138"/>
        <v>11369</v>
      </c>
      <c r="N204" s="279">
        <f t="shared" si="138"/>
        <v>11369</v>
      </c>
      <c r="O204" s="279">
        <f t="shared" si="138"/>
        <v>11369</v>
      </c>
      <c r="P204" s="279">
        <f t="shared" si="138"/>
        <v>11369</v>
      </c>
      <c r="Q204" s="279">
        <f t="shared" si="138"/>
        <v>11369</v>
      </c>
      <c r="R204" s="279">
        <f t="shared" si="138"/>
        <v>11369</v>
      </c>
      <c r="S204" s="279">
        <f t="shared" si="138"/>
        <v>11369</v>
      </c>
      <c r="T204" s="279">
        <f t="shared" si="138"/>
        <v>11369</v>
      </c>
      <c r="U204" s="279">
        <f t="shared" si="138"/>
        <v>11369</v>
      </c>
      <c r="V204" s="280">
        <f t="shared" si="136"/>
        <v>0</v>
      </c>
      <c r="W204" s="281">
        <f t="shared" si="137"/>
        <v>0</v>
      </c>
    </row>
    <row r="205" spans="1:23">
      <c r="A205" s="313" t="s">
        <v>493</v>
      </c>
      <c r="B205" s="314" t="s">
        <v>506</v>
      </c>
      <c r="C205" s="309" t="s">
        <v>507</v>
      </c>
      <c r="D205" s="117" t="s">
        <v>508</v>
      </c>
      <c r="E205" s="315" t="s">
        <v>36</v>
      </c>
      <c r="F205" s="277">
        <f>IFERROR((VLOOKUP(E205,'MEMORANDOS E IPC 2023 Y 2024'!$A$1:$C$20,3,0)),"0")</f>
        <v>44974</v>
      </c>
      <c r="G205" s="224">
        <v>14821</v>
      </c>
      <c r="H205" s="279">
        <f>IF(($F205="0"),$F205,(ROUNDDOWN((G205*(1+(H$4/100))),0)))</f>
        <v>14976</v>
      </c>
      <c r="I205" s="279">
        <f t="shared" ref="I205:U206" si="139">IF(($F205="0"),$F205,(ROUNDDOWN((H205*(1+(I$4/100))),0)))</f>
        <v>15092</v>
      </c>
      <c r="J205" s="279">
        <f t="shared" si="139"/>
        <v>15156</v>
      </c>
      <c r="K205" s="279">
        <f t="shared" si="139"/>
        <v>15201</v>
      </c>
      <c r="L205" s="279">
        <f t="shared" si="139"/>
        <v>15277</v>
      </c>
      <c r="M205" s="279">
        <f t="shared" si="139"/>
        <v>15383</v>
      </c>
      <c r="N205" s="279">
        <f t="shared" si="139"/>
        <v>15466</v>
      </c>
      <c r="O205" s="279">
        <f t="shared" si="139"/>
        <v>15504</v>
      </c>
      <c r="P205" s="279">
        <f t="shared" si="139"/>
        <v>15576</v>
      </c>
      <c r="Q205" s="279">
        <f t="shared" si="139"/>
        <v>15646</v>
      </c>
      <c r="R205" s="279">
        <f t="shared" si="139"/>
        <v>15789</v>
      </c>
      <c r="S205" s="279">
        <f t="shared" si="139"/>
        <v>15961</v>
      </c>
      <c r="T205" s="279">
        <f t="shared" si="139"/>
        <v>16072</v>
      </c>
      <c r="U205" s="279">
        <f t="shared" si="139"/>
        <v>16166</v>
      </c>
      <c r="V205" s="280">
        <f t="shared" si="136"/>
        <v>1345</v>
      </c>
      <c r="W205" s="281">
        <f t="shared" si="137"/>
        <v>9.074961203697457E-2</v>
      </c>
    </row>
    <row r="206" spans="1:23">
      <c r="A206" s="313" t="s">
        <v>493</v>
      </c>
      <c r="B206" s="314" t="s">
        <v>509</v>
      </c>
      <c r="C206" s="309" t="s">
        <v>510</v>
      </c>
      <c r="D206" s="298" t="s">
        <v>108</v>
      </c>
      <c r="E206" s="299" t="s">
        <v>38</v>
      </c>
      <c r="F206" s="277">
        <f>IFERROR((VLOOKUP(E206,'MEMORANDOS E IPC 2023 Y 2024'!$A$1:$C$20,3,0)),"0")</f>
        <v>45002</v>
      </c>
      <c r="G206" s="224">
        <v>12839</v>
      </c>
      <c r="H206" s="278">
        <f>G206</f>
        <v>12839</v>
      </c>
      <c r="I206" s="279">
        <f>IF(($F206="0"),$F206,(ROUNDDOWN((H206*(1+(I$4/100))),0)))</f>
        <v>12939</v>
      </c>
      <c r="J206" s="279">
        <f t="shared" si="139"/>
        <v>12994</v>
      </c>
      <c r="K206" s="279">
        <f t="shared" si="139"/>
        <v>13032</v>
      </c>
      <c r="L206" s="279">
        <f t="shared" si="139"/>
        <v>13097</v>
      </c>
      <c r="M206" s="279">
        <f t="shared" si="139"/>
        <v>13188</v>
      </c>
      <c r="N206" s="279">
        <f t="shared" si="139"/>
        <v>13259</v>
      </c>
      <c r="O206" s="279">
        <f t="shared" si="139"/>
        <v>13292</v>
      </c>
      <c r="P206" s="279">
        <f t="shared" si="139"/>
        <v>13354</v>
      </c>
      <c r="Q206" s="279">
        <f t="shared" si="139"/>
        <v>13414</v>
      </c>
      <c r="R206" s="279">
        <f t="shared" si="139"/>
        <v>13537</v>
      </c>
      <c r="S206" s="279">
        <f t="shared" si="139"/>
        <v>13684</v>
      </c>
      <c r="T206" s="279">
        <f t="shared" si="139"/>
        <v>13779</v>
      </c>
      <c r="U206" s="279">
        <f t="shared" si="139"/>
        <v>13860</v>
      </c>
      <c r="V206" s="280">
        <f t="shared" si="136"/>
        <v>1021</v>
      </c>
      <c r="W206" s="281">
        <f t="shared" si="137"/>
        <v>7.9523327361944077E-2</v>
      </c>
    </row>
    <row r="207" spans="1:23">
      <c r="A207" s="313" t="s">
        <v>493</v>
      </c>
      <c r="B207" s="314" t="s">
        <v>511</v>
      </c>
      <c r="C207" s="312" t="s">
        <v>512</v>
      </c>
      <c r="D207" s="117" t="s">
        <v>108</v>
      </c>
      <c r="E207" s="315" t="s">
        <v>36</v>
      </c>
      <c r="F207" s="277">
        <f>IFERROR((VLOOKUP(E207,'MEMORANDOS E IPC 2023 Y 2024'!$A$1:$C$20,3,0)),"0")</f>
        <v>44974</v>
      </c>
      <c r="G207" s="224">
        <v>69100</v>
      </c>
      <c r="H207" s="279">
        <f>IF(($F207="0"),$F207,(ROUNDDOWN((G207*(1+(H$4/100))),0)))</f>
        <v>69825</v>
      </c>
      <c r="I207" s="279">
        <f t="shared" ref="I207:U207" si="140">IF(($F207="0"),$F207,(ROUNDDOWN((H207*(1+(I$4/100))),0)))</f>
        <v>70369</v>
      </c>
      <c r="J207" s="279">
        <f t="shared" si="140"/>
        <v>70671</v>
      </c>
      <c r="K207" s="279">
        <f t="shared" si="140"/>
        <v>70883</v>
      </c>
      <c r="L207" s="279">
        <f t="shared" si="140"/>
        <v>71237</v>
      </c>
      <c r="M207" s="279">
        <f t="shared" si="140"/>
        <v>71735</v>
      </c>
      <c r="N207" s="279">
        <f t="shared" si="140"/>
        <v>72122</v>
      </c>
      <c r="O207" s="279">
        <f t="shared" si="140"/>
        <v>72302</v>
      </c>
      <c r="P207" s="279">
        <f t="shared" si="140"/>
        <v>72641</v>
      </c>
      <c r="Q207" s="279">
        <f t="shared" si="140"/>
        <v>72967</v>
      </c>
      <c r="R207" s="279">
        <f t="shared" si="140"/>
        <v>73638</v>
      </c>
      <c r="S207" s="279">
        <f t="shared" si="140"/>
        <v>74440</v>
      </c>
      <c r="T207" s="279">
        <f t="shared" si="140"/>
        <v>74961</v>
      </c>
      <c r="U207" s="279">
        <f t="shared" si="140"/>
        <v>75403</v>
      </c>
      <c r="V207" s="280">
        <f t="shared" si="136"/>
        <v>6303</v>
      </c>
      <c r="W207" s="281">
        <f t="shared" si="137"/>
        <v>9.1215629522431257E-2</v>
      </c>
    </row>
    <row r="208" spans="1:23" ht="24">
      <c r="A208" s="313" t="s">
        <v>493</v>
      </c>
      <c r="B208" s="314" t="s">
        <v>513</v>
      </c>
      <c r="C208" s="312" t="s">
        <v>514</v>
      </c>
      <c r="D208" s="117" t="s">
        <v>108</v>
      </c>
      <c r="E208" s="299" t="s">
        <v>84</v>
      </c>
      <c r="F208" s="277" t="str">
        <f>IFERROR((VLOOKUP(E208,'MEMORANDOS E IPC 2023 Y 2024'!$A$1:$C$20,3,0)),"0")</f>
        <v>0</v>
      </c>
      <c r="G208" s="224">
        <v>108764</v>
      </c>
      <c r="H208" s="279">
        <f>IF(($F208="0"),$G208,(ROUNDDOWN((G208*(1+(H$4/100))),0)))</f>
        <v>108764</v>
      </c>
      <c r="I208" s="279">
        <f t="shared" ref="I208:U208" si="141">IF(($F208="0"),$G208,(ROUNDDOWN((H208*(1+(I$4/100))),0)))</f>
        <v>108764</v>
      </c>
      <c r="J208" s="279">
        <f t="shared" si="141"/>
        <v>108764</v>
      </c>
      <c r="K208" s="279">
        <f t="shared" si="141"/>
        <v>108764</v>
      </c>
      <c r="L208" s="279">
        <f t="shared" si="141"/>
        <v>108764</v>
      </c>
      <c r="M208" s="279">
        <f t="shared" si="141"/>
        <v>108764</v>
      </c>
      <c r="N208" s="279">
        <f t="shared" si="141"/>
        <v>108764</v>
      </c>
      <c r="O208" s="279">
        <f t="shared" si="141"/>
        <v>108764</v>
      </c>
      <c r="P208" s="279">
        <f t="shared" si="141"/>
        <v>108764</v>
      </c>
      <c r="Q208" s="279">
        <f t="shared" si="141"/>
        <v>108764</v>
      </c>
      <c r="R208" s="279">
        <f t="shared" si="141"/>
        <v>108764</v>
      </c>
      <c r="S208" s="279">
        <f t="shared" si="141"/>
        <v>108764</v>
      </c>
      <c r="T208" s="279">
        <f t="shared" si="141"/>
        <v>108764</v>
      </c>
      <c r="U208" s="279">
        <f t="shared" si="141"/>
        <v>108764</v>
      </c>
      <c r="V208" s="280">
        <f t="shared" si="136"/>
        <v>0</v>
      </c>
      <c r="W208" s="281">
        <f t="shared" si="137"/>
        <v>0</v>
      </c>
    </row>
    <row r="209" spans="1:23" ht="36">
      <c r="A209" s="313" t="s">
        <v>493</v>
      </c>
      <c r="B209" s="314" t="s">
        <v>515</v>
      </c>
      <c r="C209" s="117" t="s">
        <v>516</v>
      </c>
      <c r="D209" s="117" t="s">
        <v>137</v>
      </c>
      <c r="E209" s="315" t="s">
        <v>42</v>
      </c>
      <c r="F209" s="277">
        <f>IFERROR((VLOOKUP(E209,'MEMORANDOS E IPC 2023 Y 2024'!$A$1:$C$20,3,0)),"0")</f>
        <v>45076</v>
      </c>
      <c r="G209" s="224">
        <v>1511</v>
      </c>
      <c r="H209" s="285">
        <f>G209</f>
        <v>1511</v>
      </c>
      <c r="I209" s="285">
        <f t="shared" ref="I209:J209" si="142">H209</f>
        <v>1511</v>
      </c>
      <c r="J209" s="285">
        <f t="shared" si="142"/>
        <v>1511</v>
      </c>
      <c r="K209" s="279">
        <f>IF(($F209="0"),$F209,(ROUNDDOWN((J209*(1+(K$4/100))),0)))</f>
        <v>1515</v>
      </c>
      <c r="L209" s="279">
        <f t="shared" ref="L209:U209" si="143">IF(($F209="0"),$F209,(ROUNDDOWN((K209*(1+(L$4/100))),0)))</f>
        <v>1522</v>
      </c>
      <c r="M209" s="279">
        <f t="shared" si="143"/>
        <v>1532</v>
      </c>
      <c r="N209" s="279">
        <f t="shared" si="143"/>
        <v>1540</v>
      </c>
      <c r="O209" s="279">
        <f t="shared" si="143"/>
        <v>1543</v>
      </c>
      <c r="P209" s="279">
        <f t="shared" si="143"/>
        <v>1550</v>
      </c>
      <c r="Q209" s="279">
        <f t="shared" si="143"/>
        <v>1556</v>
      </c>
      <c r="R209" s="279">
        <f t="shared" si="143"/>
        <v>1570</v>
      </c>
      <c r="S209" s="279">
        <f t="shared" si="143"/>
        <v>1587</v>
      </c>
      <c r="T209" s="279">
        <f t="shared" si="143"/>
        <v>1598</v>
      </c>
      <c r="U209" s="279">
        <f t="shared" si="143"/>
        <v>1607</v>
      </c>
      <c r="V209" s="280">
        <f t="shared" si="136"/>
        <v>96</v>
      </c>
      <c r="W209" s="281">
        <f t="shared" si="137"/>
        <v>6.3534083388484444E-2</v>
      </c>
    </row>
    <row r="210" spans="1:23" ht="24">
      <c r="A210" s="313" t="s">
        <v>493</v>
      </c>
      <c r="B210" s="314" t="s">
        <v>517</v>
      </c>
      <c r="C210" s="312" t="s">
        <v>518</v>
      </c>
      <c r="D210" s="117" t="s">
        <v>519</v>
      </c>
      <c r="E210" s="315" t="s">
        <v>36</v>
      </c>
      <c r="F210" s="277">
        <f>IFERROR((VLOOKUP(E210,'MEMORANDOS E IPC 2023 Y 2024'!$A$1:$C$20,3,0)),"0")</f>
        <v>44974</v>
      </c>
      <c r="G210" s="224">
        <v>18298</v>
      </c>
      <c r="H210" s="279">
        <f>IF(($F210="0"),$F210,(ROUNDDOWN((G210*(1+(H$4/100))),0)))</f>
        <v>18490</v>
      </c>
      <c r="I210" s="279">
        <f t="shared" ref="I210:U211" si="144">IF(($F210="0"),$F210,(ROUNDDOWN((H210*(1+(I$4/100))),0)))</f>
        <v>18634</v>
      </c>
      <c r="J210" s="279">
        <f t="shared" si="144"/>
        <v>18714</v>
      </c>
      <c r="K210" s="279">
        <f t="shared" si="144"/>
        <v>18770</v>
      </c>
      <c r="L210" s="279">
        <f t="shared" si="144"/>
        <v>18863</v>
      </c>
      <c r="M210" s="279">
        <f t="shared" si="144"/>
        <v>18995</v>
      </c>
      <c r="N210" s="279">
        <f t="shared" si="144"/>
        <v>19097</v>
      </c>
      <c r="O210" s="279">
        <f t="shared" si="144"/>
        <v>19144</v>
      </c>
      <c r="P210" s="279">
        <f t="shared" si="144"/>
        <v>19233</v>
      </c>
      <c r="Q210" s="279">
        <f t="shared" si="144"/>
        <v>19319</v>
      </c>
      <c r="R210" s="279">
        <f t="shared" si="144"/>
        <v>19496</v>
      </c>
      <c r="S210" s="279">
        <f t="shared" si="144"/>
        <v>19708</v>
      </c>
      <c r="T210" s="279">
        <f t="shared" si="144"/>
        <v>19845</v>
      </c>
      <c r="U210" s="279">
        <f t="shared" si="144"/>
        <v>19962</v>
      </c>
      <c r="V210" s="280">
        <f t="shared" si="136"/>
        <v>1664</v>
      </c>
      <c r="W210" s="281">
        <f t="shared" si="137"/>
        <v>9.0938900426276101E-2</v>
      </c>
    </row>
    <row r="211" spans="1:23">
      <c r="A211" s="313" t="s">
        <v>493</v>
      </c>
      <c r="B211" s="314" t="s">
        <v>520</v>
      </c>
      <c r="C211" s="312" t="s">
        <v>521</v>
      </c>
      <c r="D211" s="117" t="s">
        <v>465</v>
      </c>
      <c r="E211" s="315" t="s">
        <v>38</v>
      </c>
      <c r="F211" s="277">
        <f>IFERROR((VLOOKUP(E211,'MEMORANDOS E IPC 2023 Y 2024'!$A$1:$C$20,3,0)),"0")</f>
        <v>45002</v>
      </c>
      <c r="G211" s="224">
        <v>7667</v>
      </c>
      <c r="H211" s="278">
        <f>G211</f>
        <v>7667</v>
      </c>
      <c r="I211" s="279">
        <f>IF(($F211="0"),$F211,(ROUNDDOWN((H211*(1+(I$4/100))),0)))</f>
        <v>7726</v>
      </c>
      <c r="J211" s="279">
        <f t="shared" si="144"/>
        <v>7759</v>
      </c>
      <c r="K211" s="279">
        <f t="shared" si="144"/>
        <v>7782</v>
      </c>
      <c r="L211" s="279">
        <f t="shared" si="144"/>
        <v>7820</v>
      </c>
      <c r="M211" s="279">
        <f t="shared" si="144"/>
        <v>7874</v>
      </c>
      <c r="N211" s="279">
        <f t="shared" si="144"/>
        <v>7916</v>
      </c>
      <c r="O211" s="279">
        <f t="shared" si="144"/>
        <v>7935</v>
      </c>
      <c r="P211" s="279">
        <f t="shared" si="144"/>
        <v>7972</v>
      </c>
      <c r="Q211" s="279">
        <f t="shared" si="144"/>
        <v>8007</v>
      </c>
      <c r="R211" s="279">
        <f t="shared" si="144"/>
        <v>8080</v>
      </c>
      <c r="S211" s="279">
        <f t="shared" si="144"/>
        <v>8168</v>
      </c>
      <c r="T211" s="279">
        <f t="shared" si="144"/>
        <v>8225</v>
      </c>
      <c r="U211" s="279">
        <f t="shared" si="144"/>
        <v>8273</v>
      </c>
      <c r="V211" s="280">
        <f t="shared" si="136"/>
        <v>606</v>
      </c>
      <c r="W211" s="281">
        <f t="shared" si="137"/>
        <v>7.9040041737315769E-2</v>
      </c>
    </row>
    <row r="212" spans="1:23">
      <c r="A212" s="313" t="s">
        <v>493</v>
      </c>
      <c r="B212" s="314" t="s">
        <v>522</v>
      </c>
      <c r="C212" s="312" t="s">
        <v>523</v>
      </c>
      <c r="D212" s="117" t="s">
        <v>465</v>
      </c>
      <c r="E212" s="315" t="s">
        <v>36</v>
      </c>
      <c r="F212" s="277">
        <f>IFERROR((VLOOKUP(E212,'MEMORANDOS E IPC 2023 Y 2024'!$A$1:$C$20,3,0)),"0")</f>
        <v>44974</v>
      </c>
      <c r="G212" s="224">
        <v>9943</v>
      </c>
      <c r="H212" s="279">
        <f>IF(($F212="0"),$F212,(ROUNDDOWN((G212*(1+(H$4/100))),0)))</f>
        <v>10047</v>
      </c>
      <c r="I212" s="279">
        <f t="shared" ref="I212:U219" si="145">IF(($F212="0"),$F212,(ROUNDDOWN((H212*(1+(I$4/100))),0)))</f>
        <v>10125</v>
      </c>
      <c r="J212" s="279">
        <f t="shared" si="145"/>
        <v>10168</v>
      </c>
      <c r="K212" s="279">
        <f t="shared" si="145"/>
        <v>10198</v>
      </c>
      <c r="L212" s="279">
        <f t="shared" si="145"/>
        <v>10248</v>
      </c>
      <c r="M212" s="279">
        <f t="shared" si="145"/>
        <v>10319</v>
      </c>
      <c r="N212" s="279">
        <f t="shared" si="145"/>
        <v>10374</v>
      </c>
      <c r="O212" s="279">
        <f t="shared" si="145"/>
        <v>10399</v>
      </c>
      <c r="P212" s="279">
        <f t="shared" si="145"/>
        <v>10447</v>
      </c>
      <c r="Q212" s="279">
        <f t="shared" si="145"/>
        <v>10494</v>
      </c>
      <c r="R212" s="279">
        <f t="shared" si="145"/>
        <v>10590</v>
      </c>
      <c r="S212" s="279">
        <f t="shared" si="145"/>
        <v>10705</v>
      </c>
      <c r="T212" s="279">
        <f t="shared" si="145"/>
        <v>10779</v>
      </c>
      <c r="U212" s="279">
        <f t="shared" si="145"/>
        <v>10842</v>
      </c>
      <c r="V212" s="280">
        <f t="shared" si="136"/>
        <v>899</v>
      </c>
      <c r="W212" s="281">
        <f t="shared" si="137"/>
        <v>9.0415367595293172E-2</v>
      </c>
    </row>
    <row r="213" spans="1:23" ht="24">
      <c r="A213" s="313" t="s">
        <v>493</v>
      </c>
      <c r="B213" s="314" t="s">
        <v>524</v>
      </c>
      <c r="C213" s="317" t="s">
        <v>525</v>
      </c>
      <c r="D213" s="117" t="s">
        <v>526</v>
      </c>
      <c r="E213" s="315" t="s">
        <v>36</v>
      </c>
      <c r="F213" s="277">
        <f>IFERROR((VLOOKUP(E213,'MEMORANDOS E IPC 2023 Y 2024'!$A$1:$C$20,3,0)),"0")</f>
        <v>44974</v>
      </c>
      <c r="G213" s="224">
        <v>41873</v>
      </c>
      <c r="H213" s="279">
        <f>IF(($F213="0"),$F213,(ROUNDDOWN((G213*(1+(H$4/100))),0)))</f>
        <v>42312</v>
      </c>
      <c r="I213" s="279">
        <f t="shared" si="145"/>
        <v>42642</v>
      </c>
      <c r="J213" s="279">
        <f t="shared" si="145"/>
        <v>42825</v>
      </c>
      <c r="K213" s="279">
        <f t="shared" si="145"/>
        <v>42953</v>
      </c>
      <c r="L213" s="279">
        <f t="shared" si="145"/>
        <v>43167</v>
      </c>
      <c r="M213" s="279">
        <f t="shared" si="145"/>
        <v>43469</v>
      </c>
      <c r="N213" s="279">
        <f t="shared" si="145"/>
        <v>43703</v>
      </c>
      <c r="O213" s="279">
        <f t="shared" si="145"/>
        <v>43812</v>
      </c>
      <c r="P213" s="279">
        <f t="shared" si="145"/>
        <v>44017</v>
      </c>
      <c r="Q213" s="279">
        <f t="shared" si="145"/>
        <v>44215</v>
      </c>
      <c r="R213" s="279">
        <f t="shared" si="145"/>
        <v>44621</v>
      </c>
      <c r="S213" s="279">
        <f t="shared" si="145"/>
        <v>45107</v>
      </c>
      <c r="T213" s="279">
        <f t="shared" si="145"/>
        <v>45422</v>
      </c>
      <c r="U213" s="279">
        <f t="shared" si="145"/>
        <v>45689</v>
      </c>
      <c r="V213" s="280">
        <f t="shared" si="136"/>
        <v>3816</v>
      </c>
      <c r="W213" s="281">
        <f t="shared" si="137"/>
        <v>9.1132710816038978E-2</v>
      </c>
    </row>
    <row r="214" spans="1:23">
      <c r="A214" s="313" t="s">
        <v>493</v>
      </c>
      <c r="B214" s="314" t="s">
        <v>527</v>
      </c>
      <c r="C214" s="117" t="s">
        <v>528</v>
      </c>
      <c r="D214" s="117" t="s">
        <v>528</v>
      </c>
      <c r="E214" s="315" t="s">
        <v>42</v>
      </c>
      <c r="F214" s="277">
        <f>IFERROR((VLOOKUP(E214,'MEMORANDOS E IPC 2023 Y 2024'!$A$1:$C$20,3,0)),"0")</f>
        <v>45076</v>
      </c>
      <c r="G214" s="224">
        <v>4836</v>
      </c>
      <c r="H214" s="285">
        <f t="shared" ref="H214:J219" si="146">G214</f>
        <v>4836</v>
      </c>
      <c r="I214" s="285">
        <f t="shared" si="146"/>
        <v>4836</v>
      </c>
      <c r="J214" s="285">
        <f t="shared" si="146"/>
        <v>4836</v>
      </c>
      <c r="K214" s="279">
        <f t="shared" si="145"/>
        <v>4850</v>
      </c>
      <c r="L214" s="279">
        <f t="shared" si="145"/>
        <v>4874</v>
      </c>
      <c r="M214" s="279">
        <f t="shared" si="145"/>
        <v>4908</v>
      </c>
      <c r="N214" s="279">
        <f t="shared" si="145"/>
        <v>4934</v>
      </c>
      <c r="O214" s="279">
        <f t="shared" si="145"/>
        <v>4946</v>
      </c>
      <c r="P214" s="279">
        <f t="shared" si="145"/>
        <v>4969</v>
      </c>
      <c r="Q214" s="279">
        <f t="shared" si="145"/>
        <v>4991</v>
      </c>
      <c r="R214" s="279">
        <f t="shared" si="145"/>
        <v>5036</v>
      </c>
      <c r="S214" s="279">
        <f t="shared" si="145"/>
        <v>5090</v>
      </c>
      <c r="T214" s="279">
        <f t="shared" si="145"/>
        <v>5125</v>
      </c>
      <c r="U214" s="279">
        <f t="shared" si="145"/>
        <v>5155</v>
      </c>
      <c r="V214" s="280">
        <f t="shared" si="136"/>
        <v>319</v>
      </c>
      <c r="W214" s="281">
        <f t="shared" si="137"/>
        <v>6.5963606286186929E-2</v>
      </c>
    </row>
    <row r="215" spans="1:23">
      <c r="A215" s="313" t="s">
        <v>493</v>
      </c>
      <c r="B215" s="314" t="s">
        <v>529</v>
      </c>
      <c r="C215" s="117" t="s">
        <v>528</v>
      </c>
      <c r="D215" s="117" t="s">
        <v>528</v>
      </c>
      <c r="E215" s="315" t="s">
        <v>42</v>
      </c>
      <c r="F215" s="277">
        <f>IFERROR((VLOOKUP(E215,'MEMORANDOS E IPC 2023 Y 2024'!$A$1:$C$20,3,0)),"0")</f>
        <v>45076</v>
      </c>
      <c r="G215" s="224">
        <v>7437</v>
      </c>
      <c r="H215" s="285">
        <f t="shared" si="146"/>
        <v>7437</v>
      </c>
      <c r="I215" s="285">
        <f t="shared" si="146"/>
        <v>7437</v>
      </c>
      <c r="J215" s="285">
        <f t="shared" si="146"/>
        <v>7437</v>
      </c>
      <c r="K215" s="279">
        <f t="shared" si="145"/>
        <v>7459</v>
      </c>
      <c r="L215" s="279">
        <f t="shared" si="145"/>
        <v>7496</v>
      </c>
      <c r="M215" s="279">
        <f t="shared" si="145"/>
        <v>7548</v>
      </c>
      <c r="N215" s="279">
        <f t="shared" si="145"/>
        <v>7588</v>
      </c>
      <c r="O215" s="279">
        <f t="shared" si="145"/>
        <v>7606</v>
      </c>
      <c r="P215" s="279">
        <f t="shared" si="145"/>
        <v>7641</v>
      </c>
      <c r="Q215" s="279">
        <f t="shared" si="145"/>
        <v>7675</v>
      </c>
      <c r="R215" s="279">
        <f t="shared" si="145"/>
        <v>7745</v>
      </c>
      <c r="S215" s="279">
        <f t="shared" si="145"/>
        <v>7829</v>
      </c>
      <c r="T215" s="279">
        <f t="shared" si="145"/>
        <v>7883</v>
      </c>
      <c r="U215" s="279">
        <f t="shared" si="145"/>
        <v>7929</v>
      </c>
      <c r="V215" s="280">
        <f t="shared" si="136"/>
        <v>492</v>
      </c>
      <c r="W215" s="281">
        <f t="shared" si="137"/>
        <v>6.6155707946752726E-2</v>
      </c>
    </row>
    <row r="216" spans="1:23" ht="36">
      <c r="A216" s="313" t="s">
        <v>493</v>
      </c>
      <c r="B216" s="314" t="s">
        <v>530</v>
      </c>
      <c r="C216" s="117" t="s">
        <v>531</v>
      </c>
      <c r="D216" s="117" t="s">
        <v>532</v>
      </c>
      <c r="E216" s="318" t="s">
        <v>42</v>
      </c>
      <c r="F216" s="277">
        <f>IFERROR((VLOOKUP(E216,'MEMORANDOS E IPC 2023 Y 2024'!$A$1:$C$20,3,0)),"0")</f>
        <v>45076</v>
      </c>
      <c r="G216" s="224">
        <v>4836</v>
      </c>
      <c r="H216" s="285">
        <f t="shared" si="146"/>
        <v>4836</v>
      </c>
      <c r="I216" s="285">
        <f t="shared" si="146"/>
        <v>4836</v>
      </c>
      <c r="J216" s="285">
        <f t="shared" si="146"/>
        <v>4836</v>
      </c>
      <c r="K216" s="279">
        <f t="shared" si="145"/>
        <v>4850</v>
      </c>
      <c r="L216" s="279">
        <f t="shared" si="145"/>
        <v>4874</v>
      </c>
      <c r="M216" s="279">
        <f t="shared" si="145"/>
        <v>4908</v>
      </c>
      <c r="N216" s="279">
        <f t="shared" si="145"/>
        <v>4934</v>
      </c>
      <c r="O216" s="279">
        <f t="shared" si="145"/>
        <v>4946</v>
      </c>
      <c r="P216" s="279">
        <f t="shared" si="145"/>
        <v>4969</v>
      </c>
      <c r="Q216" s="279">
        <f t="shared" si="145"/>
        <v>4991</v>
      </c>
      <c r="R216" s="279">
        <f t="shared" si="145"/>
        <v>5036</v>
      </c>
      <c r="S216" s="279">
        <f t="shared" si="145"/>
        <v>5090</v>
      </c>
      <c r="T216" s="279">
        <f t="shared" si="145"/>
        <v>5125</v>
      </c>
      <c r="U216" s="279">
        <f t="shared" si="145"/>
        <v>5155</v>
      </c>
      <c r="V216" s="280">
        <f t="shared" si="136"/>
        <v>319</v>
      </c>
      <c r="W216" s="281">
        <f t="shared" si="137"/>
        <v>6.5963606286186929E-2</v>
      </c>
    </row>
    <row r="217" spans="1:23">
      <c r="A217" s="313" t="s">
        <v>493</v>
      </c>
      <c r="B217" s="314" t="s">
        <v>533</v>
      </c>
      <c r="C217" s="117" t="s">
        <v>528</v>
      </c>
      <c r="D217" s="123" t="s">
        <v>465</v>
      </c>
      <c r="E217" s="318" t="s">
        <v>42</v>
      </c>
      <c r="F217" s="277">
        <f>IFERROR((VLOOKUP(E217,'MEMORANDOS E IPC 2023 Y 2024'!$A$1:$C$20,3,0)),"0")</f>
        <v>45076</v>
      </c>
      <c r="G217" s="224">
        <v>3471</v>
      </c>
      <c r="H217" s="285">
        <f t="shared" si="146"/>
        <v>3471</v>
      </c>
      <c r="I217" s="285">
        <f t="shared" si="146"/>
        <v>3471</v>
      </c>
      <c r="J217" s="285">
        <f t="shared" si="146"/>
        <v>3471</v>
      </c>
      <c r="K217" s="279">
        <f t="shared" si="145"/>
        <v>3481</v>
      </c>
      <c r="L217" s="279">
        <f t="shared" si="145"/>
        <v>3498</v>
      </c>
      <c r="M217" s="279">
        <f t="shared" si="145"/>
        <v>3522</v>
      </c>
      <c r="N217" s="279">
        <f t="shared" si="145"/>
        <v>3541</v>
      </c>
      <c r="O217" s="279">
        <f t="shared" si="145"/>
        <v>3549</v>
      </c>
      <c r="P217" s="279">
        <f t="shared" si="145"/>
        <v>3565</v>
      </c>
      <c r="Q217" s="279">
        <f t="shared" si="145"/>
        <v>3581</v>
      </c>
      <c r="R217" s="279">
        <f t="shared" si="145"/>
        <v>3613</v>
      </c>
      <c r="S217" s="279">
        <f t="shared" si="145"/>
        <v>3652</v>
      </c>
      <c r="T217" s="279">
        <f t="shared" si="145"/>
        <v>3677</v>
      </c>
      <c r="U217" s="279">
        <f t="shared" si="145"/>
        <v>3698</v>
      </c>
      <c r="V217" s="280">
        <f t="shared" si="136"/>
        <v>227</v>
      </c>
      <c r="W217" s="281">
        <f t="shared" si="137"/>
        <v>6.5399020455200227E-2</v>
      </c>
    </row>
    <row r="218" spans="1:23">
      <c r="A218" s="313" t="s">
        <v>493</v>
      </c>
      <c r="B218" s="314" t="s">
        <v>534</v>
      </c>
      <c r="C218" s="117" t="s">
        <v>535</v>
      </c>
      <c r="D218" s="117" t="s">
        <v>536</v>
      </c>
      <c r="E218" s="315" t="s">
        <v>42</v>
      </c>
      <c r="F218" s="277">
        <f>IFERROR((VLOOKUP(E218,'MEMORANDOS E IPC 2023 Y 2024'!$A$1:$C$20,3,0)),"0")</f>
        <v>45076</v>
      </c>
      <c r="G218" s="224">
        <v>13672</v>
      </c>
      <c r="H218" s="285">
        <f t="shared" si="146"/>
        <v>13672</v>
      </c>
      <c r="I218" s="285">
        <f t="shared" si="146"/>
        <v>13672</v>
      </c>
      <c r="J218" s="285">
        <f t="shared" si="146"/>
        <v>13672</v>
      </c>
      <c r="K218" s="279">
        <f t="shared" si="145"/>
        <v>13713</v>
      </c>
      <c r="L218" s="279">
        <f t="shared" si="145"/>
        <v>13781</v>
      </c>
      <c r="M218" s="279">
        <f t="shared" si="145"/>
        <v>13877</v>
      </c>
      <c r="N218" s="279">
        <f t="shared" si="145"/>
        <v>13951</v>
      </c>
      <c r="O218" s="279">
        <f t="shared" si="145"/>
        <v>13985</v>
      </c>
      <c r="P218" s="279">
        <f t="shared" si="145"/>
        <v>14050</v>
      </c>
      <c r="Q218" s="279">
        <f t="shared" si="145"/>
        <v>14113</v>
      </c>
      <c r="R218" s="279">
        <f t="shared" si="145"/>
        <v>14242</v>
      </c>
      <c r="S218" s="279">
        <f t="shared" si="145"/>
        <v>14397</v>
      </c>
      <c r="T218" s="279">
        <f t="shared" si="145"/>
        <v>14497</v>
      </c>
      <c r="U218" s="279">
        <f t="shared" si="145"/>
        <v>14582</v>
      </c>
      <c r="V218" s="280">
        <f t="shared" si="136"/>
        <v>910</v>
      </c>
      <c r="W218" s="281">
        <f t="shared" si="137"/>
        <v>6.6559391456992398E-2</v>
      </c>
    </row>
    <row r="219" spans="1:23">
      <c r="A219" s="313" t="s">
        <v>493</v>
      </c>
      <c r="B219" s="314" t="s">
        <v>537</v>
      </c>
      <c r="C219" s="117" t="s">
        <v>535</v>
      </c>
      <c r="D219" s="117" t="s">
        <v>538</v>
      </c>
      <c r="E219" s="315" t="s">
        <v>42</v>
      </c>
      <c r="F219" s="277">
        <f>IFERROR((VLOOKUP(E219,'MEMORANDOS E IPC 2023 Y 2024'!$A$1:$C$20,3,0)),"0")</f>
        <v>45076</v>
      </c>
      <c r="G219" s="224">
        <v>8230</v>
      </c>
      <c r="H219" s="285">
        <f t="shared" si="146"/>
        <v>8230</v>
      </c>
      <c r="I219" s="285">
        <f t="shared" si="146"/>
        <v>8230</v>
      </c>
      <c r="J219" s="285">
        <f t="shared" si="146"/>
        <v>8230</v>
      </c>
      <c r="K219" s="279">
        <f t="shared" si="145"/>
        <v>8254</v>
      </c>
      <c r="L219" s="279">
        <f t="shared" si="145"/>
        <v>8295</v>
      </c>
      <c r="M219" s="279">
        <f t="shared" si="145"/>
        <v>8353</v>
      </c>
      <c r="N219" s="279">
        <f t="shared" si="145"/>
        <v>8398</v>
      </c>
      <c r="O219" s="279">
        <f t="shared" si="145"/>
        <v>8418</v>
      </c>
      <c r="P219" s="279">
        <f t="shared" si="145"/>
        <v>8457</v>
      </c>
      <c r="Q219" s="279">
        <f t="shared" si="145"/>
        <v>8495</v>
      </c>
      <c r="R219" s="279">
        <f t="shared" si="145"/>
        <v>8573</v>
      </c>
      <c r="S219" s="279">
        <f t="shared" si="145"/>
        <v>8666</v>
      </c>
      <c r="T219" s="279">
        <f t="shared" si="145"/>
        <v>8726</v>
      </c>
      <c r="U219" s="279">
        <f t="shared" si="145"/>
        <v>8777</v>
      </c>
      <c r="V219" s="280">
        <f t="shared" si="136"/>
        <v>547</v>
      </c>
      <c r="W219" s="281">
        <f t="shared" si="137"/>
        <v>6.6464155528554072E-2</v>
      </c>
    </row>
    <row r="220" spans="1:23" ht="48">
      <c r="A220" s="313" t="s">
        <v>493</v>
      </c>
      <c r="B220" s="314" t="s">
        <v>539</v>
      </c>
      <c r="C220" s="309" t="s">
        <v>540</v>
      </c>
      <c r="D220" s="117" t="s">
        <v>137</v>
      </c>
      <c r="E220" s="315" t="s">
        <v>541</v>
      </c>
      <c r="F220" s="277" t="str">
        <f>IFERROR((VLOOKUP(E220,'MEMORANDOS E IPC 2023 Y 2024'!$A$1:$C$20,3,0)),"0")</f>
        <v>0</v>
      </c>
      <c r="G220" s="224">
        <v>50763</v>
      </c>
      <c r="H220" s="279">
        <f>IF(($F220="0"),$G220,(ROUNDDOWN((G220*(1+(H$4/100))),0)))</f>
        <v>50763</v>
      </c>
      <c r="I220" s="279">
        <f t="shared" ref="I220:U220" si="147">IF(($F220="0"),$G220,(ROUNDDOWN((H220*(1+(I$4/100))),0)))</f>
        <v>50763</v>
      </c>
      <c r="J220" s="279">
        <f t="shared" si="147"/>
        <v>50763</v>
      </c>
      <c r="K220" s="279">
        <f t="shared" si="147"/>
        <v>50763</v>
      </c>
      <c r="L220" s="279">
        <f t="shared" si="147"/>
        <v>50763</v>
      </c>
      <c r="M220" s="279">
        <f t="shared" si="147"/>
        <v>50763</v>
      </c>
      <c r="N220" s="279">
        <f t="shared" si="147"/>
        <v>50763</v>
      </c>
      <c r="O220" s="279">
        <f t="shared" si="147"/>
        <v>50763</v>
      </c>
      <c r="P220" s="279">
        <f t="shared" si="147"/>
        <v>50763</v>
      </c>
      <c r="Q220" s="279">
        <f t="shared" si="147"/>
        <v>50763</v>
      </c>
      <c r="R220" s="279">
        <f t="shared" si="147"/>
        <v>50763</v>
      </c>
      <c r="S220" s="279">
        <f t="shared" si="147"/>
        <v>50763</v>
      </c>
      <c r="T220" s="279">
        <f t="shared" si="147"/>
        <v>50763</v>
      </c>
      <c r="U220" s="279">
        <f t="shared" si="147"/>
        <v>50763</v>
      </c>
      <c r="V220" s="280">
        <f t="shared" si="136"/>
        <v>0</v>
      </c>
      <c r="W220" s="281">
        <f t="shared" si="137"/>
        <v>0</v>
      </c>
    </row>
    <row r="221" spans="1:23" ht="24">
      <c r="A221" s="313" t="s">
        <v>493</v>
      </c>
      <c r="B221" s="314" t="s">
        <v>542</v>
      </c>
      <c r="C221" s="319" t="s">
        <v>543</v>
      </c>
      <c r="D221" s="117" t="s">
        <v>465</v>
      </c>
      <c r="E221" s="315" t="s">
        <v>62</v>
      </c>
      <c r="F221" s="277">
        <f>IFERROR((VLOOKUP(E221,'MEMORANDOS E IPC 2023 Y 2024'!$A$1:$C$20,3,0)),"0")</f>
        <v>45220</v>
      </c>
      <c r="G221" s="224">
        <v>65028</v>
      </c>
      <c r="H221" s="285">
        <f>G221</f>
        <v>65028</v>
      </c>
      <c r="I221" s="285">
        <f t="shared" ref="I221:O222" si="148">H221</f>
        <v>65028</v>
      </c>
      <c r="J221" s="285">
        <f t="shared" si="148"/>
        <v>65028</v>
      </c>
      <c r="K221" s="285">
        <f t="shared" si="148"/>
        <v>65028</v>
      </c>
      <c r="L221" s="285">
        <f t="shared" si="148"/>
        <v>65028</v>
      </c>
      <c r="M221" s="285">
        <f t="shared" si="148"/>
        <v>65028</v>
      </c>
      <c r="N221" s="285">
        <f t="shared" si="148"/>
        <v>65028</v>
      </c>
      <c r="O221" s="285">
        <f t="shared" si="148"/>
        <v>65028</v>
      </c>
      <c r="P221" s="279">
        <f>IF(($F221="0"),$F221,(ROUNDDOWN((O221*(1+(P$4/100))),0)))</f>
        <v>65333</v>
      </c>
      <c r="Q221" s="279">
        <f t="shared" ref="Q221:U221" si="149">IF(($F221="0"),$F221,(ROUNDDOWN((P221*(1+(Q$4/100))),0)))</f>
        <v>65626</v>
      </c>
      <c r="R221" s="279">
        <f t="shared" si="149"/>
        <v>66229</v>
      </c>
      <c r="S221" s="279">
        <f t="shared" si="149"/>
        <v>66950</v>
      </c>
      <c r="T221" s="279">
        <f t="shared" si="149"/>
        <v>67418</v>
      </c>
      <c r="U221" s="279">
        <f t="shared" si="149"/>
        <v>67815</v>
      </c>
      <c r="V221" s="280">
        <f t="shared" si="136"/>
        <v>2787</v>
      </c>
      <c r="W221" s="281">
        <f t="shared" si="137"/>
        <v>4.285846097065879E-2</v>
      </c>
    </row>
    <row r="222" spans="1:23" ht="24">
      <c r="A222" s="313" t="s">
        <v>493</v>
      </c>
      <c r="B222" s="314" t="s">
        <v>544</v>
      </c>
      <c r="C222" s="320" t="s">
        <v>545</v>
      </c>
      <c r="D222" s="117" t="s">
        <v>546</v>
      </c>
      <c r="E222" s="315" t="s">
        <v>42</v>
      </c>
      <c r="F222" s="277">
        <f>IFERROR((VLOOKUP(E222,'MEMORANDOS E IPC 2023 Y 2024'!$A$1:$C$20,3,0)),"0")</f>
        <v>45076</v>
      </c>
      <c r="G222" s="224">
        <v>10073</v>
      </c>
      <c r="H222" s="285">
        <f>G222</f>
        <v>10073</v>
      </c>
      <c r="I222" s="285">
        <f t="shared" si="148"/>
        <v>10073</v>
      </c>
      <c r="J222" s="285">
        <f t="shared" si="148"/>
        <v>10073</v>
      </c>
      <c r="K222" s="279">
        <f>IF(($F222="0"),$F222,(ROUNDDOWN((J222*(1+(K$4/100))),0)))</f>
        <v>10103</v>
      </c>
      <c r="L222" s="279">
        <f t="shared" ref="L222:U222" si="150">IF(($F222="0"),$F222,(ROUNDDOWN((K222*(1+(L$4/100))),0)))</f>
        <v>10153</v>
      </c>
      <c r="M222" s="279">
        <f t="shared" si="150"/>
        <v>10224</v>
      </c>
      <c r="N222" s="279">
        <f t="shared" si="150"/>
        <v>10279</v>
      </c>
      <c r="O222" s="279">
        <f t="shared" si="150"/>
        <v>10304</v>
      </c>
      <c r="P222" s="279">
        <f t="shared" si="150"/>
        <v>10352</v>
      </c>
      <c r="Q222" s="279">
        <f t="shared" si="150"/>
        <v>10398</v>
      </c>
      <c r="R222" s="279">
        <f t="shared" si="150"/>
        <v>10493</v>
      </c>
      <c r="S222" s="279">
        <f t="shared" si="150"/>
        <v>10607</v>
      </c>
      <c r="T222" s="279">
        <f t="shared" si="150"/>
        <v>10681</v>
      </c>
      <c r="U222" s="279">
        <f t="shared" si="150"/>
        <v>10744</v>
      </c>
      <c r="V222" s="280">
        <f t="shared" si="136"/>
        <v>671</v>
      </c>
      <c r="W222" s="281">
        <f t="shared" si="137"/>
        <v>6.6613719845130551E-2</v>
      </c>
    </row>
    <row r="223" spans="1:23" ht="36">
      <c r="A223" s="313" t="s">
        <v>493</v>
      </c>
      <c r="B223" s="314" t="s">
        <v>547</v>
      </c>
      <c r="C223" s="320" t="s">
        <v>548</v>
      </c>
      <c r="D223" s="117" t="s">
        <v>137</v>
      </c>
      <c r="E223" s="315" t="s">
        <v>38</v>
      </c>
      <c r="F223" s="277">
        <f>IFERROR((VLOOKUP(E223,'MEMORANDOS E IPC 2023 Y 2024'!$A$1:$C$20,3,0)),"0")</f>
        <v>45002</v>
      </c>
      <c r="G223" s="224">
        <v>25728</v>
      </c>
      <c r="H223" s="278">
        <f>G223</f>
        <v>25728</v>
      </c>
      <c r="I223" s="279">
        <f>IF(($F223="0"),$F223,(ROUNDDOWN((H223*(1+(I$4/100))),0)))</f>
        <v>25928</v>
      </c>
      <c r="J223" s="279">
        <f t="shared" ref="J223:U223" si="151">IF(($F223="0"),$F223,(ROUNDDOWN((I223*(1+(J$4/100))),0)))</f>
        <v>26039</v>
      </c>
      <c r="K223" s="279">
        <f t="shared" si="151"/>
        <v>26117</v>
      </c>
      <c r="L223" s="279">
        <f t="shared" si="151"/>
        <v>26247</v>
      </c>
      <c r="M223" s="279">
        <f t="shared" si="151"/>
        <v>26430</v>
      </c>
      <c r="N223" s="279">
        <f t="shared" si="151"/>
        <v>26572</v>
      </c>
      <c r="O223" s="279">
        <f t="shared" si="151"/>
        <v>26638</v>
      </c>
      <c r="P223" s="279">
        <f t="shared" si="151"/>
        <v>26763</v>
      </c>
      <c r="Q223" s="279">
        <f t="shared" si="151"/>
        <v>26883</v>
      </c>
      <c r="R223" s="279">
        <f t="shared" si="151"/>
        <v>27130</v>
      </c>
      <c r="S223" s="279">
        <f t="shared" si="151"/>
        <v>27425</v>
      </c>
      <c r="T223" s="279">
        <f t="shared" si="151"/>
        <v>27616</v>
      </c>
      <c r="U223" s="279">
        <f t="shared" si="151"/>
        <v>27778</v>
      </c>
      <c r="V223" s="280">
        <f t="shared" si="136"/>
        <v>2050</v>
      </c>
      <c r="W223" s="281">
        <f t="shared" si="137"/>
        <v>7.9679726368159204E-2</v>
      </c>
    </row>
    <row r="224" spans="1:23">
      <c r="A224" s="313" t="s">
        <v>493</v>
      </c>
      <c r="B224" s="314" t="s">
        <v>549</v>
      </c>
      <c r="C224" s="319" t="s">
        <v>550</v>
      </c>
      <c r="D224" s="117"/>
      <c r="E224" s="315" t="s">
        <v>84</v>
      </c>
      <c r="F224" s="277" t="str">
        <f>IFERROR((VLOOKUP(E224,'MEMORANDOS E IPC 2023 Y 2024'!$A$1:$C$20,3,0)),"0")</f>
        <v>0</v>
      </c>
      <c r="G224" s="224">
        <v>20173</v>
      </c>
      <c r="H224" s="279">
        <f>IF(($F224="0"),$G224,(ROUNDDOWN((G224*(1+(H$4/100))),0)))</f>
        <v>20173</v>
      </c>
      <c r="I224" s="279">
        <f t="shared" ref="I224:U224" si="152">IF(($F224="0"),$G224,(ROUNDDOWN((H224*(1+(I$4/100))),0)))</f>
        <v>20173</v>
      </c>
      <c r="J224" s="279">
        <f t="shared" si="152"/>
        <v>20173</v>
      </c>
      <c r="K224" s="279">
        <f t="shared" si="152"/>
        <v>20173</v>
      </c>
      <c r="L224" s="279">
        <f t="shared" si="152"/>
        <v>20173</v>
      </c>
      <c r="M224" s="279">
        <f t="shared" si="152"/>
        <v>20173</v>
      </c>
      <c r="N224" s="279">
        <f t="shared" si="152"/>
        <v>20173</v>
      </c>
      <c r="O224" s="279">
        <f t="shared" si="152"/>
        <v>20173</v>
      </c>
      <c r="P224" s="279">
        <f t="shared" si="152"/>
        <v>20173</v>
      </c>
      <c r="Q224" s="279">
        <f t="shared" si="152"/>
        <v>20173</v>
      </c>
      <c r="R224" s="279">
        <f t="shared" si="152"/>
        <v>20173</v>
      </c>
      <c r="S224" s="279">
        <f t="shared" si="152"/>
        <v>20173</v>
      </c>
      <c r="T224" s="279">
        <f t="shared" si="152"/>
        <v>20173</v>
      </c>
      <c r="U224" s="279">
        <f t="shared" si="152"/>
        <v>20173</v>
      </c>
      <c r="V224" s="280">
        <f t="shared" si="136"/>
        <v>0</v>
      </c>
      <c r="W224" s="281">
        <f t="shared" si="137"/>
        <v>0</v>
      </c>
    </row>
    <row r="225" spans="1:23" ht="60">
      <c r="A225" s="313" t="s">
        <v>493</v>
      </c>
      <c r="B225" s="314" t="s">
        <v>551</v>
      </c>
      <c r="C225" s="309" t="s">
        <v>552</v>
      </c>
      <c r="D225" s="117" t="s">
        <v>108</v>
      </c>
      <c r="E225" s="315" t="s">
        <v>40</v>
      </c>
      <c r="F225" s="277">
        <f>IFERROR((VLOOKUP(E225,'MEMORANDOS E IPC 2023 Y 2024'!$A$1:$C$20,3,0)),"0")</f>
        <v>45030</v>
      </c>
      <c r="G225" s="224">
        <v>9132</v>
      </c>
      <c r="H225" s="279">
        <f>G225</f>
        <v>9132</v>
      </c>
      <c r="I225" s="279">
        <f>H225</f>
        <v>9132</v>
      </c>
      <c r="J225" s="279">
        <f>IF(($F225="0"),$F225,(ROUNDDOWN((I225*(1+(J$4/100))),0)))</f>
        <v>9171</v>
      </c>
      <c r="K225" s="279">
        <f t="shared" ref="K225:U226" si="153">IF(($F225="0"),$F225,(ROUNDDOWN((J225*(1+(K$4/100))),0)))</f>
        <v>9198</v>
      </c>
      <c r="L225" s="279">
        <f t="shared" si="153"/>
        <v>9243</v>
      </c>
      <c r="M225" s="279">
        <f t="shared" si="153"/>
        <v>9307</v>
      </c>
      <c r="N225" s="279">
        <f t="shared" si="153"/>
        <v>9357</v>
      </c>
      <c r="O225" s="279">
        <f t="shared" si="153"/>
        <v>9380</v>
      </c>
      <c r="P225" s="279">
        <f t="shared" si="153"/>
        <v>9424</v>
      </c>
      <c r="Q225" s="279">
        <f t="shared" si="153"/>
        <v>9466</v>
      </c>
      <c r="R225" s="279">
        <f t="shared" si="153"/>
        <v>9553</v>
      </c>
      <c r="S225" s="279">
        <f t="shared" si="153"/>
        <v>9657</v>
      </c>
      <c r="T225" s="279">
        <f t="shared" si="153"/>
        <v>9724</v>
      </c>
      <c r="U225" s="279">
        <f t="shared" si="153"/>
        <v>9781</v>
      </c>
      <c r="V225" s="280">
        <f t="shared" si="136"/>
        <v>649</v>
      </c>
      <c r="W225" s="281">
        <f t="shared" si="137"/>
        <v>7.1068769163381521E-2</v>
      </c>
    </row>
    <row r="226" spans="1:23">
      <c r="A226" s="313" t="s">
        <v>493</v>
      </c>
      <c r="B226" s="314" t="s">
        <v>553</v>
      </c>
      <c r="C226" s="309" t="s">
        <v>554</v>
      </c>
      <c r="D226" s="117" t="s">
        <v>555</v>
      </c>
      <c r="E226" s="315" t="s">
        <v>42</v>
      </c>
      <c r="F226" s="277">
        <f>IFERROR((VLOOKUP(E226,'MEMORANDOS E IPC 2023 Y 2024'!$A$1:$C$20,3,0)),"0")</f>
        <v>45076</v>
      </c>
      <c r="G226" s="224">
        <v>27032</v>
      </c>
      <c r="H226" s="285">
        <f>G226</f>
        <v>27032</v>
      </c>
      <c r="I226" s="285">
        <f t="shared" ref="I226:J226" si="154">H226</f>
        <v>27032</v>
      </c>
      <c r="J226" s="285">
        <f t="shared" si="154"/>
        <v>27032</v>
      </c>
      <c r="K226" s="279">
        <f>IF(($F226="0"),$F226,(ROUNDDOWN((J226*(1+(K$4/100))),0)))</f>
        <v>27113</v>
      </c>
      <c r="L226" s="279">
        <f t="shared" si="153"/>
        <v>27248</v>
      </c>
      <c r="M226" s="279">
        <f t="shared" si="153"/>
        <v>27438</v>
      </c>
      <c r="N226" s="279">
        <f t="shared" si="153"/>
        <v>27586</v>
      </c>
      <c r="O226" s="279">
        <f t="shared" si="153"/>
        <v>27654</v>
      </c>
      <c r="P226" s="279">
        <f t="shared" si="153"/>
        <v>27783</v>
      </c>
      <c r="Q226" s="279">
        <f t="shared" si="153"/>
        <v>27908</v>
      </c>
      <c r="R226" s="279">
        <f t="shared" si="153"/>
        <v>28164</v>
      </c>
      <c r="S226" s="279">
        <f t="shared" si="153"/>
        <v>28470</v>
      </c>
      <c r="T226" s="279">
        <f t="shared" si="153"/>
        <v>28669</v>
      </c>
      <c r="U226" s="279">
        <f t="shared" si="153"/>
        <v>28838</v>
      </c>
      <c r="V226" s="280">
        <f t="shared" si="136"/>
        <v>1806</v>
      </c>
      <c r="W226" s="281">
        <f t="shared" si="137"/>
        <v>6.6809707013909439E-2</v>
      </c>
    </row>
    <row r="227" spans="1:23">
      <c r="A227" s="313" t="s">
        <v>493</v>
      </c>
      <c r="B227" s="314" t="s">
        <v>556</v>
      </c>
      <c r="C227" s="309" t="s">
        <v>557</v>
      </c>
      <c r="D227" s="117" t="s">
        <v>465</v>
      </c>
      <c r="E227" s="315" t="s">
        <v>84</v>
      </c>
      <c r="F227" s="277" t="str">
        <f>IFERROR((VLOOKUP(E227,'MEMORANDOS E IPC 2023 Y 2024'!$A$1:$C$20,3,0)),"0")</f>
        <v>0</v>
      </c>
      <c r="G227" s="224">
        <v>395460</v>
      </c>
      <c r="H227" s="279">
        <f>IF(($F227="0"),$G227,(ROUNDDOWN((G227*(1+(H$4/100))),0)))</f>
        <v>395460</v>
      </c>
      <c r="I227" s="279">
        <f t="shared" ref="I227:U227" si="155">IF(($F227="0"),$G227,(ROUNDDOWN((H227*(1+(I$4/100))),0)))</f>
        <v>395460</v>
      </c>
      <c r="J227" s="279">
        <f t="shared" si="155"/>
        <v>395460</v>
      </c>
      <c r="K227" s="279">
        <f t="shared" si="155"/>
        <v>395460</v>
      </c>
      <c r="L227" s="279">
        <f t="shared" si="155"/>
        <v>395460</v>
      </c>
      <c r="M227" s="279">
        <f t="shared" si="155"/>
        <v>395460</v>
      </c>
      <c r="N227" s="279">
        <f t="shared" si="155"/>
        <v>395460</v>
      </c>
      <c r="O227" s="279">
        <f t="shared" si="155"/>
        <v>395460</v>
      </c>
      <c r="P227" s="279">
        <f t="shared" si="155"/>
        <v>395460</v>
      </c>
      <c r="Q227" s="279">
        <f t="shared" si="155"/>
        <v>395460</v>
      </c>
      <c r="R227" s="279">
        <f t="shared" si="155"/>
        <v>395460</v>
      </c>
      <c r="S227" s="279">
        <f t="shared" si="155"/>
        <v>395460</v>
      </c>
      <c r="T227" s="279">
        <f t="shared" si="155"/>
        <v>395460</v>
      </c>
      <c r="U227" s="279">
        <f t="shared" si="155"/>
        <v>395460</v>
      </c>
      <c r="V227" s="280">
        <f t="shared" si="136"/>
        <v>0</v>
      </c>
      <c r="W227" s="281">
        <f t="shared" si="137"/>
        <v>0</v>
      </c>
    </row>
    <row r="228" spans="1:23" ht="36">
      <c r="A228" s="313" t="s">
        <v>493</v>
      </c>
      <c r="B228" s="314" t="s">
        <v>558</v>
      </c>
      <c r="C228" s="117" t="s">
        <v>559</v>
      </c>
      <c r="D228" s="117" t="s">
        <v>137</v>
      </c>
      <c r="E228" s="315" t="s">
        <v>38</v>
      </c>
      <c r="F228" s="277">
        <f>IFERROR((VLOOKUP(E228,'MEMORANDOS E IPC 2023 Y 2024'!$A$1:$C$20,3,0)),"0")</f>
        <v>45002</v>
      </c>
      <c r="G228" s="224">
        <v>19558</v>
      </c>
      <c r="H228" s="278">
        <f>G228</f>
        <v>19558</v>
      </c>
      <c r="I228" s="279">
        <f>IF(($F228="0"),$F228,(ROUNDDOWN((H228*(1+(I$4/100))),0)))</f>
        <v>19710</v>
      </c>
      <c r="J228" s="279">
        <f t="shared" ref="J228:U228" si="156">IF(($F228="0"),$F228,(ROUNDDOWN((I228*(1+(J$4/100))),0)))</f>
        <v>19794</v>
      </c>
      <c r="K228" s="279">
        <f t="shared" si="156"/>
        <v>19853</v>
      </c>
      <c r="L228" s="279">
        <f t="shared" si="156"/>
        <v>19952</v>
      </c>
      <c r="M228" s="279">
        <f t="shared" si="156"/>
        <v>20091</v>
      </c>
      <c r="N228" s="279">
        <f t="shared" si="156"/>
        <v>20199</v>
      </c>
      <c r="O228" s="279">
        <f t="shared" si="156"/>
        <v>20249</v>
      </c>
      <c r="P228" s="279">
        <f t="shared" si="156"/>
        <v>20344</v>
      </c>
      <c r="Q228" s="279">
        <f t="shared" si="156"/>
        <v>20435</v>
      </c>
      <c r="R228" s="279">
        <f t="shared" si="156"/>
        <v>20623</v>
      </c>
      <c r="S228" s="279">
        <f t="shared" si="156"/>
        <v>20847</v>
      </c>
      <c r="T228" s="279">
        <f t="shared" si="156"/>
        <v>20992</v>
      </c>
      <c r="U228" s="279">
        <f t="shared" si="156"/>
        <v>21115</v>
      </c>
      <c r="V228" s="280">
        <f t="shared" si="136"/>
        <v>1557</v>
      </c>
      <c r="W228" s="281">
        <f t="shared" si="137"/>
        <v>7.9609367010941817E-2</v>
      </c>
    </row>
    <row r="229" spans="1:23">
      <c r="A229" s="313" t="s">
        <v>493</v>
      </c>
      <c r="B229" s="314" t="s">
        <v>560</v>
      </c>
      <c r="C229" s="312" t="s">
        <v>561</v>
      </c>
      <c r="D229" s="117" t="s">
        <v>108</v>
      </c>
      <c r="E229" s="315" t="s">
        <v>84</v>
      </c>
      <c r="F229" s="277" t="str">
        <f>IFERROR((VLOOKUP(E229,'MEMORANDOS E IPC 2023 Y 2024'!$A$1:$C$20,3,0)),"0")</f>
        <v>0</v>
      </c>
      <c r="G229" s="224">
        <v>171074</v>
      </c>
      <c r="H229" s="279">
        <f>IF(($F229="0"),$G229,(ROUNDDOWN((G229*(1+(H$4/100))),0)))</f>
        <v>171074</v>
      </c>
      <c r="I229" s="279">
        <f t="shared" ref="I229:U230" si="157">IF(($F229="0"),$G229,(ROUNDDOWN((H229*(1+(I$4/100))),0)))</f>
        <v>171074</v>
      </c>
      <c r="J229" s="279">
        <f t="shared" si="157"/>
        <v>171074</v>
      </c>
      <c r="K229" s="279">
        <f t="shared" si="157"/>
        <v>171074</v>
      </c>
      <c r="L229" s="279">
        <f t="shared" si="157"/>
        <v>171074</v>
      </c>
      <c r="M229" s="279">
        <f t="shared" si="157"/>
        <v>171074</v>
      </c>
      <c r="N229" s="279">
        <f t="shared" si="157"/>
        <v>171074</v>
      </c>
      <c r="O229" s="279">
        <f t="shared" si="157"/>
        <v>171074</v>
      </c>
      <c r="P229" s="279">
        <f t="shared" si="157"/>
        <v>171074</v>
      </c>
      <c r="Q229" s="279">
        <f t="shared" si="157"/>
        <v>171074</v>
      </c>
      <c r="R229" s="279">
        <f t="shared" si="157"/>
        <v>171074</v>
      </c>
      <c r="S229" s="279">
        <f t="shared" si="157"/>
        <v>171074</v>
      </c>
      <c r="T229" s="279">
        <f t="shared" si="157"/>
        <v>171074</v>
      </c>
      <c r="U229" s="279">
        <f t="shared" si="157"/>
        <v>171074</v>
      </c>
      <c r="V229" s="280">
        <f t="shared" si="136"/>
        <v>0</v>
      </c>
      <c r="W229" s="281">
        <f t="shared" si="137"/>
        <v>0</v>
      </c>
    </row>
    <row r="230" spans="1:23">
      <c r="A230" s="313" t="s">
        <v>493</v>
      </c>
      <c r="B230" s="314" t="s">
        <v>562</v>
      </c>
      <c r="C230" s="117" t="s">
        <v>563</v>
      </c>
      <c r="D230" s="117" t="s">
        <v>108</v>
      </c>
      <c r="E230" s="315" t="s">
        <v>84</v>
      </c>
      <c r="F230" s="277" t="str">
        <f>IFERROR((VLOOKUP(E230,'MEMORANDOS E IPC 2023 Y 2024'!$A$1:$C$20,3,0)),"0")</f>
        <v>0</v>
      </c>
      <c r="G230" s="224">
        <v>12788</v>
      </c>
      <c r="H230" s="279">
        <f>IF(($F230="0"),$G230,(ROUNDDOWN((G230*(1+(H$4/100))),0)))</f>
        <v>12788</v>
      </c>
      <c r="I230" s="279">
        <f t="shared" si="157"/>
        <v>12788</v>
      </c>
      <c r="J230" s="279">
        <f t="shared" si="157"/>
        <v>12788</v>
      </c>
      <c r="K230" s="279">
        <f t="shared" si="157"/>
        <v>12788</v>
      </c>
      <c r="L230" s="279">
        <f t="shared" si="157"/>
        <v>12788</v>
      </c>
      <c r="M230" s="279">
        <f t="shared" si="157"/>
        <v>12788</v>
      </c>
      <c r="N230" s="279">
        <f t="shared" si="157"/>
        <v>12788</v>
      </c>
      <c r="O230" s="279">
        <f t="shared" si="157"/>
        <v>12788</v>
      </c>
      <c r="P230" s="279">
        <f t="shared" si="157"/>
        <v>12788</v>
      </c>
      <c r="Q230" s="279">
        <f t="shared" si="157"/>
        <v>12788</v>
      </c>
      <c r="R230" s="279">
        <f t="shared" si="157"/>
        <v>12788</v>
      </c>
      <c r="S230" s="279">
        <f t="shared" si="157"/>
        <v>12788</v>
      </c>
      <c r="T230" s="279">
        <f t="shared" si="157"/>
        <v>12788</v>
      </c>
      <c r="U230" s="279">
        <f t="shared" si="157"/>
        <v>12788</v>
      </c>
      <c r="V230" s="280">
        <f t="shared" si="136"/>
        <v>0</v>
      </c>
      <c r="W230" s="281">
        <f t="shared" si="137"/>
        <v>0</v>
      </c>
    </row>
    <row r="231" spans="1:23" ht="24">
      <c r="A231" s="313" t="s">
        <v>493</v>
      </c>
      <c r="B231" s="314" t="s">
        <v>564</v>
      </c>
      <c r="C231" s="117" t="s">
        <v>565</v>
      </c>
      <c r="D231" s="117" t="s">
        <v>566</v>
      </c>
      <c r="E231" s="315" t="s">
        <v>36</v>
      </c>
      <c r="F231" s="277">
        <f>IFERROR((VLOOKUP(E231,'MEMORANDOS E IPC 2023 Y 2024'!$A$1:$C$20,3,0)),"0")</f>
        <v>44974</v>
      </c>
      <c r="G231" s="224">
        <v>16106</v>
      </c>
      <c r="H231" s="279">
        <f>IF(($F231="0"),$F231,(ROUNDDOWN((G231*(1+(H$4/100))),0)))</f>
        <v>16275</v>
      </c>
      <c r="I231" s="279">
        <f t="shared" ref="I231:U232" si="158">IF(($F231="0"),$F231,(ROUNDDOWN((H231*(1+(I$4/100))),0)))</f>
        <v>16401</v>
      </c>
      <c r="J231" s="279">
        <f t="shared" si="158"/>
        <v>16471</v>
      </c>
      <c r="K231" s="279">
        <f t="shared" si="158"/>
        <v>16520</v>
      </c>
      <c r="L231" s="279">
        <f t="shared" si="158"/>
        <v>16602</v>
      </c>
      <c r="M231" s="279">
        <f t="shared" si="158"/>
        <v>16718</v>
      </c>
      <c r="N231" s="279">
        <f t="shared" si="158"/>
        <v>16808</v>
      </c>
      <c r="O231" s="279">
        <f t="shared" si="158"/>
        <v>16850</v>
      </c>
      <c r="P231" s="279">
        <f t="shared" si="158"/>
        <v>16929</v>
      </c>
      <c r="Q231" s="279">
        <f t="shared" si="158"/>
        <v>17005</v>
      </c>
      <c r="R231" s="279">
        <f t="shared" si="158"/>
        <v>17161</v>
      </c>
      <c r="S231" s="279">
        <f t="shared" si="158"/>
        <v>17348</v>
      </c>
      <c r="T231" s="279">
        <f t="shared" si="158"/>
        <v>17469</v>
      </c>
      <c r="U231" s="279">
        <f t="shared" si="158"/>
        <v>17572</v>
      </c>
      <c r="V231" s="280">
        <f t="shared" si="136"/>
        <v>1466</v>
      </c>
      <c r="W231" s="281">
        <f t="shared" si="137"/>
        <v>9.102197938656402E-2</v>
      </c>
    </row>
    <row r="232" spans="1:23">
      <c r="A232" s="313" t="s">
        <v>493</v>
      </c>
      <c r="B232" s="314" t="s">
        <v>567</v>
      </c>
      <c r="C232" s="117" t="s">
        <v>568</v>
      </c>
      <c r="D232" s="117" t="s">
        <v>569</v>
      </c>
      <c r="E232" s="315" t="s">
        <v>42</v>
      </c>
      <c r="F232" s="277">
        <f>IFERROR((VLOOKUP(E232,'MEMORANDOS E IPC 2023 Y 2024'!$A$1:$C$20,3,0)),"0")</f>
        <v>45076</v>
      </c>
      <c r="G232" s="224">
        <v>17836</v>
      </c>
      <c r="H232" s="285">
        <f>G232</f>
        <v>17836</v>
      </c>
      <c r="I232" s="285">
        <f t="shared" ref="I232:J232" si="159">H232</f>
        <v>17836</v>
      </c>
      <c r="J232" s="285">
        <f t="shared" si="159"/>
        <v>17836</v>
      </c>
      <c r="K232" s="279">
        <f>IF(($F232="0"),$F232,(ROUNDDOWN((J232*(1+(K$4/100))),0)))</f>
        <v>17889</v>
      </c>
      <c r="L232" s="279">
        <f t="shared" si="158"/>
        <v>17978</v>
      </c>
      <c r="M232" s="279">
        <f t="shared" si="158"/>
        <v>18103</v>
      </c>
      <c r="N232" s="279">
        <f t="shared" si="158"/>
        <v>18200</v>
      </c>
      <c r="O232" s="279">
        <f t="shared" si="158"/>
        <v>18245</v>
      </c>
      <c r="P232" s="279">
        <f t="shared" si="158"/>
        <v>18330</v>
      </c>
      <c r="Q232" s="279">
        <f t="shared" si="158"/>
        <v>18412</v>
      </c>
      <c r="R232" s="279">
        <f t="shared" si="158"/>
        <v>18581</v>
      </c>
      <c r="S232" s="279">
        <f t="shared" si="158"/>
        <v>18783</v>
      </c>
      <c r="T232" s="279">
        <f t="shared" si="158"/>
        <v>18914</v>
      </c>
      <c r="U232" s="279">
        <f t="shared" si="158"/>
        <v>19025</v>
      </c>
      <c r="V232" s="280">
        <f t="shared" si="136"/>
        <v>1189</v>
      </c>
      <c r="W232" s="281">
        <f t="shared" si="137"/>
        <v>6.6662928907826866E-2</v>
      </c>
    </row>
    <row r="233" spans="1:23" ht="24">
      <c r="A233" s="313" t="s">
        <v>493</v>
      </c>
      <c r="B233" s="314" t="s">
        <v>570</v>
      </c>
      <c r="C233" s="309" t="s">
        <v>571</v>
      </c>
      <c r="D233" s="117" t="s">
        <v>108</v>
      </c>
      <c r="E233" s="315" t="s">
        <v>38</v>
      </c>
      <c r="F233" s="277">
        <f>IFERROR((VLOOKUP(E233,'MEMORANDOS E IPC 2023 Y 2024'!$A$1:$C$20,3,0)),"0")</f>
        <v>45002</v>
      </c>
      <c r="G233" s="224">
        <v>2773</v>
      </c>
      <c r="H233" s="278">
        <f>G233</f>
        <v>2773</v>
      </c>
      <c r="I233" s="279">
        <f t="shared" ref="I233:U235" si="160">IF(($F233="0"),$F233,(ROUNDDOWN((H233*(1+(I$4/100))),0)))</f>
        <v>2794</v>
      </c>
      <c r="J233" s="279">
        <f t="shared" si="160"/>
        <v>2806</v>
      </c>
      <c r="K233" s="279">
        <f t="shared" si="160"/>
        <v>2814</v>
      </c>
      <c r="L233" s="279">
        <f t="shared" si="160"/>
        <v>2828</v>
      </c>
      <c r="M233" s="279">
        <f t="shared" si="160"/>
        <v>2847</v>
      </c>
      <c r="N233" s="279">
        <f t="shared" si="160"/>
        <v>2862</v>
      </c>
      <c r="O233" s="279">
        <f t="shared" si="160"/>
        <v>2869</v>
      </c>
      <c r="P233" s="279">
        <f t="shared" si="160"/>
        <v>2882</v>
      </c>
      <c r="Q233" s="279">
        <f t="shared" si="160"/>
        <v>2894</v>
      </c>
      <c r="R233" s="279">
        <f t="shared" si="160"/>
        <v>2920</v>
      </c>
      <c r="S233" s="279">
        <f t="shared" si="160"/>
        <v>2951</v>
      </c>
      <c r="T233" s="279">
        <f t="shared" si="160"/>
        <v>2971</v>
      </c>
      <c r="U233" s="279">
        <f t="shared" si="160"/>
        <v>2988</v>
      </c>
      <c r="V233" s="280">
        <f t="shared" si="136"/>
        <v>215</v>
      </c>
      <c r="W233" s="281">
        <f t="shared" si="137"/>
        <v>7.7533357374684461E-2</v>
      </c>
    </row>
    <row r="234" spans="1:23" ht="48">
      <c r="A234" s="313" t="s">
        <v>493</v>
      </c>
      <c r="B234" s="314" t="s">
        <v>572</v>
      </c>
      <c r="C234" s="309" t="s">
        <v>573</v>
      </c>
      <c r="D234" s="117" t="s">
        <v>574</v>
      </c>
      <c r="E234" s="315" t="s">
        <v>64</v>
      </c>
      <c r="F234" s="277" t="str">
        <f>IFERROR((VLOOKUP(E234,'MEMORANDOS E IPC 2023 Y 2024'!$A$1:$C$20,3,0)),"0")</f>
        <v>0</v>
      </c>
      <c r="G234" s="224">
        <v>24009</v>
      </c>
      <c r="H234" s="279">
        <f>IF(($F234="0"),$G234,(ROUNDDOWN((G234*(1+(H$4/100))),0)))</f>
        <v>24009</v>
      </c>
      <c r="I234" s="279">
        <f t="shared" ref="I234:U234" si="161">IF(($F234="0"),$G234,(ROUNDDOWN((H234*(1+(I$4/100))),0)))</f>
        <v>24009</v>
      </c>
      <c r="J234" s="279">
        <f t="shared" si="161"/>
        <v>24009</v>
      </c>
      <c r="K234" s="279">
        <f t="shared" si="161"/>
        <v>24009</v>
      </c>
      <c r="L234" s="279">
        <f t="shared" si="161"/>
        <v>24009</v>
      </c>
      <c r="M234" s="279">
        <f t="shared" si="161"/>
        <v>24009</v>
      </c>
      <c r="N234" s="279">
        <f t="shared" si="161"/>
        <v>24009</v>
      </c>
      <c r="O234" s="279">
        <f t="shared" si="161"/>
        <v>24009</v>
      </c>
      <c r="P234" s="279">
        <f t="shared" si="161"/>
        <v>24009</v>
      </c>
      <c r="Q234" s="279">
        <f t="shared" si="161"/>
        <v>24009</v>
      </c>
      <c r="R234" s="279">
        <f t="shared" si="161"/>
        <v>24009</v>
      </c>
      <c r="S234" s="279">
        <f t="shared" si="161"/>
        <v>24009</v>
      </c>
      <c r="T234" s="279">
        <f t="shared" si="161"/>
        <v>24009</v>
      </c>
      <c r="U234" s="279">
        <f t="shared" si="161"/>
        <v>24009</v>
      </c>
      <c r="V234" s="280">
        <f t="shared" si="136"/>
        <v>0</v>
      </c>
      <c r="W234" s="281">
        <f t="shared" si="137"/>
        <v>0</v>
      </c>
    </row>
    <row r="235" spans="1:23" ht="36">
      <c r="A235" s="313" t="s">
        <v>493</v>
      </c>
      <c r="B235" s="314" t="s">
        <v>575</v>
      </c>
      <c r="C235" s="117" t="s">
        <v>576</v>
      </c>
      <c r="D235" s="117" t="s">
        <v>577</v>
      </c>
      <c r="E235" s="315" t="s">
        <v>38</v>
      </c>
      <c r="F235" s="277">
        <f>IFERROR((VLOOKUP(E235,'MEMORANDOS E IPC 2023 Y 2024'!$A$1:$C$20,3,0)),"0")</f>
        <v>45002</v>
      </c>
      <c r="G235" s="224">
        <v>9142</v>
      </c>
      <c r="H235" s="278">
        <f>G235</f>
        <v>9142</v>
      </c>
      <c r="I235" s="279">
        <f t="shared" si="160"/>
        <v>9213</v>
      </c>
      <c r="J235" s="279">
        <f t="shared" si="160"/>
        <v>9252</v>
      </c>
      <c r="K235" s="279">
        <f t="shared" si="160"/>
        <v>9279</v>
      </c>
      <c r="L235" s="279">
        <f t="shared" si="160"/>
        <v>9325</v>
      </c>
      <c r="M235" s="279">
        <f t="shared" si="160"/>
        <v>9390</v>
      </c>
      <c r="N235" s="279">
        <f t="shared" si="160"/>
        <v>9440</v>
      </c>
      <c r="O235" s="279">
        <f t="shared" si="160"/>
        <v>9463</v>
      </c>
      <c r="P235" s="279">
        <f t="shared" si="160"/>
        <v>9507</v>
      </c>
      <c r="Q235" s="279">
        <f t="shared" si="160"/>
        <v>9549</v>
      </c>
      <c r="R235" s="279">
        <f t="shared" si="160"/>
        <v>9636</v>
      </c>
      <c r="S235" s="279">
        <f t="shared" si="160"/>
        <v>9741</v>
      </c>
      <c r="T235" s="279">
        <f t="shared" si="160"/>
        <v>9809</v>
      </c>
      <c r="U235" s="279">
        <f t="shared" si="160"/>
        <v>9866</v>
      </c>
      <c r="V235" s="280">
        <f t="shared" si="136"/>
        <v>724</v>
      </c>
      <c r="W235" s="281">
        <f t="shared" si="137"/>
        <v>7.9194924524174135E-2</v>
      </c>
    </row>
    <row r="236" spans="1:23" ht="36">
      <c r="A236" s="313" t="s">
        <v>493</v>
      </c>
      <c r="B236" s="314" t="s">
        <v>578</v>
      </c>
      <c r="C236" s="309" t="s">
        <v>579</v>
      </c>
      <c r="D236" s="117" t="s">
        <v>137</v>
      </c>
      <c r="E236" s="315" t="s">
        <v>64</v>
      </c>
      <c r="F236" s="277" t="str">
        <f>IFERROR((VLOOKUP(E236,'MEMORANDOS E IPC 2023 Y 2024'!$A$1:$C$20,3,0)),"0")</f>
        <v>0</v>
      </c>
      <c r="G236" s="224">
        <v>26654</v>
      </c>
      <c r="H236" s="279">
        <f>IF(($F236="0"),$G236,(ROUNDDOWN((G236*(1+(H$4/100))),0)))</f>
        <v>26654</v>
      </c>
      <c r="I236" s="279">
        <f t="shared" ref="I236:U236" si="162">IF(($F236="0"),$G236,(ROUNDDOWN((H236*(1+(I$4/100))),0)))</f>
        <v>26654</v>
      </c>
      <c r="J236" s="279">
        <f t="shared" si="162"/>
        <v>26654</v>
      </c>
      <c r="K236" s="279">
        <f t="shared" si="162"/>
        <v>26654</v>
      </c>
      <c r="L236" s="279">
        <f t="shared" si="162"/>
        <v>26654</v>
      </c>
      <c r="M236" s="279">
        <f t="shared" si="162"/>
        <v>26654</v>
      </c>
      <c r="N236" s="279">
        <f t="shared" si="162"/>
        <v>26654</v>
      </c>
      <c r="O236" s="279">
        <f t="shared" si="162"/>
        <v>26654</v>
      </c>
      <c r="P236" s="279">
        <f t="shared" si="162"/>
        <v>26654</v>
      </c>
      <c r="Q236" s="279">
        <f t="shared" si="162"/>
        <v>26654</v>
      </c>
      <c r="R236" s="279">
        <f t="shared" si="162"/>
        <v>26654</v>
      </c>
      <c r="S236" s="279">
        <f t="shared" si="162"/>
        <v>26654</v>
      </c>
      <c r="T236" s="279">
        <f t="shared" si="162"/>
        <v>26654</v>
      </c>
      <c r="U236" s="279">
        <f t="shared" si="162"/>
        <v>26654</v>
      </c>
      <c r="V236" s="280">
        <f t="shared" si="136"/>
        <v>0</v>
      </c>
      <c r="W236" s="281">
        <f t="shared" si="137"/>
        <v>0</v>
      </c>
    </row>
    <row r="237" spans="1:23" ht="24">
      <c r="A237" s="313" t="s">
        <v>493</v>
      </c>
      <c r="B237" s="314" t="s">
        <v>580</v>
      </c>
      <c r="C237" s="117" t="s">
        <v>581</v>
      </c>
      <c r="D237" s="123" t="s">
        <v>582</v>
      </c>
      <c r="E237" s="318" t="s">
        <v>42</v>
      </c>
      <c r="F237" s="277">
        <f>IFERROR((VLOOKUP(E237,'MEMORANDOS E IPC 2023 Y 2024'!$A$1:$C$20,3,0)),"0")</f>
        <v>45076</v>
      </c>
      <c r="G237" s="224">
        <v>75956</v>
      </c>
      <c r="H237" s="285">
        <f>G237</f>
        <v>75956</v>
      </c>
      <c r="I237" s="285">
        <f t="shared" ref="I237:J240" si="163">H237</f>
        <v>75956</v>
      </c>
      <c r="J237" s="285">
        <f t="shared" si="163"/>
        <v>75956</v>
      </c>
      <c r="K237" s="279">
        <f t="shared" ref="K237:U240" si="164">IF(($F237="0"),$F237,(ROUNDDOWN((J237*(1+(K$4/100))),0)))</f>
        <v>76183</v>
      </c>
      <c r="L237" s="279">
        <f t="shared" si="164"/>
        <v>76563</v>
      </c>
      <c r="M237" s="279">
        <f t="shared" si="164"/>
        <v>77098</v>
      </c>
      <c r="N237" s="279">
        <f t="shared" si="164"/>
        <v>77514</v>
      </c>
      <c r="O237" s="279">
        <f t="shared" si="164"/>
        <v>77707</v>
      </c>
      <c r="P237" s="279">
        <f t="shared" si="164"/>
        <v>78072</v>
      </c>
      <c r="Q237" s="279">
        <f t="shared" si="164"/>
        <v>78423</v>
      </c>
      <c r="R237" s="279">
        <f t="shared" si="164"/>
        <v>79144</v>
      </c>
      <c r="S237" s="279">
        <f t="shared" si="164"/>
        <v>80006</v>
      </c>
      <c r="T237" s="279">
        <f t="shared" si="164"/>
        <v>80566</v>
      </c>
      <c r="U237" s="279">
        <f t="shared" si="164"/>
        <v>81041</v>
      </c>
      <c r="V237" s="280">
        <f t="shared" si="136"/>
        <v>5085</v>
      </c>
      <c r="W237" s="281">
        <f t="shared" si="137"/>
        <v>6.6946653325609562E-2</v>
      </c>
    </row>
    <row r="238" spans="1:23">
      <c r="A238" s="313" t="s">
        <v>493</v>
      </c>
      <c r="B238" s="314" t="s">
        <v>583</v>
      </c>
      <c r="C238" s="117" t="s">
        <v>584</v>
      </c>
      <c r="D238" s="123" t="s">
        <v>585</v>
      </c>
      <c r="E238" s="318" t="s">
        <v>42</v>
      </c>
      <c r="F238" s="277">
        <f>IFERROR((VLOOKUP(E238,'MEMORANDOS E IPC 2023 Y 2024'!$A$1:$C$20,3,0)),"0")</f>
        <v>45076</v>
      </c>
      <c r="G238" s="224">
        <v>4620</v>
      </c>
      <c r="H238" s="285">
        <f>G238</f>
        <v>4620</v>
      </c>
      <c r="I238" s="285">
        <f t="shared" si="163"/>
        <v>4620</v>
      </c>
      <c r="J238" s="285">
        <f t="shared" si="163"/>
        <v>4620</v>
      </c>
      <c r="K238" s="279">
        <f t="shared" si="164"/>
        <v>4633</v>
      </c>
      <c r="L238" s="279">
        <f t="shared" si="164"/>
        <v>4656</v>
      </c>
      <c r="M238" s="279">
        <f t="shared" si="164"/>
        <v>4688</v>
      </c>
      <c r="N238" s="279">
        <f t="shared" si="164"/>
        <v>4713</v>
      </c>
      <c r="O238" s="279">
        <f t="shared" si="164"/>
        <v>4724</v>
      </c>
      <c r="P238" s="279">
        <f t="shared" si="164"/>
        <v>4746</v>
      </c>
      <c r="Q238" s="279">
        <f t="shared" si="164"/>
        <v>4767</v>
      </c>
      <c r="R238" s="279">
        <f t="shared" si="164"/>
        <v>4810</v>
      </c>
      <c r="S238" s="279">
        <f t="shared" si="164"/>
        <v>4862</v>
      </c>
      <c r="T238" s="279">
        <f t="shared" si="164"/>
        <v>4896</v>
      </c>
      <c r="U238" s="279">
        <f t="shared" si="164"/>
        <v>4924</v>
      </c>
      <c r="V238" s="280">
        <f t="shared" si="136"/>
        <v>304</v>
      </c>
      <c r="W238" s="281">
        <f t="shared" si="137"/>
        <v>6.5800865800865804E-2</v>
      </c>
    </row>
    <row r="239" spans="1:23">
      <c r="A239" s="313" t="s">
        <v>493</v>
      </c>
      <c r="B239" s="314" t="s">
        <v>586</v>
      </c>
      <c r="C239" s="117" t="s">
        <v>587</v>
      </c>
      <c r="D239" s="117" t="s">
        <v>538</v>
      </c>
      <c r="E239" s="315" t="s">
        <v>42</v>
      </c>
      <c r="F239" s="277">
        <f>IFERROR((VLOOKUP(E239,'MEMORANDOS E IPC 2023 Y 2024'!$A$1:$C$20,3,0)),"0")</f>
        <v>45076</v>
      </c>
      <c r="G239" s="224">
        <v>69478</v>
      </c>
      <c r="H239" s="285">
        <f>G239</f>
        <v>69478</v>
      </c>
      <c r="I239" s="285">
        <f t="shared" si="163"/>
        <v>69478</v>
      </c>
      <c r="J239" s="285">
        <f t="shared" si="163"/>
        <v>69478</v>
      </c>
      <c r="K239" s="279">
        <f t="shared" si="164"/>
        <v>69686</v>
      </c>
      <c r="L239" s="279">
        <f t="shared" si="164"/>
        <v>70034</v>
      </c>
      <c r="M239" s="279">
        <f t="shared" si="164"/>
        <v>70524</v>
      </c>
      <c r="N239" s="279">
        <f t="shared" si="164"/>
        <v>70904</v>
      </c>
      <c r="O239" s="279">
        <f t="shared" si="164"/>
        <v>71081</v>
      </c>
      <c r="P239" s="279">
        <f t="shared" si="164"/>
        <v>71415</v>
      </c>
      <c r="Q239" s="279">
        <f t="shared" si="164"/>
        <v>71736</v>
      </c>
      <c r="R239" s="279">
        <f t="shared" si="164"/>
        <v>72395</v>
      </c>
      <c r="S239" s="279">
        <f t="shared" si="164"/>
        <v>73184</v>
      </c>
      <c r="T239" s="279">
        <f t="shared" si="164"/>
        <v>73696</v>
      </c>
      <c r="U239" s="279">
        <f t="shared" si="164"/>
        <v>74130</v>
      </c>
      <c r="V239" s="280">
        <f t="shared" si="136"/>
        <v>4652</v>
      </c>
      <c r="W239" s="281">
        <f t="shared" si="137"/>
        <v>6.6956446644981141E-2</v>
      </c>
    </row>
    <row r="240" spans="1:23">
      <c r="A240" s="313" t="s">
        <v>493</v>
      </c>
      <c r="B240" s="314" t="s">
        <v>588</v>
      </c>
      <c r="C240" s="117" t="s">
        <v>528</v>
      </c>
      <c r="D240" s="117" t="s">
        <v>528</v>
      </c>
      <c r="E240" s="315" t="s">
        <v>42</v>
      </c>
      <c r="F240" s="277">
        <f>IFERROR((VLOOKUP(E240,'MEMORANDOS E IPC 2023 Y 2024'!$A$1:$C$20,3,0)),"0")</f>
        <v>45076</v>
      </c>
      <c r="G240" s="224">
        <v>732</v>
      </c>
      <c r="H240" s="285">
        <f>G240</f>
        <v>732</v>
      </c>
      <c r="I240" s="285">
        <f t="shared" si="163"/>
        <v>732</v>
      </c>
      <c r="J240" s="285">
        <f t="shared" si="163"/>
        <v>732</v>
      </c>
      <c r="K240" s="279">
        <f t="shared" si="164"/>
        <v>734</v>
      </c>
      <c r="L240" s="279">
        <f t="shared" si="164"/>
        <v>737</v>
      </c>
      <c r="M240" s="279">
        <f t="shared" si="164"/>
        <v>742</v>
      </c>
      <c r="N240" s="279">
        <f t="shared" si="164"/>
        <v>746</v>
      </c>
      <c r="O240" s="279">
        <f t="shared" si="164"/>
        <v>747</v>
      </c>
      <c r="P240" s="279">
        <f t="shared" si="164"/>
        <v>750</v>
      </c>
      <c r="Q240" s="279">
        <f t="shared" si="164"/>
        <v>753</v>
      </c>
      <c r="R240" s="279">
        <f t="shared" si="164"/>
        <v>759</v>
      </c>
      <c r="S240" s="279">
        <f t="shared" si="164"/>
        <v>767</v>
      </c>
      <c r="T240" s="279">
        <f t="shared" si="164"/>
        <v>772</v>
      </c>
      <c r="U240" s="279">
        <f t="shared" si="164"/>
        <v>776</v>
      </c>
      <c r="V240" s="280">
        <f t="shared" si="136"/>
        <v>44</v>
      </c>
      <c r="W240" s="281">
        <f t="shared" si="137"/>
        <v>6.0109289617486336E-2</v>
      </c>
    </row>
    <row r="241" spans="1:23">
      <c r="A241" s="313" t="s">
        <v>493</v>
      </c>
      <c r="B241" s="314" t="s">
        <v>589</v>
      </c>
      <c r="C241" s="117" t="s">
        <v>590</v>
      </c>
      <c r="D241" s="117" t="s">
        <v>108</v>
      </c>
      <c r="E241" s="315" t="s">
        <v>36</v>
      </c>
      <c r="F241" s="277">
        <f>IFERROR((VLOOKUP(E241,'MEMORANDOS E IPC 2023 Y 2024'!$A$1:$C$20,3,0)),"0")</f>
        <v>44974</v>
      </c>
      <c r="G241" s="224">
        <v>36444</v>
      </c>
      <c r="H241" s="279">
        <f>IF(($F241="0"),$F241,(ROUNDDOWN((G241*(1+(H$4/100))),0)))</f>
        <v>36826</v>
      </c>
      <c r="I241" s="279">
        <f t="shared" ref="I241:U241" si="165">IF(($F241="0"),$F241,(ROUNDDOWN((H241*(1+(I$4/100))),0)))</f>
        <v>37113</v>
      </c>
      <c r="J241" s="279">
        <f t="shared" si="165"/>
        <v>37272</v>
      </c>
      <c r="K241" s="279">
        <f t="shared" si="165"/>
        <v>37383</v>
      </c>
      <c r="L241" s="279">
        <f t="shared" si="165"/>
        <v>37569</v>
      </c>
      <c r="M241" s="279">
        <f t="shared" si="165"/>
        <v>37831</v>
      </c>
      <c r="N241" s="279">
        <f t="shared" si="165"/>
        <v>38035</v>
      </c>
      <c r="O241" s="279">
        <f t="shared" si="165"/>
        <v>38130</v>
      </c>
      <c r="P241" s="279">
        <f t="shared" si="165"/>
        <v>38309</v>
      </c>
      <c r="Q241" s="279">
        <f t="shared" si="165"/>
        <v>38481</v>
      </c>
      <c r="R241" s="279">
        <f t="shared" si="165"/>
        <v>38835</v>
      </c>
      <c r="S241" s="279">
        <f t="shared" si="165"/>
        <v>39258</v>
      </c>
      <c r="T241" s="279">
        <f t="shared" si="165"/>
        <v>39532</v>
      </c>
      <c r="U241" s="279">
        <f t="shared" si="165"/>
        <v>39765</v>
      </c>
      <c r="V241" s="280">
        <f t="shared" si="136"/>
        <v>3321</v>
      </c>
      <c r="W241" s="281">
        <f t="shared" si="137"/>
        <v>9.1126111294040177E-2</v>
      </c>
    </row>
    <row r="242" spans="1:23">
      <c r="A242" s="313" t="s">
        <v>493</v>
      </c>
      <c r="B242" s="314" t="s">
        <v>591</v>
      </c>
      <c r="C242" s="309" t="s">
        <v>592</v>
      </c>
      <c r="D242" s="117" t="s">
        <v>593</v>
      </c>
      <c r="E242" s="315" t="s">
        <v>84</v>
      </c>
      <c r="F242" s="277" t="str">
        <f>IFERROR((VLOOKUP(E242,'MEMORANDOS E IPC 2023 Y 2024'!$A$1:$C$20,3,0)),"0")</f>
        <v>0</v>
      </c>
      <c r="G242" s="224">
        <v>23666</v>
      </c>
      <c r="H242" s="279">
        <f>IF(($F242="0"),$G242,(ROUNDDOWN((G242*(1+(H$4/100))),0)))</f>
        <v>23666</v>
      </c>
      <c r="I242" s="279">
        <f t="shared" ref="I242:U242" si="166">IF(($F242="0"),$G242,(ROUNDDOWN((H242*(1+(I$4/100))),0)))</f>
        <v>23666</v>
      </c>
      <c r="J242" s="279">
        <f t="shared" si="166"/>
        <v>23666</v>
      </c>
      <c r="K242" s="279">
        <f t="shared" si="166"/>
        <v>23666</v>
      </c>
      <c r="L242" s="279">
        <f t="shared" si="166"/>
        <v>23666</v>
      </c>
      <c r="M242" s="279">
        <f t="shared" si="166"/>
        <v>23666</v>
      </c>
      <c r="N242" s="279">
        <f t="shared" si="166"/>
        <v>23666</v>
      </c>
      <c r="O242" s="279">
        <f t="shared" si="166"/>
        <v>23666</v>
      </c>
      <c r="P242" s="279">
        <f t="shared" si="166"/>
        <v>23666</v>
      </c>
      <c r="Q242" s="279">
        <f t="shared" si="166"/>
        <v>23666</v>
      </c>
      <c r="R242" s="279">
        <f t="shared" si="166"/>
        <v>23666</v>
      </c>
      <c r="S242" s="279">
        <f t="shared" si="166"/>
        <v>23666</v>
      </c>
      <c r="T242" s="279">
        <f t="shared" si="166"/>
        <v>23666</v>
      </c>
      <c r="U242" s="279">
        <f t="shared" si="166"/>
        <v>23666</v>
      </c>
      <c r="V242" s="280">
        <f t="shared" si="136"/>
        <v>0</v>
      </c>
      <c r="W242" s="281">
        <f t="shared" si="137"/>
        <v>0</v>
      </c>
    </row>
    <row r="243" spans="1:23" ht="36">
      <c r="A243" s="313" t="s">
        <v>493</v>
      </c>
      <c r="B243" s="314" t="s">
        <v>594</v>
      </c>
      <c r="C243" s="117" t="s">
        <v>595</v>
      </c>
      <c r="D243" s="117" t="s">
        <v>137</v>
      </c>
      <c r="E243" s="315" t="s">
        <v>38</v>
      </c>
      <c r="F243" s="277">
        <f>IFERROR((VLOOKUP(E243,'MEMORANDOS E IPC 2023 Y 2024'!$A$1:$C$20,3,0)),"0")</f>
        <v>45002</v>
      </c>
      <c r="G243" s="224">
        <v>19558</v>
      </c>
      <c r="H243" s="278">
        <f t="shared" ref="H243:L248" si="167">G243</f>
        <v>19558</v>
      </c>
      <c r="I243" s="279">
        <f>IF(($F243="0"),$F243,(ROUNDDOWN((H243*(1+(I$4/100))),0)))</f>
        <v>19710</v>
      </c>
      <c r="J243" s="279">
        <f t="shared" ref="J243:U245" si="168">IF(($F243="0"),$F243,(ROUNDDOWN((I243*(1+(J$4/100))),0)))</f>
        <v>19794</v>
      </c>
      <c r="K243" s="279">
        <f t="shared" si="168"/>
        <v>19853</v>
      </c>
      <c r="L243" s="279">
        <f t="shared" si="168"/>
        <v>19952</v>
      </c>
      <c r="M243" s="279">
        <f t="shared" si="168"/>
        <v>20091</v>
      </c>
      <c r="N243" s="279">
        <f t="shared" si="168"/>
        <v>20199</v>
      </c>
      <c r="O243" s="279">
        <f t="shared" si="168"/>
        <v>20249</v>
      </c>
      <c r="P243" s="279">
        <f t="shared" si="168"/>
        <v>20344</v>
      </c>
      <c r="Q243" s="279">
        <f t="shared" si="168"/>
        <v>20435</v>
      </c>
      <c r="R243" s="279">
        <f t="shared" si="168"/>
        <v>20623</v>
      </c>
      <c r="S243" s="279">
        <f t="shared" si="168"/>
        <v>20847</v>
      </c>
      <c r="T243" s="279">
        <f t="shared" si="168"/>
        <v>20992</v>
      </c>
      <c r="U243" s="279">
        <f t="shared" si="168"/>
        <v>21115</v>
      </c>
      <c r="V243" s="280">
        <f t="shared" si="136"/>
        <v>1557</v>
      </c>
      <c r="W243" s="281">
        <f t="shared" si="137"/>
        <v>7.9609367010941817E-2</v>
      </c>
    </row>
    <row r="244" spans="1:23">
      <c r="A244" s="313" t="s">
        <v>493</v>
      </c>
      <c r="B244" s="314" t="s">
        <v>596</v>
      </c>
      <c r="C244" s="117" t="s">
        <v>597</v>
      </c>
      <c r="D244" s="117" t="s">
        <v>465</v>
      </c>
      <c r="E244" s="315" t="s">
        <v>42</v>
      </c>
      <c r="F244" s="277">
        <f>IFERROR((VLOOKUP(E244,'MEMORANDOS E IPC 2023 Y 2024'!$A$1:$C$20,3,0)),"0")</f>
        <v>45076</v>
      </c>
      <c r="G244" s="224">
        <v>32311</v>
      </c>
      <c r="H244" s="285">
        <f t="shared" si="167"/>
        <v>32311</v>
      </c>
      <c r="I244" s="285">
        <f t="shared" si="167"/>
        <v>32311</v>
      </c>
      <c r="J244" s="285">
        <f t="shared" si="167"/>
        <v>32311</v>
      </c>
      <c r="K244" s="279">
        <f>IF(($F244="0"),$F244,(ROUNDDOWN((J244*(1+(K$4/100))),0)))</f>
        <v>32407</v>
      </c>
      <c r="L244" s="279">
        <f t="shared" si="168"/>
        <v>32569</v>
      </c>
      <c r="M244" s="279">
        <f t="shared" si="168"/>
        <v>32796</v>
      </c>
      <c r="N244" s="279">
        <f t="shared" si="168"/>
        <v>32973</v>
      </c>
      <c r="O244" s="279">
        <f t="shared" si="168"/>
        <v>33055</v>
      </c>
      <c r="P244" s="279">
        <f t="shared" si="168"/>
        <v>33210</v>
      </c>
      <c r="Q244" s="279">
        <f t="shared" si="168"/>
        <v>33359</v>
      </c>
      <c r="R244" s="279">
        <f t="shared" si="168"/>
        <v>33665</v>
      </c>
      <c r="S244" s="279">
        <f t="shared" si="168"/>
        <v>34031</v>
      </c>
      <c r="T244" s="279">
        <f t="shared" si="168"/>
        <v>34269</v>
      </c>
      <c r="U244" s="279">
        <f t="shared" si="168"/>
        <v>34471</v>
      </c>
      <c r="V244" s="280">
        <f t="shared" si="136"/>
        <v>2160</v>
      </c>
      <c r="W244" s="281">
        <f t="shared" si="137"/>
        <v>6.685029865989911E-2</v>
      </c>
    </row>
    <row r="245" spans="1:23" ht="24">
      <c r="A245" s="313" t="s">
        <v>493</v>
      </c>
      <c r="B245" s="314" t="s">
        <v>598</v>
      </c>
      <c r="C245" s="117" t="s">
        <v>599</v>
      </c>
      <c r="D245" s="117" t="s">
        <v>600</v>
      </c>
      <c r="E245" s="315" t="s">
        <v>46</v>
      </c>
      <c r="F245" s="277">
        <f>IFERROR((VLOOKUP(E245,'MEMORANDOS E IPC 2023 Y 2024'!$A$1:$C$20,3,0)),"0")</f>
        <v>45117</v>
      </c>
      <c r="G245" s="224">
        <v>13551</v>
      </c>
      <c r="H245" s="285">
        <f t="shared" si="167"/>
        <v>13551</v>
      </c>
      <c r="I245" s="285">
        <f t="shared" si="167"/>
        <v>13551</v>
      </c>
      <c r="J245" s="285">
        <f t="shared" si="167"/>
        <v>13551</v>
      </c>
      <c r="K245" s="285">
        <f t="shared" si="167"/>
        <v>13551</v>
      </c>
      <c r="L245" s="285">
        <f t="shared" si="167"/>
        <v>13551</v>
      </c>
      <c r="M245" s="279">
        <f>IF(($F245="0"),$F245,(ROUNDDOWN((L245*(1+(M$4/100))),0)))</f>
        <v>13645</v>
      </c>
      <c r="N245" s="279">
        <f t="shared" si="168"/>
        <v>13718</v>
      </c>
      <c r="O245" s="279">
        <f t="shared" si="168"/>
        <v>13752</v>
      </c>
      <c r="P245" s="279">
        <f t="shared" si="168"/>
        <v>13816</v>
      </c>
      <c r="Q245" s="279">
        <f t="shared" si="168"/>
        <v>13878</v>
      </c>
      <c r="R245" s="279">
        <f t="shared" si="168"/>
        <v>14005</v>
      </c>
      <c r="S245" s="279">
        <f t="shared" si="168"/>
        <v>14157</v>
      </c>
      <c r="T245" s="279">
        <f t="shared" si="168"/>
        <v>14256</v>
      </c>
      <c r="U245" s="279">
        <f t="shared" si="168"/>
        <v>14340</v>
      </c>
      <c r="V245" s="280">
        <f t="shared" si="136"/>
        <v>789</v>
      </c>
      <c r="W245" s="281">
        <f t="shared" si="137"/>
        <v>5.8224485277839272E-2</v>
      </c>
    </row>
    <row r="246" spans="1:23" ht="36">
      <c r="A246" s="313" t="s">
        <v>493</v>
      </c>
      <c r="B246" s="314" t="s">
        <v>601</v>
      </c>
      <c r="C246" s="117" t="s">
        <v>602</v>
      </c>
      <c r="D246" s="117" t="s">
        <v>137</v>
      </c>
      <c r="E246" s="315" t="s">
        <v>42</v>
      </c>
      <c r="F246" s="277">
        <f>IFERROR((VLOOKUP(E246,'MEMORANDOS E IPC 2023 Y 2024'!$A$1:$C$20,3,0)),"0")</f>
        <v>45076</v>
      </c>
      <c r="G246" s="224">
        <v>6628</v>
      </c>
      <c r="H246" s="285">
        <f t="shared" si="167"/>
        <v>6628</v>
      </c>
      <c r="I246" s="285">
        <f t="shared" si="167"/>
        <v>6628</v>
      </c>
      <c r="J246" s="285">
        <f t="shared" si="167"/>
        <v>6628</v>
      </c>
      <c r="K246" s="279">
        <f t="shared" ref="K246:U247" si="169">IF(($F246="0"),$F246,(ROUNDDOWN((J246*(1+(K$4/100))),0)))</f>
        <v>6647</v>
      </c>
      <c r="L246" s="279">
        <f t="shared" si="169"/>
        <v>6680</v>
      </c>
      <c r="M246" s="279">
        <f t="shared" si="169"/>
        <v>6726</v>
      </c>
      <c r="N246" s="279">
        <f t="shared" si="169"/>
        <v>6762</v>
      </c>
      <c r="O246" s="279">
        <f t="shared" si="169"/>
        <v>6778</v>
      </c>
      <c r="P246" s="279">
        <f t="shared" si="169"/>
        <v>6809</v>
      </c>
      <c r="Q246" s="279">
        <f t="shared" si="169"/>
        <v>6839</v>
      </c>
      <c r="R246" s="279">
        <f t="shared" si="169"/>
        <v>6901</v>
      </c>
      <c r="S246" s="279">
        <f t="shared" si="169"/>
        <v>6976</v>
      </c>
      <c r="T246" s="279">
        <f t="shared" si="169"/>
        <v>7024</v>
      </c>
      <c r="U246" s="279">
        <f t="shared" si="169"/>
        <v>7065</v>
      </c>
      <c r="V246" s="280">
        <f t="shared" si="136"/>
        <v>437</v>
      </c>
      <c r="W246" s="281">
        <f t="shared" si="137"/>
        <v>6.5932407966203976E-2</v>
      </c>
    </row>
    <row r="247" spans="1:23">
      <c r="A247" s="313" t="s">
        <v>493</v>
      </c>
      <c r="B247" s="314" t="s">
        <v>603</v>
      </c>
      <c r="C247" s="117" t="s">
        <v>604</v>
      </c>
      <c r="D247" s="117" t="s">
        <v>605</v>
      </c>
      <c r="E247" s="315" t="s">
        <v>42</v>
      </c>
      <c r="F247" s="277">
        <f>IFERROR((VLOOKUP(E247,'MEMORANDOS E IPC 2023 Y 2024'!$A$1:$C$20,3,0)),"0")</f>
        <v>45076</v>
      </c>
      <c r="G247" s="224">
        <v>29500</v>
      </c>
      <c r="H247" s="285">
        <f t="shared" si="167"/>
        <v>29500</v>
      </c>
      <c r="I247" s="285">
        <f t="shared" si="167"/>
        <v>29500</v>
      </c>
      <c r="J247" s="285">
        <f t="shared" si="167"/>
        <v>29500</v>
      </c>
      <c r="K247" s="279">
        <f t="shared" si="169"/>
        <v>29588</v>
      </c>
      <c r="L247" s="279">
        <f t="shared" si="169"/>
        <v>29735</v>
      </c>
      <c r="M247" s="279">
        <f t="shared" si="169"/>
        <v>29943</v>
      </c>
      <c r="N247" s="279">
        <f t="shared" si="169"/>
        <v>30104</v>
      </c>
      <c r="O247" s="279">
        <f t="shared" si="169"/>
        <v>30179</v>
      </c>
      <c r="P247" s="279">
        <f t="shared" si="169"/>
        <v>30320</v>
      </c>
      <c r="Q247" s="279">
        <f t="shared" si="169"/>
        <v>30456</v>
      </c>
      <c r="R247" s="279">
        <f t="shared" si="169"/>
        <v>30736</v>
      </c>
      <c r="S247" s="279">
        <f t="shared" si="169"/>
        <v>31071</v>
      </c>
      <c r="T247" s="279">
        <f t="shared" si="169"/>
        <v>31288</v>
      </c>
      <c r="U247" s="279">
        <f t="shared" si="169"/>
        <v>31472</v>
      </c>
      <c r="V247" s="280">
        <f t="shared" si="136"/>
        <v>1972</v>
      </c>
      <c r="W247" s="281">
        <f t="shared" si="137"/>
        <v>6.6847457627118648E-2</v>
      </c>
    </row>
    <row r="248" spans="1:23" ht="36">
      <c r="A248" s="313" t="s">
        <v>493</v>
      </c>
      <c r="B248" s="314" t="s">
        <v>606</v>
      </c>
      <c r="C248" s="117" t="s">
        <v>607</v>
      </c>
      <c r="D248" s="123" t="s">
        <v>137</v>
      </c>
      <c r="E248" s="318" t="s">
        <v>38</v>
      </c>
      <c r="F248" s="277">
        <f>IFERROR((VLOOKUP(E248,'MEMORANDOS E IPC 2023 Y 2024'!$A$1:$C$20,3,0)),"0")</f>
        <v>45002</v>
      </c>
      <c r="G248" s="224">
        <v>143813</v>
      </c>
      <c r="H248" s="278">
        <f t="shared" si="167"/>
        <v>143813</v>
      </c>
      <c r="I248" s="279">
        <f>IF(($F248="0"),$F248,(ROUNDDOWN((H248*(1+(I$4/100))),0)))</f>
        <v>144934</v>
      </c>
      <c r="J248" s="279">
        <f t="shared" ref="J248:U248" si="170">IF(($F248="0"),$F248,(ROUNDDOWN((I248*(1+(J$4/100))),0)))</f>
        <v>145557</v>
      </c>
      <c r="K248" s="279">
        <f t="shared" si="170"/>
        <v>145993</v>
      </c>
      <c r="L248" s="279">
        <f t="shared" si="170"/>
        <v>146722</v>
      </c>
      <c r="M248" s="279">
        <f t="shared" si="170"/>
        <v>147749</v>
      </c>
      <c r="N248" s="279">
        <f t="shared" si="170"/>
        <v>148546</v>
      </c>
      <c r="O248" s="279">
        <f t="shared" si="170"/>
        <v>148917</v>
      </c>
      <c r="P248" s="279">
        <f t="shared" si="170"/>
        <v>149616</v>
      </c>
      <c r="Q248" s="279">
        <f t="shared" si="170"/>
        <v>150289</v>
      </c>
      <c r="R248" s="279">
        <f t="shared" si="170"/>
        <v>151671</v>
      </c>
      <c r="S248" s="279">
        <f t="shared" si="170"/>
        <v>153324</v>
      </c>
      <c r="T248" s="279">
        <f t="shared" si="170"/>
        <v>154397</v>
      </c>
      <c r="U248" s="279">
        <f t="shared" si="170"/>
        <v>155307</v>
      </c>
      <c r="V248" s="280">
        <f t="shared" si="136"/>
        <v>11494</v>
      </c>
      <c r="W248" s="281">
        <f t="shared" si="137"/>
        <v>7.992323364369007E-2</v>
      </c>
    </row>
    <row r="249" spans="1:23" ht="24">
      <c r="A249" s="313" t="s">
        <v>493</v>
      </c>
      <c r="B249" s="314" t="s">
        <v>608</v>
      </c>
      <c r="C249" s="117" t="s">
        <v>609</v>
      </c>
      <c r="D249" s="123" t="s">
        <v>610</v>
      </c>
      <c r="E249" s="318" t="s">
        <v>36</v>
      </c>
      <c r="F249" s="277">
        <f>IFERROR((VLOOKUP(E249,'MEMORANDOS E IPC 2023 Y 2024'!$A$1:$C$20,3,0)),"0")</f>
        <v>44974</v>
      </c>
      <c r="G249" s="224">
        <v>17457</v>
      </c>
      <c r="H249" s="279">
        <f>IF(($F249="0"),$F249,(ROUNDDOWN((G249*(1+(H$4/100))),0)))</f>
        <v>17640</v>
      </c>
      <c r="I249" s="279">
        <f t="shared" ref="I249:U251" si="171">IF(($F249="0"),$F249,(ROUNDDOWN((H249*(1+(I$4/100))),0)))</f>
        <v>17777</v>
      </c>
      <c r="J249" s="279">
        <f t="shared" si="171"/>
        <v>17853</v>
      </c>
      <c r="K249" s="279">
        <f t="shared" si="171"/>
        <v>17906</v>
      </c>
      <c r="L249" s="279">
        <f t="shared" si="171"/>
        <v>17995</v>
      </c>
      <c r="M249" s="279">
        <f t="shared" si="171"/>
        <v>18120</v>
      </c>
      <c r="N249" s="279">
        <f t="shared" si="171"/>
        <v>18217</v>
      </c>
      <c r="O249" s="279">
        <f t="shared" si="171"/>
        <v>18262</v>
      </c>
      <c r="P249" s="279">
        <f t="shared" si="171"/>
        <v>18347</v>
      </c>
      <c r="Q249" s="279">
        <f t="shared" si="171"/>
        <v>18429</v>
      </c>
      <c r="R249" s="279">
        <f t="shared" si="171"/>
        <v>18598</v>
      </c>
      <c r="S249" s="279">
        <f t="shared" si="171"/>
        <v>18800</v>
      </c>
      <c r="T249" s="279">
        <f t="shared" si="171"/>
        <v>18931</v>
      </c>
      <c r="U249" s="279">
        <f t="shared" si="171"/>
        <v>19042</v>
      </c>
      <c r="V249" s="280">
        <f t="shared" si="136"/>
        <v>1585</v>
      </c>
      <c r="W249" s="281">
        <f t="shared" si="137"/>
        <v>9.079452368677321E-2</v>
      </c>
    </row>
    <row r="250" spans="1:23">
      <c r="A250" s="313" t="s">
        <v>493</v>
      </c>
      <c r="B250" s="314" t="s">
        <v>611</v>
      </c>
      <c r="C250" s="309" t="s">
        <v>612</v>
      </c>
      <c r="D250" s="321" t="s">
        <v>108</v>
      </c>
      <c r="E250" s="318" t="s">
        <v>38</v>
      </c>
      <c r="F250" s="277">
        <f>IFERROR((VLOOKUP(E250,'MEMORANDOS E IPC 2023 Y 2024'!$A$1:$C$20,3,0)),"0")</f>
        <v>45002</v>
      </c>
      <c r="G250" s="224">
        <v>18954</v>
      </c>
      <c r="H250" s="278">
        <f>G250</f>
        <v>18954</v>
      </c>
      <c r="I250" s="279">
        <f>IF(($F250="0"),$F250,(ROUNDDOWN((H250*(1+(I$4/100))),0)))</f>
        <v>19101</v>
      </c>
      <c r="J250" s="279">
        <f t="shared" si="171"/>
        <v>19183</v>
      </c>
      <c r="K250" s="279">
        <f t="shared" si="171"/>
        <v>19240</v>
      </c>
      <c r="L250" s="279">
        <f t="shared" si="171"/>
        <v>19336</v>
      </c>
      <c r="M250" s="279">
        <f t="shared" si="171"/>
        <v>19471</v>
      </c>
      <c r="N250" s="279">
        <f t="shared" si="171"/>
        <v>19576</v>
      </c>
      <c r="O250" s="279">
        <f t="shared" si="171"/>
        <v>19624</v>
      </c>
      <c r="P250" s="279">
        <f t="shared" si="171"/>
        <v>19716</v>
      </c>
      <c r="Q250" s="279">
        <f t="shared" si="171"/>
        <v>19804</v>
      </c>
      <c r="R250" s="279">
        <f t="shared" si="171"/>
        <v>19986</v>
      </c>
      <c r="S250" s="279">
        <f t="shared" si="171"/>
        <v>20203</v>
      </c>
      <c r="T250" s="279">
        <f t="shared" si="171"/>
        <v>20344</v>
      </c>
      <c r="U250" s="279">
        <f t="shared" si="171"/>
        <v>20464</v>
      </c>
      <c r="V250" s="280">
        <f t="shared" si="136"/>
        <v>1510</v>
      </c>
      <c r="W250" s="281">
        <f t="shared" si="137"/>
        <v>7.9666561148042631E-2</v>
      </c>
    </row>
    <row r="251" spans="1:23" ht="36">
      <c r="A251" s="313" t="s">
        <v>493</v>
      </c>
      <c r="B251" s="314" t="s">
        <v>613</v>
      </c>
      <c r="C251" s="309" t="s">
        <v>614</v>
      </c>
      <c r="D251" s="117" t="s">
        <v>465</v>
      </c>
      <c r="E251" s="315" t="s">
        <v>62</v>
      </c>
      <c r="F251" s="277">
        <f>IFERROR((VLOOKUP(E251,'MEMORANDOS E IPC 2023 Y 2024'!$A$1:$C$20,3,0)),"0")</f>
        <v>45220</v>
      </c>
      <c r="G251" s="224">
        <v>65028</v>
      </c>
      <c r="H251" s="285">
        <f>G251</f>
        <v>65028</v>
      </c>
      <c r="I251" s="285">
        <f t="shared" ref="I251:O252" si="172">H251</f>
        <v>65028</v>
      </c>
      <c r="J251" s="285">
        <f t="shared" si="172"/>
        <v>65028</v>
      </c>
      <c r="K251" s="285">
        <f t="shared" si="172"/>
        <v>65028</v>
      </c>
      <c r="L251" s="285">
        <f t="shared" si="172"/>
        <v>65028</v>
      </c>
      <c r="M251" s="285">
        <f t="shared" si="172"/>
        <v>65028</v>
      </c>
      <c r="N251" s="285">
        <f t="shared" si="172"/>
        <v>65028</v>
      </c>
      <c r="O251" s="285">
        <f t="shared" si="172"/>
        <v>65028</v>
      </c>
      <c r="P251" s="279">
        <f>IF(($F251="0"),$F251,(ROUNDDOWN((O251*(1+(P$4/100))),0)))</f>
        <v>65333</v>
      </c>
      <c r="Q251" s="279">
        <f t="shared" si="171"/>
        <v>65626</v>
      </c>
      <c r="R251" s="279">
        <f t="shared" si="171"/>
        <v>66229</v>
      </c>
      <c r="S251" s="279">
        <f t="shared" si="171"/>
        <v>66950</v>
      </c>
      <c r="T251" s="279">
        <f t="shared" si="171"/>
        <v>67418</v>
      </c>
      <c r="U251" s="279">
        <f t="shared" si="171"/>
        <v>67815</v>
      </c>
      <c r="V251" s="280">
        <f t="shared" si="136"/>
        <v>2787</v>
      </c>
      <c r="W251" s="281">
        <f t="shared" si="137"/>
        <v>4.285846097065879E-2</v>
      </c>
    </row>
    <row r="252" spans="1:23" ht="36">
      <c r="A252" s="313" t="s">
        <v>493</v>
      </c>
      <c r="B252" s="314" t="s">
        <v>615</v>
      </c>
      <c r="C252" s="117" t="s">
        <v>616</v>
      </c>
      <c r="D252" s="123" t="s">
        <v>137</v>
      </c>
      <c r="E252" s="318" t="s">
        <v>42</v>
      </c>
      <c r="F252" s="277">
        <f>IFERROR((VLOOKUP(E252,'MEMORANDOS E IPC 2023 Y 2024'!$A$1:$C$20,3,0)),"0")</f>
        <v>45076</v>
      </c>
      <c r="G252" s="224">
        <v>1860</v>
      </c>
      <c r="H252" s="285">
        <f>G252</f>
        <v>1860</v>
      </c>
      <c r="I252" s="285">
        <f t="shared" si="172"/>
        <v>1860</v>
      </c>
      <c r="J252" s="285">
        <f t="shared" si="172"/>
        <v>1860</v>
      </c>
      <c r="K252" s="279">
        <f>IF(($F252="0"),$F252,(ROUNDDOWN((J252*(1+(K$4/100))),0)))</f>
        <v>1865</v>
      </c>
      <c r="L252" s="279">
        <f t="shared" ref="L252:U252" si="173">IF(($F252="0"),$F252,(ROUNDDOWN((K252*(1+(L$4/100))),0)))</f>
        <v>1874</v>
      </c>
      <c r="M252" s="279">
        <f t="shared" si="173"/>
        <v>1887</v>
      </c>
      <c r="N252" s="279">
        <f t="shared" si="173"/>
        <v>1897</v>
      </c>
      <c r="O252" s="279">
        <f t="shared" si="173"/>
        <v>1901</v>
      </c>
      <c r="P252" s="279">
        <f t="shared" si="173"/>
        <v>1909</v>
      </c>
      <c r="Q252" s="279">
        <f t="shared" si="173"/>
        <v>1917</v>
      </c>
      <c r="R252" s="279">
        <f t="shared" si="173"/>
        <v>1934</v>
      </c>
      <c r="S252" s="279">
        <f t="shared" si="173"/>
        <v>1955</v>
      </c>
      <c r="T252" s="279">
        <f t="shared" si="173"/>
        <v>1968</v>
      </c>
      <c r="U252" s="279">
        <f t="shared" si="173"/>
        <v>1979</v>
      </c>
      <c r="V252" s="280">
        <f t="shared" si="136"/>
        <v>119</v>
      </c>
      <c r="W252" s="281">
        <f t="shared" si="137"/>
        <v>6.3978494623655915E-2</v>
      </c>
    </row>
    <row r="253" spans="1:23" ht="24">
      <c r="A253" s="313" t="s">
        <v>493</v>
      </c>
      <c r="B253" s="314" t="s">
        <v>617</v>
      </c>
      <c r="C253" s="117" t="s">
        <v>618</v>
      </c>
      <c r="D253" s="123" t="s">
        <v>108</v>
      </c>
      <c r="E253" s="318" t="s">
        <v>36</v>
      </c>
      <c r="F253" s="277">
        <f>IFERROR((VLOOKUP(E253,'MEMORANDOS E IPC 2023 Y 2024'!$A$1:$C$20,3,0)),"0")</f>
        <v>44974</v>
      </c>
      <c r="G253" s="224">
        <v>13200</v>
      </c>
      <c r="H253" s="279">
        <f t="shared" ref="H253:U262" si="174">IF(($F253="0"),$F253,(ROUNDDOWN((G253*(1+(H$4/100))),0)))</f>
        <v>13338</v>
      </c>
      <c r="I253" s="279">
        <f t="shared" si="174"/>
        <v>13442</v>
      </c>
      <c r="J253" s="279">
        <f t="shared" si="174"/>
        <v>13499</v>
      </c>
      <c r="K253" s="279">
        <f t="shared" si="174"/>
        <v>13539</v>
      </c>
      <c r="L253" s="279">
        <f t="shared" si="174"/>
        <v>13606</v>
      </c>
      <c r="M253" s="279">
        <f t="shared" si="174"/>
        <v>13701</v>
      </c>
      <c r="N253" s="279">
        <f t="shared" si="174"/>
        <v>13774</v>
      </c>
      <c r="O253" s="279">
        <f t="shared" si="174"/>
        <v>13808</v>
      </c>
      <c r="P253" s="279">
        <f t="shared" si="174"/>
        <v>13872</v>
      </c>
      <c r="Q253" s="279">
        <f t="shared" si="174"/>
        <v>13934</v>
      </c>
      <c r="R253" s="279">
        <f t="shared" si="174"/>
        <v>14062</v>
      </c>
      <c r="S253" s="279">
        <f t="shared" si="174"/>
        <v>14215</v>
      </c>
      <c r="T253" s="279">
        <f t="shared" si="174"/>
        <v>14314</v>
      </c>
      <c r="U253" s="279">
        <f t="shared" si="174"/>
        <v>14398</v>
      </c>
      <c r="V253" s="280">
        <f t="shared" si="136"/>
        <v>1198</v>
      </c>
      <c r="W253" s="281">
        <f t="shared" si="137"/>
        <v>9.0757575757575759E-2</v>
      </c>
    </row>
    <row r="254" spans="1:23" ht="24">
      <c r="A254" s="313" t="s">
        <v>493</v>
      </c>
      <c r="B254" s="314" t="s">
        <v>619</v>
      </c>
      <c r="C254" s="117" t="s">
        <v>618</v>
      </c>
      <c r="D254" s="123" t="s">
        <v>108</v>
      </c>
      <c r="E254" s="318" t="s">
        <v>36</v>
      </c>
      <c r="F254" s="277">
        <f>IFERROR((VLOOKUP(E254,'MEMORANDOS E IPC 2023 Y 2024'!$A$1:$C$20,3,0)),"0")</f>
        <v>44974</v>
      </c>
      <c r="G254" s="224">
        <v>13200</v>
      </c>
      <c r="H254" s="279">
        <f t="shared" si="174"/>
        <v>13338</v>
      </c>
      <c r="I254" s="279">
        <f t="shared" si="174"/>
        <v>13442</v>
      </c>
      <c r="J254" s="279">
        <f t="shared" si="174"/>
        <v>13499</v>
      </c>
      <c r="K254" s="279">
        <f t="shared" si="174"/>
        <v>13539</v>
      </c>
      <c r="L254" s="279">
        <f t="shared" si="174"/>
        <v>13606</v>
      </c>
      <c r="M254" s="279">
        <f t="shared" si="174"/>
        <v>13701</v>
      </c>
      <c r="N254" s="279">
        <f t="shared" si="174"/>
        <v>13774</v>
      </c>
      <c r="O254" s="279">
        <f t="shared" si="174"/>
        <v>13808</v>
      </c>
      <c r="P254" s="279">
        <f t="shared" si="174"/>
        <v>13872</v>
      </c>
      <c r="Q254" s="279">
        <f t="shared" si="174"/>
        <v>13934</v>
      </c>
      <c r="R254" s="279">
        <f t="shared" si="174"/>
        <v>14062</v>
      </c>
      <c r="S254" s="279">
        <f t="shared" si="174"/>
        <v>14215</v>
      </c>
      <c r="T254" s="279">
        <f t="shared" si="174"/>
        <v>14314</v>
      </c>
      <c r="U254" s="279">
        <f t="shared" si="174"/>
        <v>14398</v>
      </c>
      <c r="V254" s="280">
        <f t="shared" si="136"/>
        <v>1198</v>
      </c>
      <c r="W254" s="281">
        <f t="shared" si="137"/>
        <v>9.0757575757575759E-2</v>
      </c>
    </row>
    <row r="255" spans="1:23" ht="24">
      <c r="A255" s="313" t="s">
        <v>493</v>
      </c>
      <c r="B255" s="314" t="s">
        <v>620</v>
      </c>
      <c r="C255" s="117" t="s">
        <v>618</v>
      </c>
      <c r="D255" s="123" t="s">
        <v>108</v>
      </c>
      <c r="E255" s="318" t="s">
        <v>36</v>
      </c>
      <c r="F255" s="277">
        <f>IFERROR((VLOOKUP(E255,'MEMORANDOS E IPC 2023 Y 2024'!$A$1:$C$20,3,0)),"0")</f>
        <v>44974</v>
      </c>
      <c r="G255" s="224">
        <v>13200</v>
      </c>
      <c r="H255" s="279">
        <f t="shared" si="174"/>
        <v>13338</v>
      </c>
      <c r="I255" s="279">
        <f t="shared" si="174"/>
        <v>13442</v>
      </c>
      <c r="J255" s="279">
        <f t="shared" si="174"/>
        <v>13499</v>
      </c>
      <c r="K255" s="279">
        <f t="shared" si="174"/>
        <v>13539</v>
      </c>
      <c r="L255" s="279">
        <f t="shared" si="174"/>
        <v>13606</v>
      </c>
      <c r="M255" s="279">
        <f t="shared" si="174"/>
        <v>13701</v>
      </c>
      <c r="N255" s="279">
        <f t="shared" si="174"/>
        <v>13774</v>
      </c>
      <c r="O255" s="279">
        <f t="shared" si="174"/>
        <v>13808</v>
      </c>
      <c r="P255" s="279">
        <f t="shared" si="174"/>
        <v>13872</v>
      </c>
      <c r="Q255" s="279">
        <f t="shared" si="174"/>
        <v>13934</v>
      </c>
      <c r="R255" s="279">
        <f t="shared" si="174"/>
        <v>14062</v>
      </c>
      <c r="S255" s="279">
        <f t="shared" si="174"/>
        <v>14215</v>
      </c>
      <c r="T255" s="279">
        <f t="shared" si="174"/>
        <v>14314</v>
      </c>
      <c r="U255" s="279">
        <f t="shared" si="174"/>
        <v>14398</v>
      </c>
      <c r="V255" s="280">
        <f t="shared" si="136"/>
        <v>1198</v>
      </c>
      <c r="W255" s="281">
        <f t="shared" si="137"/>
        <v>9.0757575757575759E-2</v>
      </c>
    </row>
    <row r="256" spans="1:23" ht="24">
      <c r="A256" s="313" t="s">
        <v>493</v>
      </c>
      <c r="B256" s="314" t="s">
        <v>621</v>
      </c>
      <c r="C256" s="117" t="s">
        <v>618</v>
      </c>
      <c r="D256" s="123" t="s">
        <v>108</v>
      </c>
      <c r="E256" s="318" t="s">
        <v>36</v>
      </c>
      <c r="F256" s="277">
        <f>IFERROR((VLOOKUP(E256,'MEMORANDOS E IPC 2023 Y 2024'!$A$1:$C$20,3,0)),"0")</f>
        <v>44974</v>
      </c>
      <c r="G256" s="224">
        <v>13200</v>
      </c>
      <c r="H256" s="279">
        <f t="shared" si="174"/>
        <v>13338</v>
      </c>
      <c r="I256" s="279">
        <f t="shared" si="174"/>
        <v>13442</v>
      </c>
      <c r="J256" s="279">
        <f t="shared" si="174"/>
        <v>13499</v>
      </c>
      <c r="K256" s="279">
        <f t="shared" si="174"/>
        <v>13539</v>
      </c>
      <c r="L256" s="279">
        <f t="shared" si="174"/>
        <v>13606</v>
      </c>
      <c r="M256" s="279">
        <f t="shared" si="174"/>
        <v>13701</v>
      </c>
      <c r="N256" s="279">
        <f t="shared" si="174"/>
        <v>13774</v>
      </c>
      <c r="O256" s="279">
        <f t="shared" si="174"/>
        <v>13808</v>
      </c>
      <c r="P256" s="279">
        <f t="shared" si="174"/>
        <v>13872</v>
      </c>
      <c r="Q256" s="279">
        <f t="shared" si="174"/>
        <v>13934</v>
      </c>
      <c r="R256" s="279">
        <f t="shared" si="174"/>
        <v>14062</v>
      </c>
      <c r="S256" s="279">
        <f t="shared" si="174"/>
        <v>14215</v>
      </c>
      <c r="T256" s="279">
        <f t="shared" si="174"/>
        <v>14314</v>
      </c>
      <c r="U256" s="279">
        <f t="shared" si="174"/>
        <v>14398</v>
      </c>
      <c r="V256" s="280">
        <f t="shared" si="136"/>
        <v>1198</v>
      </c>
      <c r="W256" s="281">
        <f t="shared" si="137"/>
        <v>9.0757575757575759E-2</v>
      </c>
    </row>
    <row r="257" spans="1:23" ht="24">
      <c r="A257" s="313" t="s">
        <v>493</v>
      </c>
      <c r="B257" s="314" t="s">
        <v>622</v>
      </c>
      <c r="C257" s="117" t="s">
        <v>618</v>
      </c>
      <c r="D257" s="117" t="s">
        <v>108</v>
      </c>
      <c r="E257" s="315" t="s">
        <v>36</v>
      </c>
      <c r="F257" s="277">
        <f>IFERROR((VLOOKUP(E257,'MEMORANDOS E IPC 2023 Y 2024'!$A$1:$C$20,3,0)),"0")</f>
        <v>44974</v>
      </c>
      <c r="G257" s="224">
        <v>13200</v>
      </c>
      <c r="H257" s="279">
        <f t="shared" si="174"/>
        <v>13338</v>
      </c>
      <c r="I257" s="279">
        <f t="shared" si="174"/>
        <v>13442</v>
      </c>
      <c r="J257" s="279">
        <f t="shared" si="174"/>
        <v>13499</v>
      </c>
      <c r="K257" s="279">
        <f t="shared" si="174"/>
        <v>13539</v>
      </c>
      <c r="L257" s="279">
        <f t="shared" si="174"/>
        <v>13606</v>
      </c>
      <c r="M257" s="279">
        <f t="shared" si="174"/>
        <v>13701</v>
      </c>
      <c r="N257" s="279">
        <f t="shared" si="174"/>
        <v>13774</v>
      </c>
      <c r="O257" s="279">
        <f t="shared" si="174"/>
        <v>13808</v>
      </c>
      <c r="P257" s="279">
        <f t="shared" si="174"/>
        <v>13872</v>
      </c>
      <c r="Q257" s="279">
        <f t="shared" si="174"/>
        <v>13934</v>
      </c>
      <c r="R257" s="279">
        <f t="shared" si="174"/>
        <v>14062</v>
      </c>
      <c r="S257" s="279">
        <f t="shared" si="174"/>
        <v>14215</v>
      </c>
      <c r="T257" s="279">
        <f t="shared" si="174"/>
        <v>14314</v>
      </c>
      <c r="U257" s="279">
        <f t="shared" si="174"/>
        <v>14398</v>
      </c>
      <c r="V257" s="280">
        <f t="shared" si="136"/>
        <v>1198</v>
      </c>
      <c r="W257" s="281">
        <f t="shared" si="137"/>
        <v>9.0757575757575759E-2</v>
      </c>
    </row>
    <row r="258" spans="1:23" ht="51">
      <c r="A258" s="322" t="s">
        <v>623</v>
      </c>
      <c r="B258" s="207" t="s">
        <v>624</v>
      </c>
      <c r="C258" s="238" t="s">
        <v>625</v>
      </c>
      <c r="D258" s="76" t="s">
        <v>137</v>
      </c>
      <c r="E258" s="77" t="s">
        <v>36</v>
      </c>
      <c r="F258" s="277">
        <f>IFERROR((VLOOKUP(E258,'MEMORANDOS E IPC 2023 Y 2024'!$A$1:$C$20,3,0)),"0")</f>
        <v>44974</v>
      </c>
      <c r="G258" s="209">
        <v>60937</v>
      </c>
      <c r="H258" s="279">
        <f t="shared" si="174"/>
        <v>61576</v>
      </c>
      <c r="I258" s="279">
        <f t="shared" si="174"/>
        <v>62056</v>
      </c>
      <c r="J258" s="279">
        <f t="shared" si="174"/>
        <v>62322</v>
      </c>
      <c r="K258" s="279">
        <f t="shared" si="174"/>
        <v>62508</v>
      </c>
      <c r="L258" s="279">
        <f t="shared" si="174"/>
        <v>62820</v>
      </c>
      <c r="M258" s="279">
        <f t="shared" si="174"/>
        <v>63259</v>
      </c>
      <c r="N258" s="279">
        <f t="shared" si="174"/>
        <v>63600</v>
      </c>
      <c r="O258" s="279">
        <f t="shared" si="174"/>
        <v>63759</v>
      </c>
      <c r="P258" s="279">
        <f t="shared" si="174"/>
        <v>64058</v>
      </c>
      <c r="Q258" s="279">
        <f t="shared" si="174"/>
        <v>64346</v>
      </c>
      <c r="R258" s="279">
        <f t="shared" si="174"/>
        <v>64937</v>
      </c>
      <c r="S258" s="279">
        <f t="shared" si="174"/>
        <v>65644</v>
      </c>
      <c r="T258" s="279">
        <f t="shared" si="174"/>
        <v>66103</v>
      </c>
      <c r="U258" s="279">
        <f t="shared" si="174"/>
        <v>66493</v>
      </c>
      <c r="V258" s="280">
        <f t="shared" si="136"/>
        <v>5556</v>
      </c>
      <c r="W258" s="281">
        <f t="shared" si="137"/>
        <v>9.1176132727242884E-2</v>
      </c>
    </row>
    <row r="259" spans="1:23">
      <c r="A259" s="322" t="s">
        <v>623</v>
      </c>
      <c r="B259" s="244" t="s">
        <v>626</v>
      </c>
      <c r="C259" s="215" t="s">
        <v>627</v>
      </c>
      <c r="D259" s="76" t="s">
        <v>108</v>
      </c>
      <c r="E259" s="77" t="s">
        <v>38</v>
      </c>
      <c r="F259" s="277">
        <f>IFERROR((VLOOKUP(E259,'MEMORANDOS E IPC 2023 Y 2024'!$A$1:$C$20,3,0)),"0")</f>
        <v>45002</v>
      </c>
      <c r="G259" s="209">
        <v>12839</v>
      </c>
      <c r="H259" s="278">
        <f>G259</f>
        <v>12839</v>
      </c>
      <c r="I259" s="279">
        <f>IF(($F259="0"),$F259,(ROUNDDOWN((H259*(1+(I$4/100))),0)))</f>
        <v>12939</v>
      </c>
      <c r="J259" s="279">
        <f t="shared" si="174"/>
        <v>12994</v>
      </c>
      <c r="K259" s="279">
        <f t="shared" si="174"/>
        <v>13032</v>
      </c>
      <c r="L259" s="279">
        <f t="shared" si="174"/>
        <v>13097</v>
      </c>
      <c r="M259" s="279">
        <f t="shared" si="174"/>
        <v>13188</v>
      </c>
      <c r="N259" s="279">
        <f t="shared" si="174"/>
        <v>13259</v>
      </c>
      <c r="O259" s="279">
        <f t="shared" si="174"/>
        <v>13292</v>
      </c>
      <c r="P259" s="279">
        <f t="shared" si="174"/>
        <v>13354</v>
      </c>
      <c r="Q259" s="279">
        <f t="shared" si="174"/>
        <v>13414</v>
      </c>
      <c r="R259" s="279">
        <f t="shared" si="174"/>
        <v>13537</v>
      </c>
      <c r="S259" s="279">
        <f t="shared" si="174"/>
        <v>13684</v>
      </c>
      <c r="T259" s="279">
        <f t="shared" si="174"/>
        <v>13779</v>
      </c>
      <c r="U259" s="279">
        <f t="shared" si="174"/>
        <v>13860</v>
      </c>
      <c r="V259" s="280">
        <f t="shared" si="136"/>
        <v>1021</v>
      </c>
      <c r="W259" s="281">
        <f t="shared" si="137"/>
        <v>7.9523327361944077E-2</v>
      </c>
    </row>
    <row r="260" spans="1:23" ht="25.5">
      <c r="A260" s="322" t="s">
        <v>623</v>
      </c>
      <c r="B260" s="207" t="s">
        <v>628</v>
      </c>
      <c r="C260" s="207" t="s">
        <v>629</v>
      </c>
      <c r="D260" s="76" t="s">
        <v>108</v>
      </c>
      <c r="E260" s="223" t="s">
        <v>36</v>
      </c>
      <c r="F260" s="277">
        <f>IFERROR((VLOOKUP(E260,'MEMORANDOS E IPC 2023 Y 2024'!$A$1:$C$20,3,0)),"0")</f>
        <v>44974</v>
      </c>
      <c r="G260" s="209">
        <v>70168</v>
      </c>
      <c r="H260" s="279">
        <f>IF(($F260="0"),$F260,(ROUNDDOWN((G260*(1+(H$4/100))),0)))</f>
        <v>70904</v>
      </c>
      <c r="I260" s="279">
        <f t="shared" si="174"/>
        <v>71457</v>
      </c>
      <c r="J260" s="279">
        <f t="shared" si="174"/>
        <v>71764</v>
      </c>
      <c r="K260" s="279">
        <f t="shared" si="174"/>
        <v>71979</v>
      </c>
      <c r="L260" s="279">
        <f t="shared" si="174"/>
        <v>72338</v>
      </c>
      <c r="M260" s="279">
        <f t="shared" si="174"/>
        <v>72844</v>
      </c>
      <c r="N260" s="279">
        <f t="shared" si="174"/>
        <v>73237</v>
      </c>
      <c r="O260" s="279">
        <f t="shared" si="174"/>
        <v>73420</v>
      </c>
      <c r="P260" s="279">
        <f t="shared" si="174"/>
        <v>73765</v>
      </c>
      <c r="Q260" s="279">
        <f t="shared" si="174"/>
        <v>74096</v>
      </c>
      <c r="R260" s="279">
        <f t="shared" si="174"/>
        <v>74777</v>
      </c>
      <c r="S260" s="279">
        <f t="shared" si="174"/>
        <v>75592</v>
      </c>
      <c r="T260" s="279">
        <f t="shared" si="174"/>
        <v>76121</v>
      </c>
      <c r="U260" s="279">
        <f t="shared" si="174"/>
        <v>76570</v>
      </c>
      <c r="V260" s="280">
        <f t="shared" si="136"/>
        <v>6402</v>
      </c>
      <c r="W260" s="281">
        <f t="shared" si="137"/>
        <v>9.1238171246152092E-2</v>
      </c>
    </row>
    <row r="261" spans="1:23">
      <c r="A261" s="322" t="s">
        <v>623</v>
      </c>
      <c r="B261" s="207" t="s">
        <v>630</v>
      </c>
      <c r="C261" s="207" t="s">
        <v>631</v>
      </c>
      <c r="D261" s="76" t="s">
        <v>108</v>
      </c>
      <c r="E261" s="223" t="s">
        <v>36</v>
      </c>
      <c r="F261" s="277">
        <f>IFERROR((VLOOKUP(E261,'MEMORANDOS E IPC 2023 Y 2024'!$A$1:$C$20,3,0)),"0")</f>
        <v>44974</v>
      </c>
      <c r="G261" s="209">
        <v>88100</v>
      </c>
      <c r="H261" s="279">
        <f>IF(($F261="0"),$F261,(ROUNDDOWN((G261*(1+(H$4/100))),0)))</f>
        <v>89025</v>
      </c>
      <c r="I261" s="279">
        <f t="shared" si="174"/>
        <v>89719</v>
      </c>
      <c r="J261" s="279">
        <f t="shared" si="174"/>
        <v>90104</v>
      </c>
      <c r="K261" s="279">
        <f t="shared" si="174"/>
        <v>90374</v>
      </c>
      <c r="L261" s="279">
        <f t="shared" si="174"/>
        <v>90825</v>
      </c>
      <c r="M261" s="279">
        <f t="shared" si="174"/>
        <v>91460</v>
      </c>
      <c r="N261" s="279">
        <f t="shared" si="174"/>
        <v>91953</v>
      </c>
      <c r="O261" s="279">
        <f t="shared" si="174"/>
        <v>92182</v>
      </c>
      <c r="P261" s="279">
        <f t="shared" si="174"/>
        <v>92615</v>
      </c>
      <c r="Q261" s="279">
        <f t="shared" si="174"/>
        <v>93031</v>
      </c>
      <c r="R261" s="279">
        <f t="shared" si="174"/>
        <v>93886</v>
      </c>
      <c r="S261" s="279">
        <f t="shared" si="174"/>
        <v>94909</v>
      </c>
      <c r="T261" s="279">
        <f t="shared" si="174"/>
        <v>95573</v>
      </c>
      <c r="U261" s="279">
        <f t="shared" si="174"/>
        <v>96136</v>
      </c>
      <c r="V261" s="280">
        <f t="shared" si="136"/>
        <v>8036</v>
      </c>
      <c r="W261" s="281">
        <f t="shared" si="137"/>
        <v>9.1214528944381382E-2</v>
      </c>
    </row>
    <row r="262" spans="1:23">
      <c r="A262" s="322" t="s">
        <v>623</v>
      </c>
      <c r="B262" s="207" t="s">
        <v>632</v>
      </c>
      <c r="C262" s="207" t="s">
        <v>633</v>
      </c>
      <c r="D262" s="76" t="s">
        <v>108</v>
      </c>
      <c r="E262" s="223" t="s">
        <v>36</v>
      </c>
      <c r="F262" s="277">
        <f>IFERROR((VLOOKUP(E262,'MEMORANDOS E IPC 2023 Y 2024'!$A$1:$C$20,3,0)),"0")</f>
        <v>44974</v>
      </c>
      <c r="G262" s="209">
        <v>88100</v>
      </c>
      <c r="H262" s="279">
        <f>IF(($F262="0"),$F262,(ROUNDDOWN((G262*(1+(H$4/100))),0)))</f>
        <v>89025</v>
      </c>
      <c r="I262" s="279">
        <f t="shared" si="174"/>
        <v>89719</v>
      </c>
      <c r="J262" s="279">
        <f t="shared" si="174"/>
        <v>90104</v>
      </c>
      <c r="K262" s="279">
        <f t="shared" si="174"/>
        <v>90374</v>
      </c>
      <c r="L262" s="279">
        <f t="shared" si="174"/>
        <v>90825</v>
      </c>
      <c r="M262" s="279">
        <f t="shared" si="174"/>
        <v>91460</v>
      </c>
      <c r="N262" s="279">
        <f t="shared" si="174"/>
        <v>91953</v>
      </c>
      <c r="O262" s="279">
        <f t="shared" si="174"/>
        <v>92182</v>
      </c>
      <c r="P262" s="279">
        <f t="shared" si="174"/>
        <v>92615</v>
      </c>
      <c r="Q262" s="279">
        <f t="shared" si="174"/>
        <v>93031</v>
      </c>
      <c r="R262" s="279">
        <f t="shared" si="174"/>
        <v>93886</v>
      </c>
      <c r="S262" s="279">
        <f t="shared" si="174"/>
        <v>94909</v>
      </c>
      <c r="T262" s="279">
        <f t="shared" si="174"/>
        <v>95573</v>
      </c>
      <c r="U262" s="279">
        <f t="shared" si="174"/>
        <v>96136</v>
      </c>
      <c r="V262" s="280">
        <f t="shared" si="136"/>
        <v>8036</v>
      </c>
      <c r="W262" s="281">
        <f t="shared" si="137"/>
        <v>9.1214528944381382E-2</v>
      </c>
    </row>
    <row r="263" spans="1:23">
      <c r="A263" s="322" t="s">
        <v>623</v>
      </c>
      <c r="B263" s="215" t="s">
        <v>634</v>
      </c>
      <c r="C263" s="173" t="s">
        <v>635</v>
      </c>
      <c r="D263" s="223" t="s">
        <v>465</v>
      </c>
      <c r="E263" s="223" t="s">
        <v>84</v>
      </c>
      <c r="F263" s="277" t="str">
        <f>IFERROR((VLOOKUP(E263,'MEMORANDOS E IPC 2023 Y 2024'!$A$1:$C$20,3,0)),"0")</f>
        <v>0</v>
      </c>
      <c r="G263" s="217">
        <v>107694</v>
      </c>
      <c r="H263" s="279">
        <f>IF(($F263="0"),$G263,(ROUNDDOWN((G263*(1+(H$4/100))),0)))</f>
        <v>107694</v>
      </c>
      <c r="I263" s="279">
        <f t="shared" ref="I263:U265" si="175">IF(($F263="0"),$G263,(ROUNDDOWN((H263*(1+(I$4/100))),0)))</f>
        <v>107694</v>
      </c>
      <c r="J263" s="279">
        <f t="shared" si="175"/>
        <v>107694</v>
      </c>
      <c r="K263" s="279">
        <f t="shared" si="175"/>
        <v>107694</v>
      </c>
      <c r="L263" s="279">
        <f t="shared" si="175"/>
        <v>107694</v>
      </c>
      <c r="M263" s="279">
        <f t="shared" si="175"/>
        <v>107694</v>
      </c>
      <c r="N263" s="279">
        <f t="shared" si="175"/>
        <v>107694</v>
      </c>
      <c r="O263" s="279">
        <f t="shared" si="175"/>
        <v>107694</v>
      </c>
      <c r="P263" s="279">
        <f t="shared" si="175"/>
        <v>107694</v>
      </c>
      <c r="Q263" s="279">
        <f t="shared" si="175"/>
        <v>107694</v>
      </c>
      <c r="R263" s="279">
        <f t="shared" si="175"/>
        <v>107694</v>
      </c>
      <c r="S263" s="279">
        <f t="shared" si="175"/>
        <v>107694</v>
      </c>
      <c r="T263" s="279">
        <f t="shared" si="175"/>
        <v>107694</v>
      </c>
      <c r="U263" s="279">
        <f t="shared" si="175"/>
        <v>107694</v>
      </c>
      <c r="V263" s="280">
        <f t="shared" si="136"/>
        <v>0</v>
      </c>
      <c r="W263" s="281">
        <f t="shared" si="137"/>
        <v>0</v>
      </c>
    </row>
    <row r="264" spans="1:23">
      <c r="A264" s="322" t="s">
        <v>623</v>
      </c>
      <c r="B264" s="215" t="s">
        <v>636</v>
      </c>
      <c r="C264" s="173" t="s">
        <v>637</v>
      </c>
      <c r="D264" s="223" t="s">
        <v>465</v>
      </c>
      <c r="E264" s="223" t="s">
        <v>84</v>
      </c>
      <c r="F264" s="277" t="str">
        <f>IFERROR((VLOOKUP(E264,'MEMORANDOS E IPC 2023 Y 2024'!$A$1:$C$20,3,0)),"0")</f>
        <v>0</v>
      </c>
      <c r="G264" s="217">
        <v>108767</v>
      </c>
      <c r="H264" s="279">
        <f>IF(($F264="0"),$G264,(ROUNDDOWN((G264*(1+(H$4/100))),0)))</f>
        <v>108767</v>
      </c>
      <c r="I264" s="279">
        <f t="shared" si="175"/>
        <v>108767</v>
      </c>
      <c r="J264" s="279">
        <f t="shared" si="175"/>
        <v>108767</v>
      </c>
      <c r="K264" s="279">
        <f t="shared" si="175"/>
        <v>108767</v>
      </c>
      <c r="L264" s="279">
        <f t="shared" si="175"/>
        <v>108767</v>
      </c>
      <c r="M264" s="279">
        <f t="shared" si="175"/>
        <v>108767</v>
      </c>
      <c r="N264" s="279">
        <f t="shared" si="175"/>
        <v>108767</v>
      </c>
      <c r="O264" s="279">
        <f t="shared" si="175"/>
        <v>108767</v>
      </c>
      <c r="P264" s="279">
        <f t="shared" si="175"/>
        <v>108767</v>
      </c>
      <c r="Q264" s="279">
        <f t="shared" si="175"/>
        <v>108767</v>
      </c>
      <c r="R264" s="279">
        <f t="shared" si="175"/>
        <v>108767</v>
      </c>
      <c r="S264" s="279">
        <f t="shared" si="175"/>
        <v>108767</v>
      </c>
      <c r="T264" s="279">
        <f t="shared" si="175"/>
        <v>108767</v>
      </c>
      <c r="U264" s="279">
        <f t="shared" si="175"/>
        <v>108767</v>
      </c>
      <c r="V264" s="280">
        <f t="shared" si="136"/>
        <v>0</v>
      </c>
      <c r="W264" s="281">
        <f t="shared" si="137"/>
        <v>0</v>
      </c>
    </row>
    <row r="265" spans="1:23">
      <c r="A265" s="322" t="s">
        <v>623</v>
      </c>
      <c r="B265" s="215" t="s">
        <v>638</v>
      </c>
      <c r="C265" s="173" t="s">
        <v>639</v>
      </c>
      <c r="D265" s="223" t="s">
        <v>465</v>
      </c>
      <c r="E265" s="223" t="s">
        <v>84</v>
      </c>
      <c r="F265" s="277" t="str">
        <f>IFERROR((VLOOKUP(E265,'MEMORANDOS E IPC 2023 Y 2024'!$A$1:$C$20,3,0)),"0")</f>
        <v>0</v>
      </c>
      <c r="G265" s="217">
        <v>147902</v>
      </c>
      <c r="H265" s="279">
        <f>IF(($F265="0"),$G265,(ROUNDDOWN((G265*(1+(H$4/100))),0)))</f>
        <v>147902</v>
      </c>
      <c r="I265" s="279">
        <f t="shared" si="175"/>
        <v>147902</v>
      </c>
      <c r="J265" s="279">
        <f t="shared" si="175"/>
        <v>147902</v>
      </c>
      <c r="K265" s="279">
        <f t="shared" si="175"/>
        <v>147902</v>
      </c>
      <c r="L265" s="279">
        <f t="shared" si="175"/>
        <v>147902</v>
      </c>
      <c r="M265" s="279">
        <f t="shared" si="175"/>
        <v>147902</v>
      </c>
      <c r="N265" s="279">
        <f t="shared" si="175"/>
        <v>147902</v>
      </c>
      <c r="O265" s="279">
        <f t="shared" si="175"/>
        <v>147902</v>
      </c>
      <c r="P265" s="279">
        <f t="shared" si="175"/>
        <v>147902</v>
      </c>
      <c r="Q265" s="279">
        <f t="shared" si="175"/>
        <v>147902</v>
      </c>
      <c r="R265" s="279">
        <f t="shared" si="175"/>
        <v>147902</v>
      </c>
      <c r="S265" s="279">
        <f t="shared" si="175"/>
        <v>147902</v>
      </c>
      <c r="T265" s="279">
        <f t="shared" si="175"/>
        <v>147902</v>
      </c>
      <c r="U265" s="279">
        <f t="shared" si="175"/>
        <v>147902</v>
      </c>
      <c r="V265" s="280">
        <f t="shared" ref="V265:V331" si="176">U265-G265</f>
        <v>0</v>
      </c>
      <c r="W265" s="281">
        <f t="shared" ref="W265:W331" si="177">V265/G265</f>
        <v>0</v>
      </c>
    </row>
    <row r="266" spans="1:23" ht="25.5">
      <c r="A266" s="322" t="s">
        <v>623</v>
      </c>
      <c r="B266" s="207" t="s">
        <v>640</v>
      </c>
      <c r="C266" s="207" t="s">
        <v>641</v>
      </c>
      <c r="D266" s="76" t="s">
        <v>108</v>
      </c>
      <c r="E266" s="77" t="s">
        <v>36</v>
      </c>
      <c r="F266" s="277">
        <f>IFERROR((VLOOKUP(E266,'MEMORANDOS E IPC 2023 Y 2024'!$A$1:$C$20,3,0)),"0")</f>
        <v>44974</v>
      </c>
      <c r="G266" s="209">
        <v>93514</v>
      </c>
      <c r="H266" s="279">
        <f>IF(($F266="0"),$F266,(ROUNDDOWN((G266*(1+(H$4/100))),0)))</f>
        <v>94495</v>
      </c>
      <c r="I266" s="279">
        <f t="shared" ref="I266:U266" si="178">IF(($F266="0"),$F266,(ROUNDDOWN((H266*(1+(I$4/100))),0)))</f>
        <v>95232</v>
      </c>
      <c r="J266" s="279">
        <f t="shared" si="178"/>
        <v>95641</v>
      </c>
      <c r="K266" s="279">
        <f t="shared" si="178"/>
        <v>95927</v>
      </c>
      <c r="L266" s="279">
        <f t="shared" si="178"/>
        <v>96406</v>
      </c>
      <c r="M266" s="279">
        <f t="shared" si="178"/>
        <v>97080</v>
      </c>
      <c r="N266" s="279">
        <f t="shared" si="178"/>
        <v>97604</v>
      </c>
      <c r="O266" s="279">
        <f t="shared" si="178"/>
        <v>97848</v>
      </c>
      <c r="P266" s="279">
        <f t="shared" si="178"/>
        <v>98307</v>
      </c>
      <c r="Q266" s="279">
        <f t="shared" si="178"/>
        <v>98749</v>
      </c>
      <c r="R266" s="279">
        <f t="shared" si="178"/>
        <v>99657</v>
      </c>
      <c r="S266" s="279">
        <f t="shared" si="178"/>
        <v>100743</v>
      </c>
      <c r="T266" s="279">
        <f t="shared" si="178"/>
        <v>101448</v>
      </c>
      <c r="U266" s="279">
        <f t="shared" si="178"/>
        <v>102046</v>
      </c>
      <c r="V266" s="280">
        <f t="shared" si="176"/>
        <v>8532</v>
      </c>
      <c r="W266" s="281">
        <f t="shared" si="177"/>
        <v>9.1237675642149837E-2</v>
      </c>
    </row>
    <row r="267" spans="1:23" ht="25.5">
      <c r="A267" s="322" t="s">
        <v>623</v>
      </c>
      <c r="B267" s="207" t="s">
        <v>642</v>
      </c>
      <c r="C267" s="207" t="s">
        <v>643</v>
      </c>
      <c r="D267" s="76" t="s">
        <v>108</v>
      </c>
      <c r="E267" s="77" t="s">
        <v>644</v>
      </c>
      <c r="F267" s="277" t="str">
        <f>IFERROR((VLOOKUP(E267,'MEMORANDOS E IPC 2023 Y 2024'!$A$1:$C$20,3,0)),"0")</f>
        <v>0</v>
      </c>
      <c r="G267" s="209">
        <v>69100</v>
      </c>
      <c r="H267" s="279">
        <f>IF(($F267="0"),$G267,(ROUNDDOWN((G267*(1+(H$4/100))),0)))</f>
        <v>69100</v>
      </c>
      <c r="I267" s="279">
        <f t="shared" ref="I267:U267" si="179">IF(($F267="0"),$G267,(ROUNDDOWN((H267*(1+(I$4/100))),0)))</f>
        <v>69100</v>
      </c>
      <c r="J267" s="279">
        <f t="shared" si="179"/>
        <v>69100</v>
      </c>
      <c r="K267" s="279">
        <f t="shared" si="179"/>
        <v>69100</v>
      </c>
      <c r="L267" s="279">
        <f t="shared" si="179"/>
        <v>69100</v>
      </c>
      <c r="M267" s="279">
        <f t="shared" si="179"/>
        <v>69100</v>
      </c>
      <c r="N267" s="279">
        <f t="shared" si="179"/>
        <v>69100</v>
      </c>
      <c r="O267" s="279">
        <f t="shared" si="179"/>
        <v>69100</v>
      </c>
      <c r="P267" s="279">
        <f t="shared" si="179"/>
        <v>69100</v>
      </c>
      <c r="Q267" s="279">
        <f t="shared" si="179"/>
        <v>69100</v>
      </c>
      <c r="R267" s="279">
        <f t="shared" si="179"/>
        <v>69100</v>
      </c>
      <c r="S267" s="279">
        <f t="shared" si="179"/>
        <v>69100</v>
      </c>
      <c r="T267" s="279">
        <f t="shared" si="179"/>
        <v>69100</v>
      </c>
      <c r="U267" s="279">
        <f t="shared" si="179"/>
        <v>69100</v>
      </c>
      <c r="V267" s="280">
        <f t="shared" si="176"/>
        <v>0</v>
      </c>
      <c r="W267" s="281">
        <f t="shared" si="177"/>
        <v>0</v>
      </c>
    </row>
    <row r="268" spans="1:23" ht="38.25">
      <c r="A268" s="322" t="s">
        <v>623</v>
      </c>
      <c r="B268" s="207" t="s">
        <v>645</v>
      </c>
      <c r="C268" s="238" t="s">
        <v>646</v>
      </c>
      <c r="D268" s="76" t="s">
        <v>647</v>
      </c>
      <c r="E268" s="77" t="s">
        <v>36</v>
      </c>
      <c r="F268" s="277">
        <f>IFERROR((VLOOKUP(E268,'MEMORANDOS E IPC 2023 Y 2024'!$A$1:$C$20,3,0)),"0")</f>
        <v>44974</v>
      </c>
      <c r="G268" s="209">
        <v>38334</v>
      </c>
      <c r="H268" s="279">
        <f>IF(($F268="0"),$F268,(ROUNDDOWN((G268*(1+(H$4/100))),0)))</f>
        <v>38736</v>
      </c>
      <c r="I268" s="279">
        <f t="shared" ref="I268:U269" si="180">IF(($F268="0"),$F268,(ROUNDDOWN((H268*(1+(I$4/100))),0)))</f>
        <v>39038</v>
      </c>
      <c r="J268" s="279">
        <f t="shared" si="180"/>
        <v>39205</v>
      </c>
      <c r="K268" s="279">
        <f t="shared" si="180"/>
        <v>39322</v>
      </c>
      <c r="L268" s="279">
        <f t="shared" si="180"/>
        <v>39518</v>
      </c>
      <c r="M268" s="279">
        <f t="shared" si="180"/>
        <v>39794</v>
      </c>
      <c r="N268" s="279">
        <f t="shared" si="180"/>
        <v>40008</v>
      </c>
      <c r="O268" s="279">
        <f t="shared" si="180"/>
        <v>40108</v>
      </c>
      <c r="P268" s="279">
        <f t="shared" si="180"/>
        <v>40296</v>
      </c>
      <c r="Q268" s="279">
        <f t="shared" si="180"/>
        <v>40477</v>
      </c>
      <c r="R268" s="279">
        <f t="shared" si="180"/>
        <v>40849</v>
      </c>
      <c r="S268" s="279">
        <f t="shared" si="180"/>
        <v>41294</v>
      </c>
      <c r="T268" s="279">
        <f t="shared" si="180"/>
        <v>41583</v>
      </c>
      <c r="U268" s="279">
        <f t="shared" si="180"/>
        <v>41828</v>
      </c>
      <c r="V268" s="280">
        <f t="shared" si="176"/>
        <v>3494</v>
      </c>
      <c r="W268" s="281">
        <f t="shared" si="177"/>
        <v>9.1146240934940267E-2</v>
      </c>
    </row>
    <row r="269" spans="1:23" ht="51">
      <c r="A269" s="322" t="s">
        <v>623</v>
      </c>
      <c r="B269" s="215" t="s">
        <v>648</v>
      </c>
      <c r="C269" s="238" t="s">
        <v>625</v>
      </c>
      <c r="D269" s="76" t="s">
        <v>137</v>
      </c>
      <c r="E269" s="77" t="s">
        <v>62</v>
      </c>
      <c r="F269" s="277">
        <f>IFERROR((VLOOKUP(E269,'MEMORANDOS E IPC 2023 Y 2024'!$A$1:$C$20,3,0)),"0")</f>
        <v>45220</v>
      </c>
      <c r="G269" s="209">
        <v>74952</v>
      </c>
      <c r="H269" s="285">
        <f>G269</f>
        <v>74952</v>
      </c>
      <c r="I269" s="285">
        <f t="shared" ref="I269:O269" si="181">H269</f>
        <v>74952</v>
      </c>
      <c r="J269" s="285">
        <f t="shared" si="181"/>
        <v>74952</v>
      </c>
      <c r="K269" s="285">
        <f t="shared" si="181"/>
        <v>74952</v>
      </c>
      <c r="L269" s="285">
        <f t="shared" si="181"/>
        <v>74952</v>
      </c>
      <c r="M269" s="285">
        <f t="shared" si="181"/>
        <v>74952</v>
      </c>
      <c r="N269" s="285">
        <f t="shared" si="181"/>
        <v>74952</v>
      </c>
      <c r="O269" s="285">
        <f t="shared" si="181"/>
        <v>74952</v>
      </c>
      <c r="P269" s="279">
        <f>IF(($F269="0"),$F269,(ROUNDDOWN((O269*(1+(P$4/100))),0)))</f>
        <v>75304</v>
      </c>
      <c r="Q269" s="279">
        <f t="shared" si="180"/>
        <v>75642</v>
      </c>
      <c r="R269" s="279">
        <f t="shared" si="180"/>
        <v>76337</v>
      </c>
      <c r="S269" s="279">
        <f t="shared" si="180"/>
        <v>77169</v>
      </c>
      <c r="T269" s="279">
        <f t="shared" si="180"/>
        <v>77709</v>
      </c>
      <c r="U269" s="279">
        <f t="shared" si="180"/>
        <v>78167</v>
      </c>
      <c r="V269" s="280">
        <f t="shared" si="176"/>
        <v>3215</v>
      </c>
      <c r="W269" s="281">
        <f t="shared" si="177"/>
        <v>4.2894118902764435E-2</v>
      </c>
    </row>
    <row r="270" spans="1:23" ht="51">
      <c r="A270" s="322" t="s">
        <v>623</v>
      </c>
      <c r="B270" s="207" t="s">
        <v>649</v>
      </c>
      <c r="C270" s="207" t="s">
        <v>650</v>
      </c>
      <c r="D270" s="76" t="s">
        <v>137</v>
      </c>
      <c r="E270" s="77" t="s">
        <v>36</v>
      </c>
      <c r="F270" s="277">
        <f>IFERROR((VLOOKUP(E270,'MEMORANDOS E IPC 2023 Y 2024'!$A$1:$C$20,3,0)),"0")</f>
        <v>44974</v>
      </c>
      <c r="G270" s="209">
        <v>2843125</v>
      </c>
      <c r="H270" s="279">
        <f>IF(($F270="0"),$F270,(ROUNDDOWN((G270*(1+(H$4/100))),0)))</f>
        <v>2872977</v>
      </c>
      <c r="I270" s="279">
        <f t="shared" ref="I270:U271" si="182">IF(($F270="0"),$F270,(ROUNDDOWN((H270*(1+(I$4/100))),0)))</f>
        <v>2895386</v>
      </c>
      <c r="J270" s="279">
        <f t="shared" si="182"/>
        <v>2907836</v>
      </c>
      <c r="K270" s="279">
        <f t="shared" si="182"/>
        <v>2916559</v>
      </c>
      <c r="L270" s="279">
        <f t="shared" si="182"/>
        <v>2931141</v>
      </c>
      <c r="M270" s="279">
        <f t="shared" si="182"/>
        <v>2951658</v>
      </c>
      <c r="N270" s="279">
        <f t="shared" si="182"/>
        <v>2967596</v>
      </c>
      <c r="O270" s="279">
        <f t="shared" si="182"/>
        <v>2975014</v>
      </c>
      <c r="P270" s="279">
        <f t="shared" si="182"/>
        <v>2988996</v>
      </c>
      <c r="Q270" s="279">
        <f t="shared" si="182"/>
        <v>3002446</v>
      </c>
      <c r="R270" s="279">
        <f t="shared" si="182"/>
        <v>3030068</v>
      </c>
      <c r="S270" s="279">
        <f t="shared" si="182"/>
        <v>3063095</v>
      </c>
      <c r="T270" s="279">
        <f t="shared" si="182"/>
        <v>3084536</v>
      </c>
      <c r="U270" s="279">
        <f t="shared" si="182"/>
        <v>3102734</v>
      </c>
      <c r="V270" s="280">
        <f t="shared" si="176"/>
        <v>259609</v>
      </c>
      <c r="W270" s="281">
        <f t="shared" si="177"/>
        <v>9.1311145306660804E-2</v>
      </c>
    </row>
    <row r="271" spans="1:23" ht="51">
      <c r="A271" s="322" t="s">
        <v>623</v>
      </c>
      <c r="B271" s="207" t="s">
        <v>651</v>
      </c>
      <c r="C271" s="207" t="s">
        <v>216</v>
      </c>
      <c r="D271" s="76" t="s">
        <v>137</v>
      </c>
      <c r="E271" s="77" t="s">
        <v>36</v>
      </c>
      <c r="F271" s="277">
        <f>IFERROR((VLOOKUP(E271,'MEMORANDOS E IPC 2023 Y 2024'!$A$1:$C$20,3,0)),"0")</f>
        <v>44974</v>
      </c>
      <c r="G271" s="209">
        <v>95927</v>
      </c>
      <c r="H271" s="279">
        <f>IF(($F271="0"),$F271,(ROUNDDOWN((G271*(1+(H$4/100))),0)))</f>
        <v>96934</v>
      </c>
      <c r="I271" s="279">
        <f t="shared" si="182"/>
        <v>97690</v>
      </c>
      <c r="J271" s="279">
        <f t="shared" si="182"/>
        <v>98110</v>
      </c>
      <c r="K271" s="279">
        <f t="shared" si="182"/>
        <v>98404</v>
      </c>
      <c r="L271" s="279">
        <f t="shared" si="182"/>
        <v>98896</v>
      </c>
      <c r="M271" s="279">
        <f t="shared" si="182"/>
        <v>99588</v>
      </c>
      <c r="N271" s="279">
        <f t="shared" si="182"/>
        <v>100125</v>
      </c>
      <c r="O271" s="279">
        <f t="shared" si="182"/>
        <v>100375</v>
      </c>
      <c r="P271" s="279">
        <f t="shared" si="182"/>
        <v>100846</v>
      </c>
      <c r="Q271" s="279">
        <f t="shared" si="182"/>
        <v>101299</v>
      </c>
      <c r="R271" s="279">
        <f t="shared" si="182"/>
        <v>102230</v>
      </c>
      <c r="S271" s="279">
        <f t="shared" si="182"/>
        <v>103344</v>
      </c>
      <c r="T271" s="279">
        <f t="shared" si="182"/>
        <v>104067</v>
      </c>
      <c r="U271" s="279">
        <f t="shared" si="182"/>
        <v>104680</v>
      </c>
      <c r="V271" s="280">
        <f t="shared" si="176"/>
        <v>8753</v>
      </c>
      <c r="W271" s="281">
        <f t="shared" si="177"/>
        <v>9.1246468668883626E-2</v>
      </c>
    </row>
    <row r="272" spans="1:23" ht="51">
      <c r="A272" s="322" t="s">
        <v>623</v>
      </c>
      <c r="B272" s="207" t="s">
        <v>652</v>
      </c>
      <c r="C272" s="238" t="s">
        <v>653</v>
      </c>
      <c r="D272" s="76" t="s">
        <v>137</v>
      </c>
      <c r="E272" s="223" t="s">
        <v>84</v>
      </c>
      <c r="F272" s="277" t="str">
        <f>IFERROR((VLOOKUP(E272,'MEMORANDOS E IPC 2023 Y 2024'!$A$1:$C$20,3,0)),"0")</f>
        <v>0</v>
      </c>
      <c r="G272" s="209">
        <v>141556</v>
      </c>
      <c r="H272" s="279">
        <f>IF(($F272="0"),$G272,(ROUNDDOWN((G272*(1+(H$4/100))),0)))</f>
        <v>141556</v>
      </c>
      <c r="I272" s="279">
        <f t="shared" ref="I272:U272" si="183">IF(($F272="0"),$G272,(ROUNDDOWN((H272*(1+(I$4/100))),0)))</f>
        <v>141556</v>
      </c>
      <c r="J272" s="279">
        <f t="shared" si="183"/>
        <v>141556</v>
      </c>
      <c r="K272" s="279">
        <f t="shared" si="183"/>
        <v>141556</v>
      </c>
      <c r="L272" s="279">
        <f t="shared" si="183"/>
        <v>141556</v>
      </c>
      <c r="M272" s="279">
        <f t="shared" si="183"/>
        <v>141556</v>
      </c>
      <c r="N272" s="279">
        <f t="shared" si="183"/>
        <v>141556</v>
      </c>
      <c r="O272" s="279">
        <f t="shared" si="183"/>
        <v>141556</v>
      </c>
      <c r="P272" s="279">
        <f t="shared" si="183"/>
        <v>141556</v>
      </c>
      <c r="Q272" s="279">
        <f t="shared" si="183"/>
        <v>141556</v>
      </c>
      <c r="R272" s="279">
        <f t="shared" si="183"/>
        <v>141556</v>
      </c>
      <c r="S272" s="279">
        <f t="shared" si="183"/>
        <v>141556</v>
      </c>
      <c r="T272" s="279">
        <f t="shared" si="183"/>
        <v>141556</v>
      </c>
      <c r="U272" s="279">
        <f t="shared" si="183"/>
        <v>141556</v>
      </c>
      <c r="V272" s="280">
        <f t="shared" si="176"/>
        <v>0</v>
      </c>
      <c r="W272" s="281">
        <f t="shared" si="177"/>
        <v>0</v>
      </c>
    </row>
    <row r="273" spans="1:23" ht="51">
      <c r="A273" s="322" t="s">
        <v>623</v>
      </c>
      <c r="B273" s="215" t="s">
        <v>654</v>
      </c>
      <c r="C273" s="238" t="s">
        <v>625</v>
      </c>
      <c r="D273" s="76" t="s">
        <v>137</v>
      </c>
      <c r="E273" s="77" t="s">
        <v>62</v>
      </c>
      <c r="F273" s="277">
        <f>IFERROR((VLOOKUP(E273,'MEMORANDOS E IPC 2023 Y 2024'!$A$1:$C$20,3,0)),"0")</f>
        <v>45220</v>
      </c>
      <c r="G273" s="209">
        <v>55857</v>
      </c>
      <c r="H273" s="285">
        <f>G273</f>
        <v>55857</v>
      </c>
      <c r="I273" s="285">
        <f t="shared" ref="I273:O273" si="184">H273</f>
        <v>55857</v>
      </c>
      <c r="J273" s="285">
        <f t="shared" si="184"/>
        <v>55857</v>
      </c>
      <c r="K273" s="285">
        <f t="shared" si="184"/>
        <v>55857</v>
      </c>
      <c r="L273" s="285">
        <f t="shared" si="184"/>
        <v>55857</v>
      </c>
      <c r="M273" s="285">
        <f t="shared" si="184"/>
        <v>55857</v>
      </c>
      <c r="N273" s="285">
        <f t="shared" si="184"/>
        <v>55857</v>
      </c>
      <c r="O273" s="285">
        <f t="shared" si="184"/>
        <v>55857</v>
      </c>
      <c r="P273" s="279">
        <f>IF(($F273="0"),$F273,(ROUNDDOWN((O273*(1+(P$4/100))),0)))</f>
        <v>56119</v>
      </c>
      <c r="Q273" s="279">
        <f t="shared" ref="Q273:U273" si="185">IF(($F273="0"),$F273,(ROUNDDOWN((P273*(1+(Q$4/100))),0)))</f>
        <v>56371</v>
      </c>
      <c r="R273" s="279">
        <f t="shared" si="185"/>
        <v>56889</v>
      </c>
      <c r="S273" s="279">
        <f t="shared" si="185"/>
        <v>57509</v>
      </c>
      <c r="T273" s="279">
        <f t="shared" si="185"/>
        <v>57911</v>
      </c>
      <c r="U273" s="279">
        <f t="shared" si="185"/>
        <v>58252</v>
      </c>
      <c r="V273" s="280">
        <f t="shared" si="176"/>
        <v>2395</v>
      </c>
      <c r="W273" s="281">
        <f t="shared" si="177"/>
        <v>4.2877347512397732E-2</v>
      </c>
    </row>
    <row r="274" spans="1:23">
      <c r="A274" s="322" t="s">
        <v>623</v>
      </c>
      <c r="B274" s="207" t="s">
        <v>655</v>
      </c>
      <c r="C274" s="207" t="s">
        <v>656</v>
      </c>
      <c r="D274" s="76" t="s">
        <v>108</v>
      </c>
      <c r="E274" s="77" t="s">
        <v>38</v>
      </c>
      <c r="F274" s="277">
        <f>IFERROR((VLOOKUP(E274,'MEMORANDOS E IPC 2023 Y 2024'!$A$1:$C$20,3,0)),"0")</f>
        <v>45002</v>
      </c>
      <c r="G274" s="209">
        <v>15007</v>
      </c>
      <c r="H274" s="278">
        <f>G274</f>
        <v>15007</v>
      </c>
      <c r="I274" s="279">
        <f>IF(($F274="0"),$F274,(ROUNDDOWN((H274*(1+(I$4/100))),0)))</f>
        <v>15124</v>
      </c>
      <c r="J274" s="279">
        <f t="shared" ref="J274:U274" si="186">IF(($F274="0"),$F274,(ROUNDDOWN((I274*(1+(J$4/100))),0)))</f>
        <v>15189</v>
      </c>
      <c r="K274" s="279">
        <f t="shared" si="186"/>
        <v>15234</v>
      </c>
      <c r="L274" s="279">
        <f t="shared" si="186"/>
        <v>15310</v>
      </c>
      <c r="M274" s="279">
        <f t="shared" si="186"/>
        <v>15417</v>
      </c>
      <c r="N274" s="279">
        <f t="shared" si="186"/>
        <v>15500</v>
      </c>
      <c r="O274" s="279">
        <f t="shared" si="186"/>
        <v>15538</v>
      </c>
      <c r="P274" s="279">
        <f t="shared" si="186"/>
        <v>15611</v>
      </c>
      <c r="Q274" s="279">
        <f t="shared" si="186"/>
        <v>15681</v>
      </c>
      <c r="R274" s="279">
        <f t="shared" si="186"/>
        <v>15825</v>
      </c>
      <c r="S274" s="279">
        <f t="shared" si="186"/>
        <v>15997</v>
      </c>
      <c r="T274" s="279">
        <f t="shared" si="186"/>
        <v>16108</v>
      </c>
      <c r="U274" s="279">
        <f t="shared" si="186"/>
        <v>16203</v>
      </c>
      <c r="V274" s="280">
        <f t="shared" si="176"/>
        <v>1196</v>
      </c>
      <c r="W274" s="281">
        <f t="shared" si="177"/>
        <v>7.96961418004931E-2</v>
      </c>
    </row>
    <row r="275" spans="1:23">
      <c r="A275" s="322" t="s">
        <v>623</v>
      </c>
      <c r="B275" s="207" t="s">
        <v>657</v>
      </c>
      <c r="C275" s="207" t="s">
        <v>658</v>
      </c>
      <c r="D275" s="76" t="s">
        <v>108</v>
      </c>
      <c r="E275" s="223" t="s">
        <v>84</v>
      </c>
      <c r="F275" s="277" t="str">
        <f>IFERROR((VLOOKUP(E275,'MEMORANDOS E IPC 2023 Y 2024'!$A$1:$C$20,3,0)),"0")</f>
        <v>0</v>
      </c>
      <c r="G275" s="209">
        <v>196166</v>
      </c>
      <c r="H275" s="279">
        <f>IF(($F275="0"),$G275,(ROUNDDOWN((G275*(1+(H$4/100))),0)))</f>
        <v>196166</v>
      </c>
      <c r="I275" s="279">
        <f t="shared" ref="I275:U275" si="187">IF(($F275="0"),$G275,(ROUNDDOWN((H275*(1+(I$4/100))),0)))</f>
        <v>196166</v>
      </c>
      <c r="J275" s="279">
        <f t="shared" si="187"/>
        <v>196166</v>
      </c>
      <c r="K275" s="279">
        <f t="shared" si="187"/>
        <v>196166</v>
      </c>
      <c r="L275" s="279">
        <f t="shared" si="187"/>
        <v>196166</v>
      </c>
      <c r="M275" s="279">
        <f t="shared" si="187"/>
        <v>196166</v>
      </c>
      <c r="N275" s="279">
        <f t="shared" si="187"/>
        <v>196166</v>
      </c>
      <c r="O275" s="279">
        <f t="shared" si="187"/>
        <v>196166</v>
      </c>
      <c r="P275" s="279">
        <f t="shared" si="187"/>
        <v>196166</v>
      </c>
      <c r="Q275" s="279">
        <f t="shared" si="187"/>
        <v>196166</v>
      </c>
      <c r="R275" s="279">
        <f t="shared" si="187"/>
        <v>196166</v>
      </c>
      <c r="S275" s="279">
        <f t="shared" si="187"/>
        <v>196166</v>
      </c>
      <c r="T275" s="279">
        <f t="shared" si="187"/>
        <v>196166</v>
      </c>
      <c r="U275" s="279">
        <f t="shared" si="187"/>
        <v>196166</v>
      </c>
      <c r="V275" s="280">
        <f t="shared" si="176"/>
        <v>0</v>
      </c>
      <c r="W275" s="281">
        <f t="shared" si="177"/>
        <v>0</v>
      </c>
    </row>
    <row r="276" spans="1:23">
      <c r="A276" s="322" t="s">
        <v>623</v>
      </c>
      <c r="B276" s="207" t="s">
        <v>659</v>
      </c>
      <c r="C276" s="207" t="s">
        <v>660</v>
      </c>
      <c r="D276" s="76" t="s">
        <v>124</v>
      </c>
      <c r="E276" s="77" t="s">
        <v>46</v>
      </c>
      <c r="F276" s="277">
        <f>IFERROR((VLOOKUP(E276,'MEMORANDOS E IPC 2023 Y 2024'!$A$1:$C$20,3,0)),"0")</f>
        <v>45117</v>
      </c>
      <c r="G276" s="209">
        <v>45708</v>
      </c>
      <c r="H276" s="285">
        <f>G276</f>
        <v>45708</v>
      </c>
      <c r="I276" s="285">
        <f t="shared" ref="I276:L277" si="188">H276</f>
        <v>45708</v>
      </c>
      <c r="J276" s="285">
        <f t="shared" si="188"/>
        <v>45708</v>
      </c>
      <c r="K276" s="285">
        <f t="shared" si="188"/>
        <v>45708</v>
      </c>
      <c r="L276" s="285">
        <f t="shared" si="188"/>
        <v>45708</v>
      </c>
      <c r="M276" s="279">
        <f t="shared" ref="M276:U277" si="189">IF(($F276="0"),$F276,(ROUNDDOWN((L276*(1+(M$4/100))),0)))</f>
        <v>46027</v>
      </c>
      <c r="N276" s="279">
        <f t="shared" si="189"/>
        <v>46275</v>
      </c>
      <c r="O276" s="279">
        <f t="shared" si="189"/>
        <v>46390</v>
      </c>
      <c r="P276" s="279">
        <f t="shared" si="189"/>
        <v>46608</v>
      </c>
      <c r="Q276" s="279">
        <f t="shared" si="189"/>
        <v>46817</v>
      </c>
      <c r="R276" s="279">
        <f t="shared" si="189"/>
        <v>47247</v>
      </c>
      <c r="S276" s="279">
        <f t="shared" si="189"/>
        <v>47761</v>
      </c>
      <c r="T276" s="279">
        <f t="shared" si="189"/>
        <v>48095</v>
      </c>
      <c r="U276" s="279">
        <f t="shared" si="189"/>
        <v>48378</v>
      </c>
      <c r="V276" s="280">
        <f t="shared" si="176"/>
        <v>2670</v>
      </c>
      <c r="W276" s="281">
        <f t="shared" si="177"/>
        <v>5.8414281963770021E-2</v>
      </c>
    </row>
    <row r="277" spans="1:23">
      <c r="A277" s="322" t="s">
        <v>623</v>
      </c>
      <c r="B277" s="207" t="s">
        <v>661</v>
      </c>
      <c r="C277" s="207" t="s">
        <v>662</v>
      </c>
      <c r="D277" s="221" t="s">
        <v>124</v>
      </c>
      <c r="E277" s="222" t="s">
        <v>46</v>
      </c>
      <c r="F277" s="277">
        <f>IFERROR((VLOOKUP(E277,'MEMORANDOS E IPC 2023 Y 2024'!$A$1:$C$20,3,0)),"0")</f>
        <v>45117</v>
      </c>
      <c r="G277" s="209">
        <v>62290</v>
      </c>
      <c r="H277" s="285">
        <f>G277</f>
        <v>62290</v>
      </c>
      <c r="I277" s="285">
        <f t="shared" si="188"/>
        <v>62290</v>
      </c>
      <c r="J277" s="285">
        <f t="shared" si="188"/>
        <v>62290</v>
      </c>
      <c r="K277" s="285">
        <f t="shared" si="188"/>
        <v>62290</v>
      </c>
      <c r="L277" s="285">
        <f t="shared" si="188"/>
        <v>62290</v>
      </c>
      <c r="M277" s="279">
        <f t="shared" si="189"/>
        <v>62726</v>
      </c>
      <c r="N277" s="279">
        <f t="shared" si="189"/>
        <v>63064</v>
      </c>
      <c r="O277" s="279">
        <f t="shared" si="189"/>
        <v>63221</v>
      </c>
      <c r="P277" s="279">
        <f t="shared" si="189"/>
        <v>63518</v>
      </c>
      <c r="Q277" s="279">
        <f t="shared" si="189"/>
        <v>63803</v>
      </c>
      <c r="R277" s="279">
        <f t="shared" si="189"/>
        <v>64389</v>
      </c>
      <c r="S277" s="279">
        <f t="shared" si="189"/>
        <v>65090</v>
      </c>
      <c r="T277" s="279">
        <f t="shared" si="189"/>
        <v>65545</v>
      </c>
      <c r="U277" s="279">
        <f t="shared" si="189"/>
        <v>65931</v>
      </c>
      <c r="V277" s="280">
        <f t="shared" si="176"/>
        <v>3641</v>
      </c>
      <c r="W277" s="281">
        <f t="shared" si="177"/>
        <v>5.8452400064215766E-2</v>
      </c>
    </row>
    <row r="278" spans="1:23">
      <c r="A278" s="322" t="s">
        <v>623</v>
      </c>
      <c r="B278" s="207" t="s">
        <v>663</v>
      </c>
      <c r="C278" s="240" t="s">
        <v>664</v>
      </c>
      <c r="D278" s="323" t="s">
        <v>124</v>
      </c>
      <c r="E278" s="223" t="s">
        <v>84</v>
      </c>
      <c r="F278" s="277" t="str">
        <f>IFERROR((VLOOKUP(E278,'MEMORANDOS E IPC 2023 Y 2024'!$A$1:$C$20,3,0)),"0")</f>
        <v>0</v>
      </c>
      <c r="G278" s="209">
        <v>101547</v>
      </c>
      <c r="H278" s="279">
        <f>IF(($F278="0"),$G278,(ROUNDDOWN((G278*(1+(H$4/100))),0)))</f>
        <v>101547</v>
      </c>
      <c r="I278" s="279">
        <f t="shared" ref="I278:U278" si="190">IF(($F278="0"),$G278,(ROUNDDOWN((H278*(1+(I$4/100))),0)))</f>
        <v>101547</v>
      </c>
      <c r="J278" s="279">
        <f t="shared" si="190"/>
        <v>101547</v>
      </c>
      <c r="K278" s="279">
        <f t="shared" si="190"/>
        <v>101547</v>
      </c>
      <c r="L278" s="279">
        <f t="shared" si="190"/>
        <v>101547</v>
      </c>
      <c r="M278" s="279">
        <f t="shared" si="190"/>
        <v>101547</v>
      </c>
      <c r="N278" s="279">
        <f t="shared" si="190"/>
        <v>101547</v>
      </c>
      <c r="O278" s="279">
        <f t="shared" si="190"/>
        <v>101547</v>
      </c>
      <c r="P278" s="279">
        <f t="shared" si="190"/>
        <v>101547</v>
      </c>
      <c r="Q278" s="279">
        <f t="shared" si="190"/>
        <v>101547</v>
      </c>
      <c r="R278" s="279">
        <f t="shared" si="190"/>
        <v>101547</v>
      </c>
      <c r="S278" s="279">
        <f t="shared" si="190"/>
        <v>101547</v>
      </c>
      <c r="T278" s="279">
        <f t="shared" si="190"/>
        <v>101547</v>
      </c>
      <c r="U278" s="279">
        <f t="shared" si="190"/>
        <v>101547</v>
      </c>
      <c r="V278" s="280">
        <f t="shared" si="176"/>
        <v>0</v>
      </c>
      <c r="W278" s="281">
        <f t="shared" si="177"/>
        <v>0</v>
      </c>
    </row>
    <row r="279" spans="1:23" ht="51">
      <c r="A279" s="322" t="s">
        <v>623</v>
      </c>
      <c r="B279" s="215" t="s">
        <v>665</v>
      </c>
      <c r="C279" s="238" t="s">
        <v>666</v>
      </c>
      <c r="D279" s="221" t="s">
        <v>137</v>
      </c>
      <c r="E279" s="222" t="s">
        <v>36</v>
      </c>
      <c r="F279" s="277">
        <f>IFERROR((VLOOKUP(E279,'MEMORANDOS E IPC 2023 Y 2024'!$A$1:$C$20,3,0)),"0")</f>
        <v>44974</v>
      </c>
      <c r="G279" s="209">
        <v>611653</v>
      </c>
      <c r="H279" s="279">
        <f>IF(($F279="0"),$F279,(ROUNDDOWN((G279*(1+(H$4/100))),0)))</f>
        <v>618075</v>
      </c>
      <c r="I279" s="279">
        <f t="shared" ref="I279:U280" si="191">IF(($F279="0"),$F279,(ROUNDDOWN((H279*(1+(I$4/100))),0)))</f>
        <v>622895</v>
      </c>
      <c r="J279" s="279">
        <f t="shared" si="191"/>
        <v>625573</v>
      </c>
      <c r="K279" s="279">
        <f t="shared" si="191"/>
        <v>627449</v>
      </c>
      <c r="L279" s="279">
        <f t="shared" si="191"/>
        <v>630586</v>
      </c>
      <c r="M279" s="279">
        <f t="shared" si="191"/>
        <v>635000</v>
      </c>
      <c r="N279" s="279">
        <f t="shared" si="191"/>
        <v>638429</v>
      </c>
      <c r="O279" s="279">
        <f t="shared" si="191"/>
        <v>640025</v>
      </c>
      <c r="P279" s="279">
        <f t="shared" si="191"/>
        <v>643033</v>
      </c>
      <c r="Q279" s="279">
        <f t="shared" si="191"/>
        <v>645926</v>
      </c>
      <c r="R279" s="279">
        <f t="shared" si="191"/>
        <v>651868</v>
      </c>
      <c r="S279" s="279">
        <f t="shared" si="191"/>
        <v>658973</v>
      </c>
      <c r="T279" s="279">
        <f t="shared" si="191"/>
        <v>663585</v>
      </c>
      <c r="U279" s="279">
        <f t="shared" si="191"/>
        <v>667500</v>
      </c>
      <c r="V279" s="280">
        <f t="shared" si="176"/>
        <v>55847</v>
      </c>
      <c r="W279" s="281">
        <f t="shared" si="177"/>
        <v>9.1305037333259217E-2</v>
      </c>
    </row>
    <row r="280" spans="1:23" ht="51">
      <c r="A280" s="322" t="s">
        <v>623</v>
      </c>
      <c r="B280" s="207" t="s">
        <v>667</v>
      </c>
      <c r="C280" s="207" t="s">
        <v>668</v>
      </c>
      <c r="D280" s="221" t="s">
        <v>137</v>
      </c>
      <c r="E280" s="162" t="s">
        <v>62</v>
      </c>
      <c r="F280" s="277">
        <f>IFERROR((VLOOKUP(E280,'MEMORANDOS E IPC 2023 Y 2024'!$A$1:$C$20,3,0)),"0")</f>
        <v>45220</v>
      </c>
      <c r="G280" s="209">
        <v>32436</v>
      </c>
      <c r="H280" s="285">
        <f>G280</f>
        <v>32436</v>
      </c>
      <c r="I280" s="285">
        <f t="shared" ref="I280:O280" si="192">H280</f>
        <v>32436</v>
      </c>
      <c r="J280" s="285">
        <f t="shared" si="192"/>
        <v>32436</v>
      </c>
      <c r="K280" s="285">
        <f t="shared" si="192"/>
        <v>32436</v>
      </c>
      <c r="L280" s="285">
        <f t="shared" si="192"/>
        <v>32436</v>
      </c>
      <c r="M280" s="285">
        <f t="shared" si="192"/>
        <v>32436</v>
      </c>
      <c r="N280" s="285">
        <f t="shared" si="192"/>
        <v>32436</v>
      </c>
      <c r="O280" s="285">
        <f t="shared" si="192"/>
        <v>32436</v>
      </c>
      <c r="P280" s="279">
        <f>IF(($F280="0"),$F280,(ROUNDDOWN((O280*(1+(P$4/100))),0)))</f>
        <v>32588</v>
      </c>
      <c r="Q280" s="279">
        <f t="shared" si="191"/>
        <v>32734</v>
      </c>
      <c r="R280" s="279">
        <f t="shared" si="191"/>
        <v>33035</v>
      </c>
      <c r="S280" s="279">
        <f t="shared" si="191"/>
        <v>33395</v>
      </c>
      <c r="T280" s="279">
        <f t="shared" si="191"/>
        <v>33628</v>
      </c>
      <c r="U280" s="279">
        <f t="shared" si="191"/>
        <v>33826</v>
      </c>
      <c r="V280" s="280">
        <f t="shared" si="176"/>
        <v>1390</v>
      </c>
      <c r="W280" s="281">
        <f t="shared" si="177"/>
        <v>4.2853619435195459E-2</v>
      </c>
    </row>
    <row r="281" spans="1:23" ht="36">
      <c r="A281" s="322" t="s">
        <v>623</v>
      </c>
      <c r="B281" s="314" t="s">
        <v>669</v>
      </c>
      <c r="C281" s="309" t="s">
        <v>670</v>
      </c>
      <c r="D281" s="117" t="s">
        <v>137</v>
      </c>
      <c r="E281" s="315" t="s">
        <v>36</v>
      </c>
      <c r="F281" s="277">
        <f>IFERROR((VLOOKUP(E281,'MEMORANDOS E IPC 2023 Y 2024'!$A$1:$C$20,3,0)),"0")</f>
        <v>44974</v>
      </c>
      <c r="G281" s="224">
        <v>21658</v>
      </c>
      <c r="H281" s="279">
        <f>IF(($F281="0"),$F281,(ROUNDDOWN((G281*(1+(H$4/100))),0)))</f>
        <v>21885</v>
      </c>
      <c r="I281" s="279">
        <f t="shared" ref="I281:U283" si="193">IF(($F281="0"),$F281,(ROUNDDOWN((H281*(1+(I$4/100))),0)))</f>
        <v>22055</v>
      </c>
      <c r="J281" s="279">
        <f t="shared" si="193"/>
        <v>22149</v>
      </c>
      <c r="K281" s="279">
        <f t="shared" si="193"/>
        <v>22215</v>
      </c>
      <c r="L281" s="279">
        <f t="shared" si="193"/>
        <v>22326</v>
      </c>
      <c r="M281" s="279">
        <f t="shared" si="193"/>
        <v>22482</v>
      </c>
      <c r="N281" s="279">
        <f t="shared" si="193"/>
        <v>22603</v>
      </c>
      <c r="O281" s="279">
        <f t="shared" si="193"/>
        <v>22659</v>
      </c>
      <c r="P281" s="279">
        <f t="shared" si="193"/>
        <v>22765</v>
      </c>
      <c r="Q281" s="279">
        <f t="shared" si="193"/>
        <v>22867</v>
      </c>
      <c r="R281" s="279">
        <f t="shared" si="193"/>
        <v>23077</v>
      </c>
      <c r="S281" s="279">
        <f t="shared" si="193"/>
        <v>23328</v>
      </c>
      <c r="T281" s="279">
        <f t="shared" si="193"/>
        <v>23491</v>
      </c>
      <c r="U281" s="279">
        <f t="shared" si="193"/>
        <v>23629</v>
      </c>
      <c r="V281" s="280">
        <f t="shared" si="176"/>
        <v>1971</v>
      </c>
      <c r="W281" s="281">
        <f t="shared" si="177"/>
        <v>9.1005633022439747E-2</v>
      </c>
    </row>
    <row r="282" spans="1:23" ht="51">
      <c r="A282" s="322" t="s">
        <v>623</v>
      </c>
      <c r="B282" s="215" t="s">
        <v>671</v>
      </c>
      <c r="C282" s="238" t="s">
        <v>672</v>
      </c>
      <c r="D282" s="76" t="s">
        <v>137</v>
      </c>
      <c r="E282" s="77" t="s">
        <v>62</v>
      </c>
      <c r="F282" s="277">
        <f>IFERROR((VLOOKUP(E282,'MEMORANDOS E IPC 2023 Y 2024'!$A$1:$C$20,3,0)),"0")</f>
        <v>45220</v>
      </c>
      <c r="G282" s="209">
        <v>242650</v>
      </c>
      <c r="H282" s="285">
        <f>G282</f>
        <v>242650</v>
      </c>
      <c r="I282" s="285">
        <f t="shared" ref="I282:O283" si="194">H282</f>
        <v>242650</v>
      </c>
      <c r="J282" s="285">
        <f t="shared" si="194"/>
        <v>242650</v>
      </c>
      <c r="K282" s="285">
        <f t="shared" si="194"/>
        <v>242650</v>
      </c>
      <c r="L282" s="285">
        <f t="shared" si="194"/>
        <v>242650</v>
      </c>
      <c r="M282" s="285">
        <f t="shared" si="194"/>
        <v>242650</v>
      </c>
      <c r="N282" s="285">
        <f t="shared" si="194"/>
        <v>242650</v>
      </c>
      <c r="O282" s="285">
        <f t="shared" si="194"/>
        <v>242650</v>
      </c>
      <c r="P282" s="279">
        <f t="shared" si="193"/>
        <v>243790</v>
      </c>
      <c r="Q282" s="279">
        <f t="shared" si="193"/>
        <v>244887</v>
      </c>
      <c r="R282" s="279">
        <f t="shared" si="193"/>
        <v>247139</v>
      </c>
      <c r="S282" s="279">
        <f t="shared" si="193"/>
        <v>249832</v>
      </c>
      <c r="T282" s="279">
        <f t="shared" si="193"/>
        <v>251580</v>
      </c>
      <c r="U282" s="279">
        <f t="shared" si="193"/>
        <v>253064</v>
      </c>
      <c r="V282" s="280">
        <f t="shared" si="176"/>
        <v>10414</v>
      </c>
      <c r="W282" s="281">
        <f t="shared" si="177"/>
        <v>4.2917782814753759E-2</v>
      </c>
    </row>
    <row r="283" spans="1:23" ht="114.75">
      <c r="A283" s="322" t="s">
        <v>623</v>
      </c>
      <c r="B283" s="215" t="s">
        <v>673</v>
      </c>
      <c r="C283" s="215" t="s">
        <v>674</v>
      </c>
      <c r="D283" s="76" t="s">
        <v>465</v>
      </c>
      <c r="E283" s="77" t="s">
        <v>62</v>
      </c>
      <c r="F283" s="277">
        <f>IFERROR((VLOOKUP(E283,'MEMORANDOS E IPC 2023 Y 2024'!$A$1:$C$20,3,0)),"0")</f>
        <v>45220</v>
      </c>
      <c r="G283" s="217">
        <v>110716</v>
      </c>
      <c r="H283" s="285">
        <f>G283</f>
        <v>110716</v>
      </c>
      <c r="I283" s="285">
        <f t="shared" si="194"/>
        <v>110716</v>
      </c>
      <c r="J283" s="285">
        <f t="shared" si="194"/>
        <v>110716</v>
      </c>
      <c r="K283" s="285">
        <f t="shared" si="194"/>
        <v>110716</v>
      </c>
      <c r="L283" s="285">
        <f t="shared" si="194"/>
        <v>110716</v>
      </c>
      <c r="M283" s="285">
        <f t="shared" si="194"/>
        <v>110716</v>
      </c>
      <c r="N283" s="285">
        <f t="shared" si="194"/>
        <v>110716</v>
      </c>
      <c r="O283" s="285">
        <f t="shared" si="194"/>
        <v>110716</v>
      </c>
      <c r="P283" s="279">
        <f t="shared" si="193"/>
        <v>111236</v>
      </c>
      <c r="Q283" s="279">
        <f t="shared" si="193"/>
        <v>111736</v>
      </c>
      <c r="R283" s="279">
        <f t="shared" si="193"/>
        <v>112763</v>
      </c>
      <c r="S283" s="279">
        <f t="shared" si="193"/>
        <v>113992</v>
      </c>
      <c r="T283" s="279">
        <f t="shared" si="193"/>
        <v>114789</v>
      </c>
      <c r="U283" s="279">
        <f t="shared" si="193"/>
        <v>115466</v>
      </c>
      <c r="V283" s="280">
        <f t="shared" si="176"/>
        <v>4750</v>
      </c>
      <c r="W283" s="281">
        <f t="shared" si="177"/>
        <v>4.2902561508725026E-2</v>
      </c>
    </row>
    <row r="284" spans="1:23">
      <c r="A284" s="322" t="s">
        <v>623</v>
      </c>
      <c r="B284" s="207" t="s">
        <v>675</v>
      </c>
      <c r="C284" s="207" t="s">
        <v>676</v>
      </c>
      <c r="D284" s="76" t="s">
        <v>108</v>
      </c>
      <c r="E284" s="223" t="s">
        <v>38</v>
      </c>
      <c r="F284" s="277">
        <f>IFERROR((VLOOKUP(E284,'MEMORANDOS E IPC 2023 Y 2024'!$A$1:$C$20,3,0)),"0")</f>
        <v>45002</v>
      </c>
      <c r="G284" s="209">
        <v>6502</v>
      </c>
      <c r="H284" s="278">
        <f>G284</f>
        <v>6502</v>
      </c>
      <c r="I284" s="279">
        <f>IF(($F284="0"),$F284,(ROUNDDOWN((H284*(1+(I$4/100))),0)))</f>
        <v>6552</v>
      </c>
      <c r="J284" s="279">
        <f t="shared" ref="J284:U285" si="195">IF(($F284="0"),$F284,(ROUNDDOWN((I284*(1+(J$4/100))),0)))</f>
        <v>6580</v>
      </c>
      <c r="K284" s="279">
        <f t="shared" si="195"/>
        <v>6599</v>
      </c>
      <c r="L284" s="279">
        <f t="shared" si="195"/>
        <v>6631</v>
      </c>
      <c r="M284" s="279">
        <f t="shared" si="195"/>
        <v>6677</v>
      </c>
      <c r="N284" s="279">
        <f t="shared" si="195"/>
        <v>6713</v>
      </c>
      <c r="O284" s="279">
        <f t="shared" si="195"/>
        <v>6729</v>
      </c>
      <c r="P284" s="279">
        <f t="shared" si="195"/>
        <v>6760</v>
      </c>
      <c r="Q284" s="279">
        <f t="shared" si="195"/>
        <v>6790</v>
      </c>
      <c r="R284" s="279">
        <f t="shared" si="195"/>
        <v>6852</v>
      </c>
      <c r="S284" s="279">
        <f t="shared" si="195"/>
        <v>6926</v>
      </c>
      <c r="T284" s="279">
        <f t="shared" si="195"/>
        <v>6974</v>
      </c>
      <c r="U284" s="279">
        <f t="shared" si="195"/>
        <v>7015</v>
      </c>
      <c r="V284" s="280">
        <f t="shared" si="176"/>
        <v>513</v>
      </c>
      <c r="W284" s="281">
        <f t="shared" si="177"/>
        <v>7.88988003691172E-2</v>
      </c>
    </row>
    <row r="285" spans="1:23" ht="114.75">
      <c r="A285" s="322" t="s">
        <v>623</v>
      </c>
      <c r="B285" s="215" t="s">
        <v>677</v>
      </c>
      <c r="C285" s="215" t="s">
        <v>678</v>
      </c>
      <c r="D285" s="221" t="s">
        <v>465</v>
      </c>
      <c r="E285" s="222" t="s">
        <v>62</v>
      </c>
      <c r="F285" s="277">
        <f>IFERROR((VLOOKUP(E285,'MEMORANDOS E IPC 2023 Y 2024'!$A$1:$C$20,3,0)),"0")</f>
        <v>45220</v>
      </c>
      <c r="G285" s="217">
        <v>165272</v>
      </c>
      <c r="H285" s="285">
        <f>G285</f>
        <v>165272</v>
      </c>
      <c r="I285" s="285">
        <f t="shared" ref="I285:O285" si="196">H285</f>
        <v>165272</v>
      </c>
      <c r="J285" s="285">
        <f t="shared" si="196"/>
        <v>165272</v>
      </c>
      <c r="K285" s="285">
        <f t="shared" si="196"/>
        <v>165272</v>
      </c>
      <c r="L285" s="285">
        <f t="shared" si="196"/>
        <v>165272</v>
      </c>
      <c r="M285" s="285">
        <f t="shared" si="196"/>
        <v>165272</v>
      </c>
      <c r="N285" s="285">
        <f t="shared" si="196"/>
        <v>165272</v>
      </c>
      <c r="O285" s="285">
        <f t="shared" si="196"/>
        <v>165272</v>
      </c>
      <c r="P285" s="279">
        <f>IF(($F285="0"),$F285,(ROUNDDOWN((O285*(1+(P$4/100))),0)))</f>
        <v>166048</v>
      </c>
      <c r="Q285" s="279">
        <f t="shared" si="195"/>
        <v>166795</v>
      </c>
      <c r="R285" s="279">
        <f t="shared" si="195"/>
        <v>168329</v>
      </c>
      <c r="S285" s="279">
        <f t="shared" si="195"/>
        <v>170163</v>
      </c>
      <c r="T285" s="279">
        <f t="shared" si="195"/>
        <v>171354</v>
      </c>
      <c r="U285" s="279">
        <f t="shared" si="195"/>
        <v>172364</v>
      </c>
      <c r="V285" s="280">
        <f t="shared" si="176"/>
        <v>7092</v>
      </c>
      <c r="W285" s="281">
        <f t="shared" si="177"/>
        <v>4.2911079916743311E-2</v>
      </c>
    </row>
    <row r="286" spans="1:23" ht="51">
      <c r="A286" s="324" t="s">
        <v>679</v>
      </c>
      <c r="B286" s="1" t="s">
        <v>680</v>
      </c>
      <c r="C286" s="215" t="s">
        <v>681</v>
      </c>
      <c r="D286" s="76" t="s">
        <v>137</v>
      </c>
      <c r="E286" s="77" t="s">
        <v>64</v>
      </c>
      <c r="F286" s="277" t="str">
        <f>IFERROR((VLOOKUP(E286,'MEMORANDOS E IPC 2023 Y 2024'!$A$1:$C$20,3,0)),"0")</f>
        <v>0</v>
      </c>
      <c r="G286" s="209">
        <v>12404</v>
      </c>
      <c r="H286" s="279">
        <f t="shared" ref="H286:U293" si="197">IF(($F286="0"),$G286,(ROUNDDOWN((G286*(1+(H$4/100))),0)))</f>
        <v>12404</v>
      </c>
      <c r="I286" s="279">
        <f t="shared" si="197"/>
        <v>12404</v>
      </c>
      <c r="J286" s="279">
        <f t="shared" si="197"/>
        <v>12404</v>
      </c>
      <c r="K286" s="279">
        <f t="shared" si="197"/>
        <v>12404</v>
      </c>
      <c r="L286" s="279">
        <f t="shared" si="197"/>
        <v>12404</v>
      </c>
      <c r="M286" s="279">
        <f t="shared" si="197"/>
        <v>12404</v>
      </c>
      <c r="N286" s="279">
        <f t="shared" si="197"/>
        <v>12404</v>
      </c>
      <c r="O286" s="279">
        <f t="shared" si="197"/>
        <v>12404</v>
      </c>
      <c r="P286" s="279">
        <f t="shared" si="197"/>
        <v>12404</v>
      </c>
      <c r="Q286" s="279">
        <f t="shared" si="197"/>
        <v>12404</v>
      </c>
      <c r="R286" s="279">
        <f t="shared" si="197"/>
        <v>12404</v>
      </c>
      <c r="S286" s="279">
        <f t="shared" si="197"/>
        <v>12404</v>
      </c>
      <c r="T286" s="279">
        <f t="shared" si="197"/>
        <v>12404</v>
      </c>
      <c r="U286" s="279">
        <f t="shared" si="197"/>
        <v>12404</v>
      </c>
      <c r="V286" s="280">
        <f t="shared" si="176"/>
        <v>0</v>
      </c>
      <c r="W286" s="281">
        <f t="shared" si="177"/>
        <v>0</v>
      </c>
    </row>
    <row r="287" spans="1:23">
      <c r="A287" s="324" t="s">
        <v>679</v>
      </c>
      <c r="B287" s="204" t="s">
        <v>682</v>
      </c>
      <c r="C287" s="215" t="s">
        <v>683</v>
      </c>
      <c r="D287" s="225" t="s">
        <v>108</v>
      </c>
      <c r="E287" s="225" t="s">
        <v>84</v>
      </c>
      <c r="F287" s="277" t="str">
        <f>IFERROR((VLOOKUP(E287,'MEMORANDOS E IPC 2023 Y 2024'!$A$1:$C$20,3,0)),"0")</f>
        <v>0</v>
      </c>
      <c r="G287" s="209">
        <v>45173</v>
      </c>
      <c r="H287" s="279">
        <f t="shared" si="197"/>
        <v>45173</v>
      </c>
      <c r="I287" s="279">
        <f t="shared" si="197"/>
        <v>45173</v>
      </c>
      <c r="J287" s="279">
        <f t="shared" si="197"/>
        <v>45173</v>
      </c>
      <c r="K287" s="279">
        <f t="shared" si="197"/>
        <v>45173</v>
      </c>
      <c r="L287" s="279">
        <f t="shared" si="197"/>
        <v>45173</v>
      </c>
      <c r="M287" s="279">
        <f t="shared" si="197"/>
        <v>45173</v>
      </c>
      <c r="N287" s="279">
        <f t="shared" si="197"/>
        <v>45173</v>
      </c>
      <c r="O287" s="279">
        <f t="shared" si="197"/>
        <v>45173</v>
      </c>
      <c r="P287" s="279">
        <f t="shared" si="197"/>
        <v>45173</v>
      </c>
      <c r="Q287" s="279">
        <f t="shared" si="197"/>
        <v>45173</v>
      </c>
      <c r="R287" s="279">
        <f t="shared" si="197"/>
        <v>45173</v>
      </c>
      <c r="S287" s="279">
        <f t="shared" si="197"/>
        <v>45173</v>
      </c>
      <c r="T287" s="279">
        <f t="shared" si="197"/>
        <v>45173</v>
      </c>
      <c r="U287" s="279">
        <f t="shared" si="197"/>
        <v>45173</v>
      </c>
      <c r="V287" s="280">
        <f t="shared" si="176"/>
        <v>0</v>
      </c>
      <c r="W287" s="281">
        <f t="shared" si="177"/>
        <v>0</v>
      </c>
    </row>
    <row r="288" spans="1:23">
      <c r="A288" s="324" t="s">
        <v>679</v>
      </c>
      <c r="B288" s="204" t="s">
        <v>684</v>
      </c>
      <c r="C288" s="215" t="s">
        <v>685</v>
      </c>
      <c r="D288" s="225" t="s">
        <v>108</v>
      </c>
      <c r="E288" s="225" t="s">
        <v>84</v>
      </c>
      <c r="F288" s="277" t="str">
        <f>IFERROR((VLOOKUP(E288,'MEMORANDOS E IPC 2023 Y 2024'!$A$1:$C$20,3,0)),"0")</f>
        <v>0</v>
      </c>
      <c r="G288" s="209">
        <v>84035</v>
      </c>
      <c r="H288" s="279">
        <f t="shared" si="197"/>
        <v>84035</v>
      </c>
      <c r="I288" s="279">
        <f t="shared" si="197"/>
        <v>84035</v>
      </c>
      <c r="J288" s="279">
        <f t="shared" si="197"/>
        <v>84035</v>
      </c>
      <c r="K288" s="279">
        <f t="shared" si="197"/>
        <v>84035</v>
      </c>
      <c r="L288" s="279">
        <f t="shared" si="197"/>
        <v>84035</v>
      </c>
      <c r="M288" s="279">
        <f t="shared" si="197"/>
        <v>84035</v>
      </c>
      <c r="N288" s="279">
        <f t="shared" si="197"/>
        <v>84035</v>
      </c>
      <c r="O288" s="279">
        <f t="shared" si="197"/>
        <v>84035</v>
      </c>
      <c r="P288" s="279">
        <f t="shared" si="197"/>
        <v>84035</v>
      </c>
      <c r="Q288" s="279">
        <f t="shared" si="197"/>
        <v>84035</v>
      </c>
      <c r="R288" s="279">
        <f t="shared" si="197"/>
        <v>84035</v>
      </c>
      <c r="S288" s="279">
        <f t="shared" si="197"/>
        <v>84035</v>
      </c>
      <c r="T288" s="279">
        <f t="shared" si="197"/>
        <v>84035</v>
      </c>
      <c r="U288" s="279">
        <f t="shared" si="197"/>
        <v>84035</v>
      </c>
      <c r="V288" s="280">
        <f t="shared" si="176"/>
        <v>0</v>
      </c>
      <c r="W288" s="281">
        <f t="shared" si="177"/>
        <v>0</v>
      </c>
    </row>
    <row r="289" spans="1:23">
      <c r="A289" s="324" t="s">
        <v>679</v>
      </c>
      <c r="B289" s="204" t="s">
        <v>686</v>
      </c>
      <c r="C289" s="215" t="s">
        <v>687</v>
      </c>
      <c r="D289" s="225" t="s">
        <v>108</v>
      </c>
      <c r="E289" s="225" t="s">
        <v>84</v>
      </c>
      <c r="F289" s="277" t="str">
        <f>IFERROR((VLOOKUP(E289,'MEMORANDOS E IPC 2023 Y 2024'!$A$1:$C$20,3,0)),"0")</f>
        <v>0</v>
      </c>
      <c r="G289" s="209">
        <v>80822</v>
      </c>
      <c r="H289" s="279">
        <f t="shared" si="197"/>
        <v>80822</v>
      </c>
      <c r="I289" s="279">
        <f t="shared" si="197"/>
        <v>80822</v>
      </c>
      <c r="J289" s="279">
        <f t="shared" si="197"/>
        <v>80822</v>
      </c>
      <c r="K289" s="279">
        <f t="shared" si="197"/>
        <v>80822</v>
      </c>
      <c r="L289" s="279">
        <f t="shared" si="197"/>
        <v>80822</v>
      </c>
      <c r="M289" s="279">
        <f t="shared" si="197"/>
        <v>80822</v>
      </c>
      <c r="N289" s="279">
        <f t="shared" si="197"/>
        <v>80822</v>
      </c>
      <c r="O289" s="279">
        <f t="shared" si="197"/>
        <v>80822</v>
      </c>
      <c r="P289" s="279">
        <f t="shared" si="197"/>
        <v>80822</v>
      </c>
      <c r="Q289" s="279">
        <f t="shared" si="197"/>
        <v>80822</v>
      </c>
      <c r="R289" s="279">
        <f t="shared" si="197"/>
        <v>80822</v>
      </c>
      <c r="S289" s="279">
        <f t="shared" si="197"/>
        <v>80822</v>
      </c>
      <c r="T289" s="279">
        <f t="shared" si="197"/>
        <v>80822</v>
      </c>
      <c r="U289" s="279">
        <f t="shared" si="197"/>
        <v>80822</v>
      </c>
      <c r="V289" s="280">
        <f t="shared" si="176"/>
        <v>0</v>
      </c>
      <c r="W289" s="281">
        <f t="shared" si="177"/>
        <v>0</v>
      </c>
    </row>
    <row r="290" spans="1:23">
      <c r="A290" s="324" t="s">
        <v>679</v>
      </c>
      <c r="B290" s="76" t="s">
        <v>688</v>
      </c>
      <c r="C290" s="215" t="s">
        <v>689</v>
      </c>
      <c r="D290" s="225" t="s">
        <v>108</v>
      </c>
      <c r="E290" s="223" t="s">
        <v>84</v>
      </c>
      <c r="F290" s="277" t="str">
        <f>IFERROR((VLOOKUP(E290,'MEMORANDOS E IPC 2023 Y 2024'!$A$1:$C$20,3,0)),"0")</f>
        <v>0</v>
      </c>
      <c r="G290" s="209">
        <v>33573</v>
      </c>
      <c r="H290" s="279">
        <f t="shared" si="197"/>
        <v>33573</v>
      </c>
      <c r="I290" s="279">
        <f t="shared" si="197"/>
        <v>33573</v>
      </c>
      <c r="J290" s="279">
        <f t="shared" si="197"/>
        <v>33573</v>
      </c>
      <c r="K290" s="279">
        <f t="shared" si="197"/>
        <v>33573</v>
      </c>
      <c r="L290" s="279">
        <f t="shared" si="197"/>
        <v>33573</v>
      </c>
      <c r="M290" s="279">
        <f t="shared" si="197"/>
        <v>33573</v>
      </c>
      <c r="N290" s="279">
        <f t="shared" si="197"/>
        <v>33573</v>
      </c>
      <c r="O290" s="279">
        <f t="shared" si="197"/>
        <v>33573</v>
      </c>
      <c r="P290" s="279">
        <f t="shared" si="197"/>
        <v>33573</v>
      </c>
      <c r="Q290" s="279">
        <f t="shared" si="197"/>
        <v>33573</v>
      </c>
      <c r="R290" s="279">
        <f t="shared" si="197"/>
        <v>33573</v>
      </c>
      <c r="S290" s="279">
        <f t="shared" si="197"/>
        <v>33573</v>
      </c>
      <c r="T290" s="279">
        <f t="shared" si="197"/>
        <v>33573</v>
      </c>
      <c r="U290" s="279">
        <f t="shared" si="197"/>
        <v>33573</v>
      </c>
      <c r="V290" s="280">
        <f t="shared" si="176"/>
        <v>0</v>
      </c>
      <c r="W290" s="281">
        <f t="shared" si="177"/>
        <v>0</v>
      </c>
    </row>
    <row r="291" spans="1:23">
      <c r="A291" s="324" t="s">
        <v>679</v>
      </c>
      <c r="B291" s="204" t="s">
        <v>690</v>
      </c>
      <c r="C291" s="215" t="s">
        <v>691</v>
      </c>
      <c r="D291" s="225" t="s">
        <v>108</v>
      </c>
      <c r="E291" s="225" t="s">
        <v>84</v>
      </c>
      <c r="F291" s="277" t="str">
        <f>IFERROR((VLOOKUP(E291,'MEMORANDOS E IPC 2023 Y 2024'!$A$1:$C$20,3,0)),"0")</f>
        <v>0</v>
      </c>
      <c r="G291" s="209">
        <v>54686</v>
      </c>
      <c r="H291" s="279">
        <f t="shared" si="197"/>
        <v>54686</v>
      </c>
      <c r="I291" s="279">
        <f t="shared" si="197"/>
        <v>54686</v>
      </c>
      <c r="J291" s="279">
        <f t="shared" si="197"/>
        <v>54686</v>
      </c>
      <c r="K291" s="279">
        <f t="shared" si="197"/>
        <v>54686</v>
      </c>
      <c r="L291" s="279">
        <f t="shared" si="197"/>
        <v>54686</v>
      </c>
      <c r="M291" s="279">
        <f t="shared" si="197"/>
        <v>54686</v>
      </c>
      <c r="N291" s="279">
        <f t="shared" si="197"/>
        <v>54686</v>
      </c>
      <c r="O291" s="279">
        <f t="shared" si="197"/>
        <v>54686</v>
      </c>
      <c r="P291" s="279">
        <f t="shared" si="197"/>
        <v>54686</v>
      </c>
      <c r="Q291" s="279">
        <f t="shared" si="197"/>
        <v>54686</v>
      </c>
      <c r="R291" s="279">
        <f t="shared" si="197"/>
        <v>54686</v>
      </c>
      <c r="S291" s="279">
        <f t="shared" si="197"/>
        <v>54686</v>
      </c>
      <c r="T291" s="279">
        <f t="shared" si="197"/>
        <v>54686</v>
      </c>
      <c r="U291" s="279">
        <f t="shared" si="197"/>
        <v>54686</v>
      </c>
      <c r="V291" s="280">
        <f t="shared" si="176"/>
        <v>0</v>
      </c>
      <c r="W291" s="281">
        <f t="shared" si="177"/>
        <v>0</v>
      </c>
    </row>
    <row r="292" spans="1:23" ht="25.5">
      <c r="A292" s="324" t="s">
        <v>679</v>
      </c>
      <c r="B292" s="76" t="s">
        <v>692</v>
      </c>
      <c r="C292" s="173" t="s">
        <v>693</v>
      </c>
      <c r="D292" s="223"/>
      <c r="E292" s="223" t="s">
        <v>84</v>
      </c>
      <c r="F292" s="277" t="str">
        <f>IFERROR((VLOOKUP(E292,'MEMORANDOS E IPC 2023 Y 2024'!$A$1:$C$20,3,0)),"0")</f>
        <v>0</v>
      </c>
      <c r="G292" s="209">
        <v>14830</v>
      </c>
      <c r="H292" s="279">
        <f t="shared" si="197"/>
        <v>14830</v>
      </c>
      <c r="I292" s="279">
        <f t="shared" si="197"/>
        <v>14830</v>
      </c>
      <c r="J292" s="279">
        <f t="shared" si="197"/>
        <v>14830</v>
      </c>
      <c r="K292" s="279">
        <f t="shared" si="197"/>
        <v>14830</v>
      </c>
      <c r="L292" s="279">
        <f t="shared" si="197"/>
        <v>14830</v>
      </c>
      <c r="M292" s="279">
        <f t="shared" si="197"/>
        <v>14830</v>
      </c>
      <c r="N292" s="279">
        <f t="shared" si="197"/>
        <v>14830</v>
      </c>
      <c r="O292" s="279">
        <f t="shared" si="197"/>
        <v>14830</v>
      </c>
      <c r="P292" s="279">
        <f t="shared" si="197"/>
        <v>14830</v>
      </c>
      <c r="Q292" s="279">
        <f t="shared" si="197"/>
        <v>14830</v>
      </c>
      <c r="R292" s="279">
        <f t="shared" si="197"/>
        <v>14830</v>
      </c>
      <c r="S292" s="279">
        <f t="shared" si="197"/>
        <v>14830</v>
      </c>
      <c r="T292" s="279">
        <f t="shared" si="197"/>
        <v>14830</v>
      </c>
      <c r="U292" s="279">
        <f t="shared" si="197"/>
        <v>14830</v>
      </c>
      <c r="V292" s="280">
        <f t="shared" si="176"/>
        <v>0</v>
      </c>
      <c r="W292" s="281">
        <f t="shared" si="177"/>
        <v>0</v>
      </c>
    </row>
    <row r="293" spans="1:23">
      <c r="A293" s="324" t="s">
        <v>679</v>
      </c>
      <c r="B293" s="204" t="s">
        <v>694</v>
      </c>
      <c r="C293" s="215" t="s">
        <v>695</v>
      </c>
      <c r="D293" s="225" t="s">
        <v>108</v>
      </c>
      <c r="E293" s="225" t="s">
        <v>84</v>
      </c>
      <c r="F293" s="277" t="str">
        <f>IFERROR((VLOOKUP(E293,'MEMORANDOS E IPC 2023 Y 2024'!$A$1:$C$20,3,0)),"0")</f>
        <v>0</v>
      </c>
      <c r="G293" s="209">
        <v>314750</v>
      </c>
      <c r="H293" s="279">
        <f t="shared" si="197"/>
        <v>314750</v>
      </c>
      <c r="I293" s="279">
        <f t="shared" si="197"/>
        <v>314750</v>
      </c>
      <c r="J293" s="279">
        <f t="shared" si="197"/>
        <v>314750</v>
      </c>
      <c r="K293" s="279">
        <f t="shared" si="197"/>
        <v>314750</v>
      </c>
      <c r="L293" s="279">
        <f t="shared" si="197"/>
        <v>314750</v>
      </c>
      <c r="M293" s="279">
        <f t="shared" si="197"/>
        <v>314750</v>
      </c>
      <c r="N293" s="279">
        <f t="shared" si="197"/>
        <v>314750</v>
      </c>
      <c r="O293" s="279">
        <f t="shared" si="197"/>
        <v>314750</v>
      </c>
      <c r="P293" s="279">
        <f t="shared" si="197"/>
        <v>314750</v>
      </c>
      <c r="Q293" s="279">
        <f t="shared" si="197"/>
        <v>314750</v>
      </c>
      <c r="R293" s="279">
        <f t="shared" si="197"/>
        <v>314750</v>
      </c>
      <c r="S293" s="279">
        <f t="shared" si="197"/>
        <v>314750</v>
      </c>
      <c r="T293" s="279">
        <f t="shared" si="197"/>
        <v>314750</v>
      </c>
      <c r="U293" s="279">
        <f t="shared" si="197"/>
        <v>314750</v>
      </c>
      <c r="V293" s="280">
        <f t="shared" si="176"/>
        <v>0</v>
      </c>
      <c r="W293" s="281">
        <f t="shared" si="177"/>
        <v>0</v>
      </c>
    </row>
    <row r="294" spans="1:23" ht="25.5">
      <c r="A294" s="324" t="s">
        <v>679</v>
      </c>
      <c r="B294" s="76" t="s">
        <v>696</v>
      </c>
      <c r="C294" s="76" t="s">
        <v>697</v>
      </c>
      <c r="D294" s="76" t="s">
        <v>124</v>
      </c>
      <c r="E294" s="76" t="s">
        <v>36</v>
      </c>
      <c r="F294" s="277">
        <f>IFERROR((VLOOKUP(E294,'MEMORANDOS E IPC 2023 Y 2024'!$A$1:$C$20,3,0)),"0")</f>
        <v>44974</v>
      </c>
      <c r="G294" s="209">
        <v>59564</v>
      </c>
      <c r="H294" s="279">
        <f>IF(($F294="0"),$F294,(ROUNDDOWN((G294*(1+(H$4/100))),0)))</f>
        <v>60189</v>
      </c>
      <c r="I294" s="279">
        <f t="shared" ref="I294:U294" si="198">IF(($F294="0"),$F294,(ROUNDDOWN((H294*(1+(I$4/100))),0)))</f>
        <v>60658</v>
      </c>
      <c r="J294" s="279">
        <f t="shared" si="198"/>
        <v>60918</v>
      </c>
      <c r="K294" s="279">
        <f t="shared" si="198"/>
        <v>61100</v>
      </c>
      <c r="L294" s="279">
        <f t="shared" si="198"/>
        <v>61405</v>
      </c>
      <c r="M294" s="279">
        <f t="shared" si="198"/>
        <v>61834</v>
      </c>
      <c r="N294" s="279">
        <f t="shared" si="198"/>
        <v>62167</v>
      </c>
      <c r="O294" s="279">
        <f t="shared" si="198"/>
        <v>62322</v>
      </c>
      <c r="P294" s="279">
        <f t="shared" si="198"/>
        <v>62614</v>
      </c>
      <c r="Q294" s="279">
        <f t="shared" si="198"/>
        <v>62895</v>
      </c>
      <c r="R294" s="279">
        <f t="shared" si="198"/>
        <v>63473</v>
      </c>
      <c r="S294" s="279">
        <f t="shared" si="198"/>
        <v>64164</v>
      </c>
      <c r="T294" s="279">
        <f t="shared" si="198"/>
        <v>64613</v>
      </c>
      <c r="U294" s="279">
        <f t="shared" si="198"/>
        <v>64994</v>
      </c>
      <c r="V294" s="280">
        <f t="shared" si="176"/>
        <v>5430</v>
      </c>
      <c r="W294" s="281">
        <f t="shared" si="177"/>
        <v>9.1162447115707479E-2</v>
      </c>
    </row>
    <row r="295" spans="1:23">
      <c r="A295" s="324" t="s">
        <v>679</v>
      </c>
      <c r="B295" s="76" t="s">
        <v>698</v>
      </c>
      <c r="C295" s="325" t="s">
        <v>699</v>
      </c>
      <c r="D295" s="223" t="s">
        <v>700</v>
      </c>
      <c r="E295" s="223" t="s">
        <v>84</v>
      </c>
      <c r="F295" s="277" t="str">
        <f>IFERROR((VLOOKUP(E295,'MEMORANDOS E IPC 2023 Y 2024'!$A$1:$C$20,3,0)),"0")</f>
        <v>0</v>
      </c>
      <c r="G295" s="209">
        <v>4154</v>
      </c>
      <c r="H295" s="279">
        <f t="shared" ref="H295:U305" si="199">IF(($F295="0"),$G295,(ROUNDDOWN((G295*(1+(H$4/100))),0)))</f>
        <v>4154</v>
      </c>
      <c r="I295" s="279">
        <f t="shared" si="199"/>
        <v>4154</v>
      </c>
      <c r="J295" s="279">
        <f t="shared" si="199"/>
        <v>4154</v>
      </c>
      <c r="K295" s="279">
        <f t="shared" si="199"/>
        <v>4154</v>
      </c>
      <c r="L295" s="279">
        <f t="shared" si="199"/>
        <v>4154</v>
      </c>
      <c r="M295" s="279">
        <f t="shared" si="199"/>
        <v>4154</v>
      </c>
      <c r="N295" s="279">
        <f t="shared" si="199"/>
        <v>4154</v>
      </c>
      <c r="O295" s="279">
        <f t="shared" si="199"/>
        <v>4154</v>
      </c>
      <c r="P295" s="279">
        <f t="shared" si="199"/>
        <v>4154</v>
      </c>
      <c r="Q295" s="279">
        <f t="shared" si="199"/>
        <v>4154</v>
      </c>
      <c r="R295" s="279">
        <f t="shared" si="199"/>
        <v>4154</v>
      </c>
      <c r="S295" s="279">
        <f t="shared" si="199"/>
        <v>4154</v>
      </c>
      <c r="T295" s="279">
        <f t="shared" si="199"/>
        <v>4154</v>
      </c>
      <c r="U295" s="279">
        <f t="shared" si="199"/>
        <v>4154</v>
      </c>
      <c r="V295" s="280">
        <f t="shared" si="176"/>
        <v>0</v>
      </c>
      <c r="W295" s="281">
        <f t="shared" si="177"/>
        <v>0</v>
      </c>
    </row>
    <row r="296" spans="1:23">
      <c r="A296" s="324" t="s">
        <v>679</v>
      </c>
      <c r="B296" s="76" t="s">
        <v>701</v>
      </c>
      <c r="C296" s="173" t="s">
        <v>702</v>
      </c>
      <c r="D296" s="223" t="s">
        <v>108</v>
      </c>
      <c r="E296" s="223" t="s">
        <v>84</v>
      </c>
      <c r="F296" s="277" t="str">
        <f>IFERROR((VLOOKUP(E296,'MEMORANDOS E IPC 2023 Y 2024'!$A$1:$C$20,3,0)),"0")</f>
        <v>0</v>
      </c>
      <c r="G296" s="209">
        <v>128420</v>
      </c>
      <c r="H296" s="279">
        <f t="shared" si="199"/>
        <v>128420</v>
      </c>
      <c r="I296" s="279">
        <f t="shared" si="199"/>
        <v>128420</v>
      </c>
      <c r="J296" s="279">
        <f t="shared" si="199"/>
        <v>128420</v>
      </c>
      <c r="K296" s="279">
        <f t="shared" si="199"/>
        <v>128420</v>
      </c>
      <c r="L296" s="279">
        <f t="shared" si="199"/>
        <v>128420</v>
      </c>
      <c r="M296" s="279">
        <f t="shared" si="199"/>
        <v>128420</v>
      </c>
      <c r="N296" s="279">
        <f t="shared" si="199"/>
        <v>128420</v>
      </c>
      <c r="O296" s="279">
        <f t="shared" si="199"/>
        <v>128420</v>
      </c>
      <c r="P296" s="279">
        <f t="shared" si="199"/>
        <v>128420</v>
      </c>
      <c r="Q296" s="279">
        <f t="shared" si="199"/>
        <v>128420</v>
      </c>
      <c r="R296" s="279">
        <f t="shared" si="199"/>
        <v>128420</v>
      </c>
      <c r="S296" s="279">
        <f t="shared" si="199"/>
        <v>128420</v>
      </c>
      <c r="T296" s="279">
        <f t="shared" si="199"/>
        <v>128420</v>
      </c>
      <c r="U296" s="279">
        <f t="shared" si="199"/>
        <v>128420</v>
      </c>
      <c r="V296" s="280">
        <f t="shared" si="176"/>
        <v>0</v>
      </c>
      <c r="W296" s="281">
        <f t="shared" si="177"/>
        <v>0</v>
      </c>
    </row>
    <row r="297" spans="1:23" ht="25.5">
      <c r="A297" s="324" t="s">
        <v>679</v>
      </c>
      <c r="B297" s="76" t="s">
        <v>703</v>
      </c>
      <c r="C297" s="173" t="s">
        <v>704</v>
      </c>
      <c r="D297" s="76" t="s">
        <v>705</v>
      </c>
      <c r="E297" s="223" t="s">
        <v>84</v>
      </c>
      <c r="F297" s="277" t="str">
        <f>IFERROR((VLOOKUP(E297,'MEMORANDOS E IPC 2023 Y 2024'!$A$1:$C$20,3,0)),"0")</f>
        <v>0</v>
      </c>
      <c r="G297" s="209">
        <v>291548</v>
      </c>
      <c r="H297" s="279">
        <f t="shared" si="199"/>
        <v>291548</v>
      </c>
      <c r="I297" s="279">
        <f t="shared" si="199"/>
        <v>291548</v>
      </c>
      <c r="J297" s="279">
        <f t="shared" si="199"/>
        <v>291548</v>
      </c>
      <c r="K297" s="279">
        <f t="shared" si="199"/>
        <v>291548</v>
      </c>
      <c r="L297" s="279">
        <f t="shared" si="199"/>
        <v>291548</v>
      </c>
      <c r="M297" s="279">
        <f t="shared" si="199"/>
        <v>291548</v>
      </c>
      <c r="N297" s="279">
        <f t="shared" si="199"/>
        <v>291548</v>
      </c>
      <c r="O297" s="279">
        <f t="shared" si="199"/>
        <v>291548</v>
      </c>
      <c r="P297" s="279">
        <f t="shared" si="199"/>
        <v>291548</v>
      </c>
      <c r="Q297" s="279">
        <f t="shared" si="199"/>
        <v>291548</v>
      </c>
      <c r="R297" s="279">
        <f t="shared" si="199"/>
        <v>291548</v>
      </c>
      <c r="S297" s="279">
        <f t="shared" si="199"/>
        <v>291548</v>
      </c>
      <c r="T297" s="279">
        <f t="shared" si="199"/>
        <v>291548</v>
      </c>
      <c r="U297" s="279">
        <f t="shared" si="199"/>
        <v>291548</v>
      </c>
      <c r="V297" s="280">
        <f t="shared" si="176"/>
        <v>0</v>
      </c>
      <c r="W297" s="281">
        <f t="shared" si="177"/>
        <v>0</v>
      </c>
    </row>
    <row r="298" spans="1:23">
      <c r="A298" s="324" t="s">
        <v>679</v>
      </c>
      <c r="B298" s="76" t="s">
        <v>706</v>
      </c>
      <c r="C298" s="173" t="s">
        <v>707</v>
      </c>
      <c r="D298" s="76" t="s">
        <v>536</v>
      </c>
      <c r="E298" s="77" t="s">
        <v>708</v>
      </c>
      <c r="F298" s="277" t="str">
        <f>IFERROR((VLOOKUP(E298,'MEMORANDOS E IPC 2023 Y 2024'!$A$1:$C$20,3,0)),"0")</f>
        <v>0</v>
      </c>
      <c r="G298" s="209">
        <v>13672</v>
      </c>
      <c r="H298" s="279">
        <f t="shared" si="199"/>
        <v>13672</v>
      </c>
      <c r="I298" s="279">
        <f t="shared" si="199"/>
        <v>13672</v>
      </c>
      <c r="J298" s="279">
        <f t="shared" si="199"/>
        <v>13672</v>
      </c>
      <c r="K298" s="279">
        <f t="shared" si="199"/>
        <v>13672</v>
      </c>
      <c r="L298" s="279">
        <f t="shared" si="199"/>
        <v>13672</v>
      </c>
      <c r="M298" s="279">
        <f t="shared" si="199"/>
        <v>13672</v>
      </c>
      <c r="N298" s="279">
        <f t="shared" si="199"/>
        <v>13672</v>
      </c>
      <c r="O298" s="279">
        <f t="shared" si="199"/>
        <v>13672</v>
      </c>
      <c r="P298" s="279">
        <f t="shared" si="199"/>
        <v>13672</v>
      </c>
      <c r="Q298" s="279">
        <f t="shared" si="199"/>
        <v>13672</v>
      </c>
      <c r="R298" s="279">
        <f t="shared" si="199"/>
        <v>13672</v>
      </c>
      <c r="S298" s="279">
        <f t="shared" si="199"/>
        <v>13672</v>
      </c>
      <c r="T298" s="279">
        <f t="shared" si="199"/>
        <v>13672</v>
      </c>
      <c r="U298" s="279">
        <f t="shared" si="199"/>
        <v>13672</v>
      </c>
      <c r="V298" s="280">
        <f t="shared" si="176"/>
        <v>0</v>
      </c>
      <c r="W298" s="281">
        <f t="shared" si="177"/>
        <v>0</v>
      </c>
    </row>
    <row r="299" spans="1:23" ht="51">
      <c r="A299" s="324" t="s">
        <v>679</v>
      </c>
      <c r="B299" s="173" t="s">
        <v>709</v>
      </c>
      <c r="C299" s="173" t="s">
        <v>710</v>
      </c>
      <c r="D299" s="223" t="s">
        <v>700</v>
      </c>
      <c r="E299" s="223" t="s">
        <v>84</v>
      </c>
      <c r="F299" s="277" t="str">
        <f>IFERROR((VLOOKUP(E299,'MEMORANDOS E IPC 2023 Y 2024'!$A$1:$C$20,3,0)),"0")</f>
        <v>0</v>
      </c>
      <c r="G299" s="209">
        <v>49848</v>
      </c>
      <c r="H299" s="279">
        <f t="shared" si="199"/>
        <v>49848</v>
      </c>
      <c r="I299" s="279">
        <f t="shared" si="199"/>
        <v>49848</v>
      </c>
      <c r="J299" s="279">
        <f t="shared" si="199"/>
        <v>49848</v>
      </c>
      <c r="K299" s="279">
        <f t="shared" si="199"/>
        <v>49848</v>
      </c>
      <c r="L299" s="279">
        <f t="shared" si="199"/>
        <v>49848</v>
      </c>
      <c r="M299" s="279">
        <f t="shared" si="199"/>
        <v>49848</v>
      </c>
      <c r="N299" s="279">
        <f t="shared" si="199"/>
        <v>49848</v>
      </c>
      <c r="O299" s="279">
        <f t="shared" si="199"/>
        <v>49848</v>
      </c>
      <c r="P299" s="279">
        <f t="shared" si="199"/>
        <v>49848</v>
      </c>
      <c r="Q299" s="279">
        <f t="shared" si="199"/>
        <v>49848</v>
      </c>
      <c r="R299" s="279">
        <f t="shared" si="199"/>
        <v>49848</v>
      </c>
      <c r="S299" s="279">
        <f t="shared" si="199"/>
        <v>49848</v>
      </c>
      <c r="T299" s="279">
        <f t="shared" si="199"/>
        <v>49848</v>
      </c>
      <c r="U299" s="279">
        <f t="shared" si="199"/>
        <v>49848</v>
      </c>
      <c r="V299" s="280">
        <f t="shared" si="176"/>
        <v>0</v>
      </c>
      <c r="W299" s="281">
        <f t="shared" si="177"/>
        <v>0</v>
      </c>
    </row>
    <row r="300" spans="1:23" ht="51">
      <c r="A300" s="324" t="s">
        <v>679</v>
      </c>
      <c r="B300" s="173" t="s">
        <v>709</v>
      </c>
      <c r="C300" s="173" t="s">
        <v>711</v>
      </c>
      <c r="D300" s="223" t="s">
        <v>700</v>
      </c>
      <c r="E300" s="223" t="s">
        <v>84</v>
      </c>
      <c r="F300" s="277" t="str">
        <f>IFERROR((VLOOKUP(E300,'MEMORANDOS E IPC 2023 Y 2024'!$A$1:$C$20,3,0)),"0")</f>
        <v>0</v>
      </c>
      <c r="G300" s="209">
        <v>10897</v>
      </c>
      <c r="H300" s="279">
        <f t="shared" si="199"/>
        <v>10897</v>
      </c>
      <c r="I300" s="279">
        <f t="shared" si="199"/>
        <v>10897</v>
      </c>
      <c r="J300" s="279">
        <f t="shared" si="199"/>
        <v>10897</v>
      </c>
      <c r="K300" s="279">
        <f t="shared" si="199"/>
        <v>10897</v>
      </c>
      <c r="L300" s="279">
        <f t="shared" si="199"/>
        <v>10897</v>
      </c>
      <c r="M300" s="279">
        <f t="shared" si="199"/>
        <v>10897</v>
      </c>
      <c r="N300" s="279">
        <f t="shared" si="199"/>
        <v>10897</v>
      </c>
      <c r="O300" s="279">
        <f t="shared" si="199"/>
        <v>10897</v>
      </c>
      <c r="P300" s="279">
        <f t="shared" si="199"/>
        <v>10897</v>
      </c>
      <c r="Q300" s="279">
        <f t="shared" si="199"/>
        <v>10897</v>
      </c>
      <c r="R300" s="279">
        <f t="shared" si="199"/>
        <v>10897</v>
      </c>
      <c r="S300" s="279">
        <f t="shared" si="199"/>
        <v>10897</v>
      </c>
      <c r="T300" s="279">
        <f t="shared" si="199"/>
        <v>10897</v>
      </c>
      <c r="U300" s="279">
        <f t="shared" si="199"/>
        <v>10897</v>
      </c>
      <c r="V300" s="280">
        <f t="shared" si="176"/>
        <v>0</v>
      </c>
      <c r="W300" s="281">
        <f t="shared" si="177"/>
        <v>0</v>
      </c>
    </row>
    <row r="301" spans="1:23" ht="51">
      <c r="A301" s="324" t="s">
        <v>679</v>
      </c>
      <c r="B301" s="173" t="s">
        <v>709</v>
      </c>
      <c r="C301" s="173" t="s">
        <v>712</v>
      </c>
      <c r="D301" s="223" t="s">
        <v>700</v>
      </c>
      <c r="E301" s="223" t="s">
        <v>84</v>
      </c>
      <c r="F301" s="277" t="str">
        <f>IFERROR((VLOOKUP(E301,'MEMORANDOS E IPC 2023 Y 2024'!$A$1:$C$20,3,0)),"0")</f>
        <v>0</v>
      </c>
      <c r="G301" s="209">
        <v>10385</v>
      </c>
      <c r="H301" s="279">
        <f t="shared" si="199"/>
        <v>10385</v>
      </c>
      <c r="I301" s="279">
        <f t="shared" si="199"/>
        <v>10385</v>
      </c>
      <c r="J301" s="279">
        <f t="shared" si="199"/>
        <v>10385</v>
      </c>
      <c r="K301" s="279">
        <f t="shared" si="199"/>
        <v>10385</v>
      </c>
      <c r="L301" s="279">
        <f t="shared" si="199"/>
        <v>10385</v>
      </c>
      <c r="M301" s="279">
        <f t="shared" si="199"/>
        <v>10385</v>
      </c>
      <c r="N301" s="279">
        <f t="shared" si="199"/>
        <v>10385</v>
      </c>
      <c r="O301" s="279">
        <f t="shared" si="199"/>
        <v>10385</v>
      </c>
      <c r="P301" s="279">
        <f t="shared" si="199"/>
        <v>10385</v>
      </c>
      <c r="Q301" s="279">
        <f t="shared" si="199"/>
        <v>10385</v>
      </c>
      <c r="R301" s="279">
        <f t="shared" si="199"/>
        <v>10385</v>
      </c>
      <c r="S301" s="279">
        <f t="shared" si="199"/>
        <v>10385</v>
      </c>
      <c r="T301" s="279">
        <f t="shared" si="199"/>
        <v>10385</v>
      </c>
      <c r="U301" s="279">
        <f t="shared" si="199"/>
        <v>10385</v>
      </c>
      <c r="V301" s="280">
        <f t="shared" si="176"/>
        <v>0</v>
      </c>
      <c r="W301" s="281">
        <f t="shared" si="177"/>
        <v>0</v>
      </c>
    </row>
    <row r="302" spans="1:23" ht="51">
      <c r="A302" s="324" t="s">
        <v>679</v>
      </c>
      <c r="B302" s="173" t="s">
        <v>709</v>
      </c>
      <c r="C302" s="173" t="s">
        <v>713</v>
      </c>
      <c r="D302" s="223" t="s">
        <v>700</v>
      </c>
      <c r="E302" s="223" t="s">
        <v>84</v>
      </c>
      <c r="F302" s="277" t="str">
        <f>IFERROR((VLOOKUP(E302,'MEMORANDOS E IPC 2023 Y 2024'!$A$1:$C$20,3,0)),"0")</f>
        <v>0</v>
      </c>
      <c r="G302" s="209">
        <v>20300</v>
      </c>
      <c r="H302" s="279">
        <f t="shared" si="199"/>
        <v>20300</v>
      </c>
      <c r="I302" s="279">
        <f t="shared" si="199"/>
        <v>20300</v>
      </c>
      <c r="J302" s="279">
        <f t="shared" si="199"/>
        <v>20300</v>
      </c>
      <c r="K302" s="279">
        <f t="shared" si="199"/>
        <v>20300</v>
      </c>
      <c r="L302" s="279">
        <f t="shared" si="199"/>
        <v>20300</v>
      </c>
      <c r="M302" s="279">
        <f t="shared" si="199"/>
        <v>20300</v>
      </c>
      <c r="N302" s="279">
        <f t="shared" si="199"/>
        <v>20300</v>
      </c>
      <c r="O302" s="279">
        <f t="shared" si="199"/>
        <v>20300</v>
      </c>
      <c r="P302" s="279">
        <f t="shared" si="199"/>
        <v>20300</v>
      </c>
      <c r="Q302" s="279">
        <f t="shared" si="199"/>
        <v>20300</v>
      </c>
      <c r="R302" s="279">
        <f t="shared" si="199"/>
        <v>20300</v>
      </c>
      <c r="S302" s="279">
        <f t="shared" si="199"/>
        <v>20300</v>
      </c>
      <c r="T302" s="279">
        <f t="shared" si="199"/>
        <v>20300</v>
      </c>
      <c r="U302" s="279">
        <f t="shared" si="199"/>
        <v>20300</v>
      </c>
      <c r="V302" s="280">
        <f t="shared" si="176"/>
        <v>0</v>
      </c>
      <c r="W302" s="281">
        <f t="shared" si="177"/>
        <v>0</v>
      </c>
    </row>
    <row r="303" spans="1:23" ht="51">
      <c r="A303" s="324" t="s">
        <v>679</v>
      </c>
      <c r="B303" s="173" t="s">
        <v>709</v>
      </c>
      <c r="C303" s="173" t="s">
        <v>714</v>
      </c>
      <c r="D303" s="223" t="s">
        <v>700</v>
      </c>
      <c r="E303" s="223" t="s">
        <v>84</v>
      </c>
      <c r="F303" s="277" t="str">
        <f>IFERROR((VLOOKUP(E303,'MEMORANDOS E IPC 2023 Y 2024'!$A$1:$C$20,3,0)),"0")</f>
        <v>0</v>
      </c>
      <c r="G303" s="209">
        <v>16616</v>
      </c>
      <c r="H303" s="279">
        <f t="shared" si="199"/>
        <v>16616</v>
      </c>
      <c r="I303" s="279">
        <f t="shared" si="199"/>
        <v>16616</v>
      </c>
      <c r="J303" s="279">
        <f t="shared" si="199"/>
        <v>16616</v>
      </c>
      <c r="K303" s="279">
        <f t="shared" si="199"/>
        <v>16616</v>
      </c>
      <c r="L303" s="279">
        <f t="shared" si="199"/>
        <v>16616</v>
      </c>
      <c r="M303" s="279">
        <f t="shared" si="199"/>
        <v>16616</v>
      </c>
      <c r="N303" s="279">
        <f t="shared" si="199"/>
        <v>16616</v>
      </c>
      <c r="O303" s="279">
        <f t="shared" si="199"/>
        <v>16616</v>
      </c>
      <c r="P303" s="279">
        <f t="shared" si="199"/>
        <v>16616</v>
      </c>
      <c r="Q303" s="279">
        <f t="shared" si="199"/>
        <v>16616</v>
      </c>
      <c r="R303" s="279">
        <f t="shared" si="199"/>
        <v>16616</v>
      </c>
      <c r="S303" s="279">
        <f t="shared" si="199"/>
        <v>16616</v>
      </c>
      <c r="T303" s="279">
        <f t="shared" si="199"/>
        <v>16616</v>
      </c>
      <c r="U303" s="279">
        <f t="shared" si="199"/>
        <v>16616</v>
      </c>
      <c r="V303" s="280">
        <f t="shared" si="176"/>
        <v>0</v>
      </c>
      <c r="W303" s="281">
        <f t="shared" si="177"/>
        <v>0</v>
      </c>
    </row>
    <row r="304" spans="1:23" ht="51">
      <c r="A304" s="324" t="s">
        <v>679</v>
      </c>
      <c r="B304" s="173" t="s">
        <v>709</v>
      </c>
      <c r="C304" s="173" t="s">
        <v>715</v>
      </c>
      <c r="D304" s="223" t="s">
        <v>700</v>
      </c>
      <c r="E304" s="223" t="s">
        <v>84</v>
      </c>
      <c r="F304" s="277" t="str">
        <f>IFERROR((VLOOKUP(E304,'MEMORANDOS E IPC 2023 Y 2024'!$A$1:$C$20,3,0)),"0")</f>
        <v>0</v>
      </c>
      <c r="G304" s="209">
        <v>28700</v>
      </c>
      <c r="H304" s="279">
        <f t="shared" si="199"/>
        <v>28700</v>
      </c>
      <c r="I304" s="279">
        <f t="shared" si="199"/>
        <v>28700</v>
      </c>
      <c r="J304" s="279">
        <f t="shared" si="199"/>
        <v>28700</v>
      </c>
      <c r="K304" s="279">
        <f t="shared" si="199"/>
        <v>28700</v>
      </c>
      <c r="L304" s="279">
        <f t="shared" si="199"/>
        <v>28700</v>
      </c>
      <c r="M304" s="279">
        <f t="shared" si="199"/>
        <v>28700</v>
      </c>
      <c r="N304" s="279">
        <f t="shared" si="199"/>
        <v>28700</v>
      </c>
      <c r="O304" s="279">
        <f t="shared" si="199"/>
        <v>28700</v>
      </c>
      <c r="P304" s="279">
        <f t="shared" si="199"/>
        <v>28700</v>
      </c>
      <c r="Q304" s="279">
        <f t="shared" si="199"/>
        <v>28700</v>
      </c>
      <c r="R304" s="279">
        <f t="shared" si="199"/>
        <v>28700</v>
      </c>
      <c r="S304" s="279">
        <f t="shared" si="199"/>
        <v>28700</v>
      </c>
      <c r="T304" s="279">
        <f t="shared" si="199"/>
        <v>28700</v>
      </c>
      <c r="U304" s="279">
        <f t="shared" si="199"/>
        <v>28700</v>
      </c>
      <c r="V304" s="280">
        <f t="shared" si="176"/>
        <v>0</v>
      </c>
      <c r="W304" s="281">
        <f t="shared" si="177"/>
        <v>0</v>
      </c>
    </row>
    <row r="305" spans="1:23">
      <c r="A305" s="324" t="s">
        <v>679</v>
      </c>
      <c r="B305" s="76" t="s">
        <v>716</v>
      </c>
      <c r="C305" s="215" t="s">
        <v>717</v>
      </c>
      <c r="D305" s="223" t="s">
        <v>718</v>
      </c>
      <c r="E305" s="223" t="s">
        <v>84</v>
      </c>
      <c r="F305" s="277" t="str">
        <f>IFERROR((VLOOKUP(E305,'MEMORANDOS E IPC 2023 Y 2024'!$A$1:$C$20,3,0)),"0")</f>
        <v>0</v>
      </c>
      <c r="G305" s="209">
        <v>109774</v>
      </c>
      <c r="H305" s="279">
        <f t="shared" si="199"/>
        <v>109774</v>
      </c>
      <c r="I305" s="279">
        <f t="shared" si="199"/>
        <v>109774</v>
      </c>
      <c r="J305" s="279">
        <f t="shared" si="199"/>
        <v>109774</v>
      </c>
      <c r="K305" s="279">
        <f t="shared" si="199"/>
        <v>109774</v>
      </c>
      <c r="L305" s="279">
        <f t="shared" si="199"/>
        <v>109774</v>
      </c>
      <c r="M305" s="279">
        <f t="shared" si="199"/>
        <v>109774</v>
      </c>
      <c r="N305" s="279">
        <f t="shared" si="199"/>
        <v>109774</v>
      </c>
      <c r="O305" s="279">
        <f t="shared" si="199"/>
        <v>109774</v>
      </c>
      <c r="P305" s="279">
        <f t="shared" si="199"/>
        <v>109774</v>
      </c>
      <c r="Q305" s="279">
        <f t="shared" si="199"/>
        <v>109774</v>
      </c>
      <c r="R305" s="279">
        <f t="shared" si="199"/>
        <v>109774</v>
      </c>
      <c r="S305" s="279">
        <f t="shared" si="199"/>
        <v>109774</v>
      </c>
      <c r="T305" s="279">
        <f t="shared" si="199"/>
        <v>109774</v>
      </c>
      <c r="U305" s="279">
        <f t="shared" si="199"/>
        <v>109774</v>
      </c>
      <c r="V305" s="280">
        <f t="shared" si="176"/>
        <v>0</v>
      </c>
      <c r="W305" s="281">
        <f t="shared" si="177"/>
        <v>0</v>
      </c>
    </row>
    <row r="306" spans="1:23">
      <c r="A306" s="324" t="s">
        <v>679</v>
      </c>
      <c r="B306" s="76" t="s">
        <v>719</v>
      </c>
      <c r="C306" s="215" t="s">
        <v>720</v>
      </c>
      <c r="D306" s="76" t="s">
        <v>108</v>
      </c>
      <c r="E306" s="76" t="s">
        <v>38</v>
      </c>
      <c r="F306" s="277">
        <f>IFERROR((VLOOKUP(E306,'MEMORANDOS E IPC 2023 Y 2024'!$A$1:$C$20,3,0)),"0")</f>
        <v>45002</v>
      </c>
      <c r="G306" s="209">
        <v>13586</v>
      </c>
      <c r="H306" s="278">
        <f>G306</f>
        <v>13586</v>
      </c>
      <c r="I306" s="279">
        <f>IF(($F306="0"),$F306,(ROUNDDOWN((H306*(1+(I$4/100))),0)))</f>
        <v>13691</v>
      </c>
      <c r="J306" s="279">
        <f t="shared" ref="J306:U306" si="200">IF(($F306="0"),$F306,(ROUNDDOWN((I306*(1+(J$4/100))),0)))</f>
        <v>13749</v>
      </c>
      <c r="K306" s="279">
        <f t="shared" si="200"/>
        <v>13790</v>
      </c>
      <c r="L306" s="279">
        <f t="shared" si="200"/>
        <v>13858</v>
      </c>
      <c r="M306" s="279">
        <f t="shared" si="200"/>
        <v>13955</v>
      </c>
      <c r="N306" s="279">
        <f t="shared" si="200"/>
        <v>14030</v>
      </c>
      <c r="O306" s="279">
        <f t="shared" si="200"/>
        <v>14065</v>
      </c>
      <c r="P306" s="279">
        <f t="shared" si="200"/>
        <v>14131</v>
      </c>
      <c r="Q306" s="279">
        <f t="shared" si="200"/>
        <v>14194</v>
      </c>
      <c r="R306" s="279">
        <f t="shared" si="200"/>
        <v>14324</v>
      </c>
      <c r="S306" s="279">
        <f t="shared" si="200"/>
        <v>14480</v>
      </c>
      <c r="T306" s="279">
        <f t="shared" si="200"/>
        <v>14581</v>
      </c>
      <c r="U306" s="279">
        <f t="shared" si="200"/>
        <v>14667</v>
      </c>
      <c r="V306" s="280">
        <f t="shared" si="176"/>
        <v>1081</v>
      </c>
      <c r="W306" s="281">
        <f t="shared" si="177"/>
        <v>7.9567201530987786E-2</v>
      </c>
    </row>
    <row r="307" spans="1:23">
      <c r="A307" s="324" t="s">
        <v>679</v>
      </c>
      <c r="B307" s="76" t="s">
        <v>721</v>
      </c>
      <c r="C307" s="173" t="s">
        <v>722</v>
      </c>
      <c r="D307" s="223" t="s">
        <v>124</v>
      </c>
      <c r="E307" s="223" t="s">
        <v>84</v>
      </c>
      <c r="F307" s="277" t="str">
        <f>IFERROR((VLOOKUP(E307,'MEMORANDOS E IPC 2023 Y 2024'!$A$1:$C$20,3,0)),"0")</f>
        <v>0</v>
      </c>
      <c r="G307" s="209">
        <v>15119</v>
      </c>
      <c r="H307" s="279">
        <f t="shared" ref="H307:U319" si="201">IF(($F307="0"),$G307,(ROUNDDOWN((G307*(1+(H$4/100))),0)))</f>
        <v>15119</v>
      </c>
      <c r="I307" s="279">
        <f t="shared" si="201"/>
        <v>15119</v>
      </c>
      <c r="J307" s="279">
        <f t="shared" si="201"/>
        <v>15119</v>
      </c>
      <c r="K307" s="279">
        <f t="shared" si="201"/>
        <v>15119</v>
      </c>
      <c r="L307" s="279">
        <f t="shared" si="201"/>
        <v>15119</v>
      </c>
      <c r="M307" s="279">
        <f t="shared" si="201"/>
        <v>15119</v>
      </c>
      <c r="N307" s="279">
        <f t="shared" si="201"/>
        <v>15119</v>
      </c>
      <c r="O307" s="279">
        <f t="shared" si="201"/>
        <v>15119</v>
      </c>
      <c r="P307" s="279">
        <f t="shared" si="201"/>
        <v>15119</v>
      </c>
      <c r="Q307" s="279">
        <f t="shared" si="201"/>
        <v>15119</v>
      </c>
      <c r="R307" s="279">
        <f t="shared" si="201"/>
        <v>15119</v>
      </c>
      <c r="S307" s="279">
        <f t="shared" si="201"/>
        <v>15119</v>
      </c>
      <c r="T307" s="279">
        <f t="shared" si="201"/>
        <v>15119</v>
      </c>
      <c r="U307" s="279">
        <f t="shared" si="201"/>
        <v>15119</v>
      </c>
      <c r="V307" s="280">
        <f t="shared" si="176"/>
        <v>0</v>
      </c>
      <c r="W307" s="281">
        <f t="shared" si="177"/>
        <v>0</v>
      </c>
    </row>
    <row r="308" spans="1:23" ht="60">
      <c r="A308" s="324" t="s">
        <v>679</v>
      </c>
      <c r="B308" s="326" t="s">
        <v>723</v>
      </c>
      <c r="C308" s="327" t="s">
        <v>724</v>
      </c>
      <c r="D308" s="76" t="s">
        <v>574</v>
      </c>
      <c r="E308" s="77" t="s">
        <v>64</v>
      </c>
      <c r="F308" s="277" t="str">
        <f>IFERROR((VLOOKUP(E308,'MEMORANDOS E IPC 2023 Y 2024'!$A$1:$C$20,3,0)),"0")</f>
        <v>0</v>
      </c>
      <c r="G308" s="209">
        <v>6876</v>
      </c>
      <c r="H308" s="279">
        <f t="shared" si="201"/>
        <v>6876</v>
      </c>
      <c r="I308" s="279">
        <f t="shared" si="201"/>
        <v>6876</v>
      </c>
      <c r="J308" s="279">
        <f t="shared" si="201"/>
        <v>6876</v>
      </c>
      <c r="K308" s="279">
        <f t="shared" si="201"/>
        <v>6876</v>
      </c>
      <c r="L308" s="279">
        <f t="shared" si="201"/>
        <v>6876</v>
      </c>
      <c r="M308" s="279">
        <f t="shared" si="201"/>
        <v>6876</v>
      </c>
      <c r="N308" s="279">
        <f t="shared" si="201"/>
        <v>6876</v>
      </c>
      <c r="O308" s="279">
        <f t="shared" si="201"/>
        <v>6876</v>
      </c>
      <c r="P308" s="279">
        <f t="shared" si="201"/>
        <v>6876</v>
      </c>
      <c r="Q308" s="279">
        <f t="shared" si="201"/>
        <v>6876</v>
      </c>
      <c r="R308" s="279">
        <f t="shared" si="201"/>
        <v>6876</v>
      </c>
      <c r="S308" s="279">
        <f t="shared" si="201"/>
        <v>6876</v>
      </c>
      <c r="T308" s="279">
        <f t="shared" si="201"/>
        <v>6876</v>
      </c>
      <c r="U308" s="279">
        <f t="shared" si="201"/>
        <v>6876</v>
      </c>
      <c r="V308" s="280">
        <f t="shared" si="176"/>
        <v>0</v>
      </c>
      <c r="W308" s="281">
        <f t="shared" si="177"/>
        <v>0</v>
      </c>
    </row>
    <row r="309" spans="1:23">
      <c r="A309" s="324" t="s">
        <v>679</v>
      </c>
      <c r="B309" s="76" t="s">
        <v>725</v>
      </c>
      <c r="C309" s="215" t="s">
        <v>726</v>
      </c>
      <c r="D309" s="223" t="s">
        <v>718</v>
      </c>
      <c r="E309" s="223" t="s">
        <v>84</v>
      </c>
      <c r="F309" s="277" t="str">
        <f>IFERROR((VLOOKUP(E309,'MEMORANDOS E IPC 2023 Y 2024'!$A$1:$C$20,3,0)),"0")</f>
        <v>0</v>
      </c>
      <c r="G309" s="209">
        <v>93465</v>
      </c>
      <c r="H309" s="279">
        <f t="shared" si="201"/>
        <v>93465</v>
      </c>
      <c r="I309" s="279">
        <f t="shared" si="201"/>
        <v>93465</v>
      </c>
      <c r="J309" s="279">
        <f t="shared" si="201"/>
        <v>93465</v>
      </c>
      <c r="K309" s="279">
        <f t="shared" si="201"/>
        <v>93465</v>
      </c>
      <c r="L309" s="279">
        <f t="shared" si="201"/>
        <v>93465</v>
      </c>
      <c r="M309" s="279">
        <f t="shared" si="201"/>
        <v>93465</v>
      </c>
      <c r="N309" s="279">
        <f t="shared" si="201"/>
        <v>93465</v>
      </c>
      <c r="O309" s="279">
        <f t="shared" si="201"/>
        <v>93465</v>
      </c>
      <c r="P309" s="279">
        <f t="shared" si="201"/>
        <v>93465</v>
      </c>
      <c r="Q309" s="279">
        <f t="shared" si="201"/>
        <v>93465</v>
      </c>
      <c r="R309" s="279">
        <f t="shared" si="201"/>
        <v>93465</v>
      </c>
      <c r="S309" s="279">
        <f t="shared" si="201"/>
        <v>93465</v>
      </c>
      <c r="T309" s="279">
        <f t="shared" si="201"/>
        <v>93465</v>
      </c>
      <c r="U309" s="279">
        <f t="shared" si="201"/>
        <v>93465</v>
      </c>
      <c r="V309" s="280">
        <f t="shared" si="176"/>
        <v>0</v>
      </c>
      <c r="W309" s="281">
        <f t="shared" si="177"/>
        <v>0</v>
      </c>
    </row>
    <row r="310" spans="1:23">
      <c r="A310" s="324" t="s">
        <v>679</v>
      </c>
      <c r="B310" s="76" t="s">
        <v>727</v>
      </c>
      <c r="C310" s="215" t="s">
        <v>728</v>
      </c>
      <c r="D310" s="82" t="s">
        <v>729</v>
      </c>
      <c r="E310" s="328" t="s">
        <v>84</v>
      </c>
      <c r="F310" s="277" t="str">
        <f>IFERROR((VLOOKUP(E310,'MEMORANDOS E IPC 2023 Y 2024'!$A$1:$C$20,3,0)),"0")</f>
        <v>0</v>
      </c>
      <c r="G310" s="209">
        <v>107829</v>
      </c>
      <c r="H310" s="279">
        <f t="shared" si="201"/>
        <v>107829</v>
      </c>
      <c r="I310" s="279">
        <f t="shared" si="201"/>
        <v>107829</v>
      </c>
      <c r="J310" s="279">
        <f t="shared" si="201"/>
        <v>107829</v>
      </c>
      <c r="K310" s="279">
        <f t="shared" si="201"/>
        <v>107829</v>
      </c>
      <c r="L310" s="279">
        <f t="shared" si="201"/>
        <v>107829</v>
      </c>
      <c r="M310" s="279">
        <f t="shared" si="201"/>
        <v>107829</v>
      </c>
      <c r="N310" s="279">
        <f t="shared" si="201"/>
        <v>107829</v>
      </c>
      <c r="O310" s="279">
        <f t="shared" si="201"/>
        <v>107829</v>
      </c>
      <c r="P310" s="279">
        <f t="shared" si="201"/>
        <v>107829</v>
      </c>
      <c r="Q310" s="279">
        <f t="shared" si="201"/>
        <v>107829</v>
      </c>
      <c r="R310" s="279">
        <f t="shared" si="201"/>
        <v>107829</v>
      </c>
      <c r="S310" s="279">
        <f t="shared" si="201"/>
        <v>107829</v>
      </c>
      <c r="T310" s="279">
        <f t="shared" si="201"/>
        <v>107829</v>
      </c>
      <c r="U310" s="279">
        <f t="shared" si="201"/>
        <v>107829</v>
      </c>
      <c r="V310" s="280">
        <f t="shared" si="176"/>
        <v>0</v>
      </c>
      <c r="W310" s="281">
        <f t="shared" si="177"/>
        <v>0</v>
      </c>
    </row>
    <row r="311" spans="1:23">
      <c r="A311" s="324" t="s">
        <v>679</v>
      </c>
      <c r="B311" s="204" t="s">
        <v>730</v>
      </c>
      <c r="C311" s="215" t="s">
        <v>731</v>
      </c>
      <c r="D311" s="225" t="s">
        <v>108</v>
      </c>
      <c r="E311" s="225" t="s">
        <v>84</v>
      </c>
      <c r="F311" s="277" t="str">
        <f>IFERROR((VLOOKUP(E311,'MEMORANDOS E IPC 2023 Y 2024'!$A$1:$C$20,3,0)),"0")</f>
        <v>0</v>
      </c>
      <c r="G311" s="209">
        <v>29591</v>
      </c>
      <c r="H311" s="279">
        <f t="shared" si="201"/>
        <v>29591</v>
      </c>
      <c r="I311" s="279">
        <f t="shared" si="201"/>
        <v>29591</v>
      </c>
      <c r="J311" s="279">
        <f t="shared" si="201"/>
        <v>29591</v>
      </c>
      <c r="K311" s="279">
        <f t="shared" si="201"/>
        <v>29591</v>
      </c>
      <c r="L311" s="279">
        <f t="shared" si="201"/>
        <v>29591</v>
      </c>
      <c r="M311" s="279">
        <f t="shared" si="201"/>
        <v>29591</v>
      </c>
      <c r="N311" s="279">
        <f t="shared" si="201"/>
        <v>29591</v>
      </c>
      <c r="O311" s="279">
        <f t="shared" si="201"/>
        <v>29591</v>
      </c>
      <c r="P311" s="279">
        <f t="shared" si="201"/>
        <v>29591</v>
      </c>
      <c r="Q311" s="279">
        <f t="shared" si="201"/>
        <v>29591</v>
      </c>
      <c r="R311" s="279">
        <f t="shared" si="201"/>
        <v>29591</v>
      </c>
      <c r="S311" s="279">
        <f t="shared" si="201"/>
        <v>29591</v>
      </c>
      <c r="T311" s="279">
        <f t="shared" si="201"/>
        <v>29591</v>
      </c>
      <c r="U311" s="279">
        <f t="shared" si="201"/>
        <v>29591</v>
      </c>
      <c r="V311" s="280">
        <f t="shared" si="176"/>
        <v>0</v>
      </c>
      <c r="W311" s="281">
        <f t="shared" si="177"/>
        <v>0</v>
      </c>
    </row>
    <row r="312" spans="1:23">
      <c r="A312" s="324" t="s">
        <v>679</v>
      </c>
      <c r="B312" s="76" t="s">
        <v>732</v>
      </c>
      <c r="C312" s="215" t="s">
        <v>733</v>
      </c>
      <c r="D312" s="223" t="s">
        <v>734</v>
      </c>
      <c r="E312" s="223" t="s">
        <v>84</v>
      </c>
      <c r="F312" s="277" t="str">
        <f>IFERROR((VLOOKUP(E312,'MEMORANDOS E IPC 2023 Y 2024'!$A$1:$C$20,3,0)),"0")</f>
        <v>0</v>
      </c>
      <c r="G312" s="209">
        <v>72978</v>
      </c>
      <c r="H312" s="279">
        <f t="shared" si="201"/>
        <v>72978</v>
      </c>
      <c r="I312" s="279">
        <f t="shared" si="201"/>
        <v>72978</v>
      </c>
      <c r="J312" s="279">
        <f t="shared" si="201"/>
        <v>72978</v>
      </c>
      <c r="K312" s="279">
        <f t="shared" si="201"/>
        <v>72978</v>
      </c>
      <c r="L312" s="279">
        <f t="shared" si="201"/>
        <v>72978</v>
      </c>
      <c r="M312" s="279">
        <f t="shared" si="201"/>
        <v>72978</v>
      </c>
      <c r="N312" s="279">
        <f t="shared" si="201"/>
        <v>72978</v>
      </c>
      <c r="O312" s="279">
        <f t="shared" si="201"/>
        <v>72978</v>
      </c>
      <c r="P312" s="279">
        <f t="shared" si="201"/>
        <v>72978</v>
      </c>
      <c r="Q312" s="279">
        <f t="shared" si="201"/>
        <v>72978</v>
      </c>
      <c r="R312" s="279">
        <f t="shared" si="201"/>
        <v>72978</v>
      </c>
      <c r="S312" s="279">
        <f t="shared" si="201"/>
        <v>72978</v>
      </c>
      <c r="T312" s="279">
        <f t="shared" si="201"/>
        <v>72978</v>
      </c>
      <c r="U312" s="279">
        <f t="shared" si="201"/>
        <v>72978</v>
      </c>
      <c r="V312" s="280">
        <f t="shared" si="176"/>
        <v>0</v>
      </c>
      <c r="W312" s="281">
        <f t="shared" si="177"/>
        <v>0</v>
      </c>
    </row>
    <row r="313" spans="1:23">
      <c r="A313" s="324" t="s">
        <v>679</v>
      </c>
      <c r="B313" s="76" t="s">
        <v>735</v>
      </c>
      <c r="C313" s="76" t="s">
        <v>736</v>
      </c>
      <c r="D313" s="223"/>
      <c r="E313" s="223" t="s">
        <v>84</v>
      </c>
      <c r="F313" s="277" t="str">
        <f>IFERROR((VLOOKUP(E313,'MEMORANDOS E IPC 2023 Y 2024'!$A$1:$C$20,3,0)),"0")</f>
        <v>0</v>
      </c>
      <c r="G313" s="209">
        <v>102814</v>
      </c>
      <c r="H313" s="279">
        <f t="shared" si="201"/>
        <v>102814</v>
      </c>
      <c r="I313" s="279">
        <f t="shared" si="201"/>
        <v>102814</v>
      </c>
      <c r="J313" s="279">
        <f t="shared" si="201"/>
        <v>102814</v>
      </c>
      <c r="K313" s="279">
        <f t="shared" si="201"/>
        <v>102814</v>
      </c>
      <c r="L313" s="279">
        <f t="shared" si="201"/>
        <v>102814</v>
      </c>
      <c r="M313" s="279">
        <f t="shared" si="201"/>
        <v>102814</v>
      </c>
      <c r="N313" s="279">
        <f t="shared" si="201"/>
        <v>102814</v>
      </c>
      <c r="O313" s="279">
        <f t="shared" si="201"/>
        <v>102814</v>
      </c>
      <c r="P313" s="279">
        <f t="shared" si="201"/>
        <v>102814</v>
      </c>
      <c r="Q313" s="279">
        <f t="shared" si="201"/>
        <v>102814</v>
      </c>
      <c r="R313" s="279">
        <f t="shared" si="201"/>
        <v>102814</v>
      </c>
      <c r="S313" s="279">
        <f t="shared" si="201"/>
        <v>102814</v>
      </c>
      <c r="T313" s="279">
        <f t="shared" si="201"/>
        <v>102814</v>
      </c>
      <c r="U313" s="279">
        <f t="shared" si="201"/>
        <v>102814</v>
      </c>
      <c r="V313" s="280">
        <f t="shared" si="176"/>
        <v>0</v>
      </c>
      <c r="W313" s="281">
        <f t="shared" si="177"/>
        <v>0</v>
      </c>
    </row>
    <row r="314" spans="1:23">
      <c r="A314" s="324" t="s">
        <v>679</v>
      </c>
      <c r="B314" s="204" t="s">
        <v>737</v>
      </c>
      <c r="C314" s="215" t="s">
        <v>738</v>
      </c>
      <c r="D314" s="225" t="s">
        <v>108</v>
      </c>
      <c r="E314" s="225" t="s">
        <v>84</v>
      </c>
      <c r="F314" s="277" t="str">
        <f>IFERROR((VLOOKUP(E314,'MEMORANDOS E IPC 2023 Y 2024'!$A$1:$C$20,3,0)),"0")</f>
        <v>0</v>
      </c>
      <c r="G314" s="209">
        <v>193754</v>
      </c>
      <c r="H314" s="279">
        <f t="shared" si="201"/>
        <v>193754</v>
      </c>
      <c r="I314" s="279">
        <f t="shared" si="201"/>
        <v>193754</v>
      </c>
      <c r="J314" s="279">
        <f t="shared" si="201"/>
        <v>193754</v>
      </c>
      <c r="K314" s="279">
        <f t="shared" si="201"/>
        <v>193754</v>
      </c>
      <c r="L314" s="279">
        <f t="shared" si="201"/>
        <v>193754</v>
      </c>
      <c r="M314" s="279">
        <f t="shared" si="201"/>
        <v>193754</v>
      </c>
      <c r="N314" s="279">
        <f t="shared" si="201"/>
        <v>193754</v>
      </c>
      <c r="O314" s="279">
        <f t="shared" si="201"/>
        <v>193754</v>
      </c>
      <c r="P314" s="279">
        <f t="shared" si="201"/>
        <v>193754</v>
      </c>
      <c r="Q314" s="279">
        <f t="shared" si="201"/>
        <v>193754</v>
      </c>
      <c r="R314" s="279">
        <f t="shared" si="201"/>
        <v>193754</v>
      </c>
      <c r="S314" s="279">
        <f t="shared" si="201"/>
        <v>193754</v>
      </c>
      <c r="T314" s="279">
        <f t="shared" si="201"/>
        <v>193754</v>
      </c>
      <c r="U314" s="279">
        <f t="shared" si="201"/>
        <v>193754</v>
      </c>
      <c r="V314" s="280">
        <f t="shared" si="176"/>
        <v>0</v>
      </c>
      <c r="W314" s="281">
        <f t="shared" si="177"/>
        <v>0</v>
      </c>
    </row>
    <row r="315" spans="1:23">
      <c r="A315" s="324" t="s">
        <v>679</v>
      </c>
      <c r="B315" s="204" t="s">
        <v>739</v>
      </c>
      <c r="C315" s="215" t="s">
        <v>740</v>
      </c>
      <c r="D315" s="225" t="s">
        <v>108</v>
      </c>
      <c r="E315" s="225" t="s">
        <v>84</v>
      </c>
      <c r="F315" s="277" t="str">
        <f>IFERROR((VLOOKUP(E315,'MEMORANDOS E IPC 2023 Y 2024'!$A$1:$C$20,3,0)),"0")</f>
        <v>0</v>
      </c>
      <c r="G315" s="209">
        <v>30895</v>
      </c>
      <c r="H315" s="279">
        <f t="shared" si="201"/>
        <v>30895</v>
      </c>
      <c r="I315" s="279">
        <f t="shared" si="201"/>
        <v>30895</v>
      </c>
      <c r="J315" s="279">
        <f t="shared" si="201"/>
        <v>30895</v>
      </c>
      <c r="K315" s="279">
        <f t="shared" si="201"/>
        <v>30895</v>
      </c>
      <c r="L315" s="279">
        <f t="shared" si="201"/>
        <v>30895</v>
      </c>
      <c r="M315" s="279">
        <f t="shared" si="201"/>
        <v>30895</v>
      </c>
      <c r="N315" s="279">
        <f t="shared" si="201"/>
        <v>30895</v>
      </c>
      <c r="O315" s="279">
        <f t="shared" si="201"/>
        <v>30895</v>
      </c>
      <c r="P315" s="279">
        <f t="shared" si="201"/>
        <v>30895</v>
      </c>
      <c r="Q315" s="279">
        <f t="shared" si="201"/>
        <v>30895</v>
      </c>
      <c r="R315" s="279">
        <f t="shared" si="201"/>
        <v>30895</v>
      </c>
      <c r="S315" s="279">
        <f t="shared" si="201"/>
        <v>30895</v>
      </c>
      <c r="T315" s="279">
        <f t="shared" si="201"/>
        <v>30895</v>
      </c>
      <c r="U315" s="279">
        <f t="shared" si="201"/>
        <v>30895</v>
      </c>
      <c r="V315" s="280">
        <f t="shared" si="176"/>
        <v>0</v>
      </c>
      <c r="W315" s="281">
        <f t="shared" si="177"/>
        <v>0</v>
      </c>
    </row>
    <row r="316" spans="1:23">
      <c r="A316" s="324" t="s">
        <v>679</v>
      </c>
      <c r="B316" s="204" t="s">
        <v>741</v>
      </c>
      <c r="C316" s="215" t="s">
        <v>742</v>
      </c>
      <c r="D316" s="225" t="s">
        <v>108</v>
      </c>
      <c r="E316" s="225" t="s">
        <v>84</v>
      </c>
      <c r="F316" s="277" t="str">
        <f>IFERROR((VLOOKUP(E316,'MEMORANDOS E IPC 2023 Y 2024'!$A$1:$C$20,3,0)),"0")</f>
        <v>0</v>
      </c>
      <c r="G316" s="209">
        <v>30895</v>
      </c>
      <c r="H316" s="279">
        <f t="shared" si="201"/>
        <v>30895</v>
      </c>
      <c r="I316" s="279">
        <f t="shared" si="201"/>
        <v>30895</v>
      </c>
      <c r="J316" s="279">
        <f t="shared" si="201"/>
        <v>30895</v>
      </c>
      <c r="K316" s="279">
        <f t="shared" si="201"/>
        <v>30895</v>
      </c>
      <c r="L316" s="279">
        <f t="shared" si="201"/>
        <v>30895</v>
      </c>
      <c r="M316" s="279">
        <f t="shared" si="201"/>
        <v>30895</v>
      </c>
      <c r="N316" s="279">
        <f t="shared" si="201"/>
        <v>30895</v>
      </c>
      <c r="O316" s="279">
        <f t="shared" si="201"/>
        <v>30895</v>
      </c>
      <c r="P316" s="279">
        <f t="shared" si="201"/>
        <v>30895</v>
      </c>
      <c r="Q316" s="279">
        <f t="shared" si="201"/>
        <v>30895</v>
      </c>
      <c r="R316" s="279">
        <f t="shared" si="201"/>
        <v>30895</v>
      </c>
      <c r="S316" s="279">
        <f t="shared" si="201"/>
        <v>30895</v>
      </c>
      <c r="T316" s="279">
        <f t="shared" si="201"/>
        <v>30895</v>
      </c>
      <c r="U316" s="279">
        <f t="shared" si="201"/>
        <v>30895</v>
      </c>
      <c r="V316" s="280">
        <f t="shared" si="176"/>
        <v>0</v>
      </c>
      <c r="W316" s="281">
        <f t="shared" si="177"/>
        <v>0</v>
      </c>
    </row>
    <row r="317" spans="1:23">
      <c r="A317" s="324" t="s">
        <v>679</v>
      </c>
      <c r="B317" s="204" t="s">
        <v>743</v>
      </c>
      <c r="C317" s="215" t="s">
        <v>744</v>
      </c>
      <c r="D317" s="225" t="s">
        <v>108</v>
      </c>
      <c r="E317" s="225" t="s">
        <v>84</v>
      </c>
      <c r="F317" s="277" t="str">
        <f>IFERROR((VLOOKUP(E317,'MEMORANDOS E IPC 2023 Y 2024'!$A$1:$C$20,3,0)),"0")</f>
        <v>0</v>
      </c>
      <c r="G317" s="209">
        <v>78474</v>
      </c>
      <c r="H317" s="279">
        <f t="shared" si="201"/>
        <v>78474</v>
      </c>
      <c r="I317" s="279">
        <f t="shared" si="201"/>
        <v>78474</v>
      </c>
      <c r="J317" s="279">
        <f t="shared" si="201"/>
        <v>78474</v>
      </c>
      <c r="K317" s="279">
        <f t="shared" si="201"/>
        <v>78474</v>
      </c>
      <c r="L317" s="279">
        <f t="shared" si="201"/>
        <v>78474</v>
      </c>
      <c r="M317" s="279">
        <f t="shared" si="201"/>
        <v>78474</v>
      </c>
      <c r="N317" s="279">
        <f t="shared" si="201"/>
        <v>78474</v>
      </c>
      <c r="O317" s="279">
        <f t="shared" si="201"/>
        <v>78474</v>
      </c>
      <c r="P317" s="279">
        <f t="shared" si="201"/>
        <v>78474</v>
      </c>
      <c r="Q317" s="279">
        <f t="shared" si="201"/>
        <v>78474</v>
      </c>
      <c r="R317" s="279">
        <f t="shared" si="201"/>
        <v>78474</v>
      </c>
      <c r="S317" s="279">
        <f t="shared" si="201"/>
        <v>78474</v>
      </c>
      <c r="T317" s="279">
        <f t="shared" si="201"/>
        <v>78474</v>
      </c>
      <c r="U317" s="279">
        <f t="shared" si="201"/>
        <v>78474</v>
      </c>
      <c r="V317" s="280">
        <f t="shared" si="176"/>
        <v>0</v>
      </c>
      <c r="W317" s="281">
        <f t="shared" si="177"/>
        <v>0</v>
      </c>
    </row>
    <row r="318" spans="1:23">
      <c r="A318" s="324" t="s">
        <v>679</v>
      </c>
      <c r="B318" s="204" t="s">
        <v>745</v>
      </c>
      <c r="C318" s="215" t="s">
        <v>746</v>
      </c>
      <c r="D318" s="225" t="s">
        <v>108</v>
      </c>
      <c r="E318" s="225" t="s">
        <v>84</v>
      </c>
      <c r="F318" s="277" t="str">
        <f>IFERROR((VLOOKUP(E318,'MEMORANDOS E IPC 2023 Y 2024'!$A$1:$C$20,3,0)),"0")</f>
        <v>0</v>
      </c>
      <c r="G318" s="209">
        <v>83541</v>
      </c>
      <c r="H318" s="279">
        <f t="shared" si="201"/>
        <v>83541</v>
      </c>
      <c r="I318" s="279">
        <f t="shared" si="201"/>
        <v>83541</v>
      </c>
      <c r="J318" s="279">
        <f t="shared" si="201"/>
        <v>83541</v>
      </c>
      <c r="K318" s="279">
        <f t="shared" si="201"/>
        <v>83541</v>
      </c>
      <c r="L318" s="279">
        <f t="shared" si="201"/>
        <v>83541</v>
      </c>
      <c r="M318" s="279">
        <f t="shared" si="201"/>
        <v>83541</v>
      </c>
      <c r="N318" s="279">
        <f t="shared" si="201"/>
        <v>83541</v>
      </c>
      <c r="O318" s="279">
        <f t="shared" si="201"/>
        <v>83541</v>
      </c>
      <c r="P318" s="279">
        <f t="shared" si="201"/>
        <v>83541</v>
      </c>
      <c r="Q318" s="279">
        <f t="shared" si="201"/>
        <v>83541</v>
      </c>
      <c r="R318" s="279">
        <f t="shared" si="201"/>
        <v>83541</v>
      </c>
      <c r="S318" s="279">
        <f t="shared" si="201"/>
        <v>83541</v>
      </c>
      <c r="T318" s="279">
        <f t="shared" si="201"/>
        <v>83541</v>
      </c>
      <c r="U318" s="279">
        <f t="shared" si="201"/>
        <v>83541</v>
      </c>
      <c r="V318" s="280">
        <f t="shared" si="176"/>
        <v>0</v>
      </c>
      <c r="W318" s="281">
        <f t="shared" si="177"/>
        <v>0</v>
      </c>
    </row>
    <row r="319" spans="1:23">
      <c r="A319" s="324" t="s">
        <v>679</v>
      </c>
      <c r="B319" s="76" t="s">
        <v>747</v>
      </c>
      <c r="C319" s="215" t="s">
        <v>748</v>
      </c>
      <c r="D319" s="223" t="s">
        <v>108</v>
      </c>
      <c r="E319" s="223" t="s">
        <v>84</v>
      </c>
      <c r="F319" s="277" t="str">
        <f>IFERROR((VLOOKUP(E319,'MEMORANDOS E IPC 2023 Y 2024'!$A$1:$C$20,3,0)),"0")</f>
        <v>0</v>
      </c>
      <c r="G319" s="209">
        <v>30057</v>
      </c>
      <c r="H319" s="279">
        <f t="shared" si="201"/>
        <v>30057</v>
      </c>
      <c r="I319" s="279">
        <f t="shared" si="201"/>
        <v>30057</v>
      </c>
      <c r="J319" s="279">
        <f t="shared" si="201"/>
        <v>30057</v>
      </c>
      <c r="K319" s="279">
        <f t="shared" si="201"/>
        <v>30057</v>
      </c>
      <c r="L319" s="279">
        <f t="shared" si="201"/>
        <v>30057</v>
      </c>
      <c r="M319" s="279">
        <f t="shared" si="201"/>
        <v>30057</v>
      </c>
      <c r="N319" s="279">
        <f t="shared" si="201"/>
        <v>30057</v>
      </c>
      <c r="O319" s="279">
        <f t="shared" si="201"/>
        <v>30057</v>
      </c>
      <c r="P319" s="279">
        <f t="shared" si="201"/>
        <v>30057</v>
      </c>
      <c r="Q319" s="279">
        <f t="shared" si="201"/>
        <v>30057</v>
      </c>
      <c r="R319" s="279">
        <f t="shared" si="201"/>
        <v>30057</v>
      </c>
      <c r="S319" s="279">
        <f t="shared" si="201"/>
        <v>30057</v>
      </c>
      <c r="T319" s="279">
        <f t="shared" si="201"/>
        <v>30057</v>
      </c>
      <c r="U319" s="279">
        <f t="shared" si="201"/>
        <v>30057</v>
      </c>
      <c r="V319" s="280">
        <f t="shared" si="176"/>
        <v>0</v>
      </c>
      <c r="W319" s="281">
        <f t="shared" si="177"/>
        <v>0</v>
      </c>
    </row>
    <row r="320" spans="1:23">
      <c r="A320" s="324"/>
      <c r="B320" s="76" t="s">
        <v>749</v>
      </c>
      <c r="C320" s="215" t="s">
        <v>750</v>
      </c>
      <c r="D320" s="223" t="s">
        <v>108</v>
      </c>
      <c r="E320" s="223" t="s">
        <v>46</v>
      </c>
      <c r="F320" s="277">
        <f>IFERROR((VLOOKUP(E320,'MEMORANDOS E IPC 2023 Y 2024'!$A$1:$C$20,3,0)),"0")</f>
        <v>45117</v>
      </c>
      <c r="G320" s="209">
        <v>23439</v>
      </c>
      <c r="H320" s="285">
        <f>G320</f>
        <v>23439</v>
      </c>
      <c r="I320" s="285">
        <f t="shared" ref="I320:L322" si="202">H320</f>
        <v>23439</v>
      </c>
      <c r="J320" s="285">
        <f t="shared" si="202"/>
        <v>23439</v>
      </c>
      <c r="K320" s="285">
        <f t="shared" si="202"/>
        <v>23439</v>
      </c>
      <c r="L320" s="285">
        <f t="shared" si="202"/>
        <v>23439</v>
      </c>
      <c r="M320" s="279">
        <f t="shared" ref="M320:U322" si="203">IF(($F320="0"),$F320,(ROUNDDOWN((L320*(1+(M$4/100))),0)))</f>
        <v>23603</v>
      </c>
      <c r="N320" s="279">
        <f t="shared" si="203"/>
        <v>23730</v>
      </c>
      <c r="O320" s="279">
        <f t="shared" si="203"/>
        <v>23789</v>
      </c>
      <c r="P320" s="279">
        <f t="shared" si="203"/>
        <v>23900</v>
      </c>
      <c r="Q320" s="279">
        <f t="shared" si="203"/>
        <v>24007</v>
      </c>
      <c r="R320" s="279">
        <f t="shared" si="203"/>
        <v>24227</v>
      </c>
      <c r="S320" s="279">
        <f t="shared" si="203"/>
        <v>24491</v>
      </c>
      <c r="T320" s="279">
        <f t="shared" si="203"/>
        <v>24662</v>
      </c>
      <c r="U320" s="279">
        <f t="shared" si="203"/>
        <v>24807</v>
      </c>
      <c r="V320" s="280">
        <f t="shared" si="176"/>
        <v>1368</v>
      </c>
      <c r="W320" s="281">
        <f t="shared" si="177"/>
        <v>5.8364264687060026E-2</v>
      </c>
    </row>
    <row r="321" spans="1:23" ht="63.75">
      <c r="A321" s="324" t="s">
        <v>679</v>
      </c>
      <c r="B321" s="230" t="s">
        <v>751</v>
      </c>
      <c r="C321" s="1" t="s">
        <v>752</v>
      </c>
      <c r="D321" s="76" t="s">
        <v>753</v>
      </c>
      <c r="E321" s="77" t="s">
        <v>46</v>
      </c>
      <c r="F321" s="277">
        <f>IFERROR((VLOOKUP(E321,'MEMORANDOS E IPC 2023 Y 2024'!$A$1:$C$20,3,0)),"0")</f>
        <v>45117</v>
      </c>
      <c r="G321" s="209">
        <v>8056</v>
      </c>
      <c r="H321" s="285">
        <f>G321</f>
        <v>8056</v>
      </c>
      <c r="I321" s="285">
        <f t="shared" si="202"/>
        <v>8056</v>
      </c>
      <c r="J321" s="285">
        <f t="shared" si="202"/>
        <v>8056</v>
      </c>
      <c r="K321" s="285">
        <f t="shared" si="202"/>
        <v>8056</v>
      </c>
      <c r="L321" s="285">
        <f t="shared" si="202"/>
        <v>8056</v>
      </c>
      <c r="M321" s="279">
        <f t="shared" si="203"/>
        <v>8112</v>
      </c>
      <c r="N321" s="279">
        <f t="shared" si="203"/>
        <v>8155</v>
      </c>
      <c r="O321" s="279">
        <f t="shared" si="203"/>
        <v>8175</v>
      </c>
      <c r="P321" s="279">
        <f t="shared" si="203"/>
        <v>8213</v>
      </c>
      <c r="Q321" s="279">
        <f t="shared" si="203"/>
        <v>8249</v>
      </c>
      <c r="R321" s="279">
        <f t="shared" si="203"/>
        <v>8324</v>
      </c>
      <c r="S321" s="279">
        <f t="shared" si="203"/>
        <v>8414</v>
      </c>
      <c r="T321" s="279">
        <f t="shared" si="203"/>
        <v>8472</v>
      </c>
      <c r="U321" s="279">
        <f t="shared" si="203"/>
        <v>8521</v>
      </c>
      <c r="V321" s="280">
        <f t="shared" si="176"/>
        <v>465</v>
      </c>
      <c r="W321" s="281">
        <f t="shared" si="177"/>
        <v>5.7720953326713009E-2</v>
      </c>
    </row>
    <row r="322" spans="1:23" ht="63.75">
      <c r="A322" s="324" t="s">
        <v>679</v>
      </c>
      <c r="B322" s="230" t="s">
        <v>751</v>
      </c>
      <c r="C322" s="1" t="s">
        <v>754</v>
      </c>
      <c r="D322" s="76" t="s">
        <v>753</v>
      </c>
      <c r="E322" s="77" t="s">
        <v>46</v>
      </c>
      <c r="F322" s="277">
        <f>IFERROR((VLOOKUP(E322,'MEMORANDOS E IPC 2023 Y 2024'!$A$1:$C$20,3,0)),"0")</f>
        <v>45117</v>
      </c>
      <c r="G322" s="209">
        <v>8056</v>
      </c>
      <c r="H322" s="285">
        <f>G322</f>
        <v>8056</v>
      </c>
      <c r="I322" s="285">
        <f t="shared" si="202"/>
        <v>8056</v>
      </c>
      <c r="J322" s="285">
        <f t="shared" si="202"/>
        <v>8056</v>
      </c>
      <c r="K322" s="285">
        <f t="shared" si="202"/>
        <v>8056</v>
      </c>
      <c r="L322" s="285">
        <f t="shared" si="202"/>
        <v>8056</v>
      </c>
      <c r="M322" s="279">
        <f t="shared" si="203"/>
        <v>8112</v>
      </c>
      <c r="N322" s="279">
        <f t="shared" si="203"/>
        <v>8155</v>
      </c>
      <c r="O322" s="279">
        <f t="shared" si="203"/>
        <v>8175</v>
      </c>
      <c r="P322" s="279">
        <f t="shared" si="203"/>
        <v>8213</v>
      </c>
      <c r="Q322" s="279">
        <f t="shared" si="203"/>
        <v>8249</v>
      </c>
      <c r="R322" s="279">
        <f t="shared" si="203"/>
        <v>8324</v>
      </c>
      <c r="S322" s="279">
        <f t="shared" si="203"/>
        <v>8414</v>
      </c>
      <c r="T322" s="279">
        <f t="shared" si="203"/>
        <v>8472</v>
      </c>
      <c r="U322" s="279">
        <f t="shared" si="203"/>
        <v>8521</v>
      </c>
      <c r="V322" s="280">
        <f t="shared" si="176"/>
        <v>465</v>
      </c>
      <c r="W322" s="281">
        <f t="shared" si="177"/>
        <v>5.7720953326713009E-2</v>
      </c>
    </row>
    <row r="323" spans="1:23">
      <c r="A323" s="324" t="s">
        <v>679</v>
      </c>
      <c r="B323" s="204" t="s">
        <v>755</v>
      </c>
      <c r="C323" s="215" t="s">
        <v>756</v>
      </c>
      <c r="D323" s="225" t="s">
        <v>108</v>
      </c>
      <c r="E323" s="225" t="s">
        <v>84</v>
      </c>
      <c r="F323" s="277" t="str">
        <f>IFERROR((VLOOKUP(E323,'MEMORANDOS E IPC 2023 Y 2024'!$A$1:$C$20,3,0)),"0")</f>
        <v>0</v>
      </c>
      <c r="G323" s="209">
        <v>40493</v>
      </c>
      <c r="H323" s="279">
        <f t="shared" ref="H323:U330" si="204">IF(($F323="0"),$G323,(ROUNDDOWN((G323*(1+(H$4/100))),0)))</f>
        <v>40493</v>
      </c>
      <c r="I323" s="279">
        <f t="shared" si="204"/>
        <v>40493</v>
      </c>
      <c r="J323" s="279">
        <f t="shared" si="204"/>
        <v>40493</v>
      </c>
      <c r="K323" s="279">
        <f t="shared" si="204"/>
        <v>40493</v>
      </c>
      <c r="L323" s="279">
        <f t="shared" si="204"/>
        <v>40493</v>
      </c>
      <c r="M323" s="279">
        <f t="shared" si="204"/>
        <v>40493</v>
      </c>
      <c r="N323" s="279">
        <f t="shared" si="204"/>
        <v>40493</v>
      </c>
      <c r="O323" s="279">
        <f t="shared" si="204"/>
        <v>40493</v>
      </c>
      <c r="P323" s="279">
        <f t="shared" si="204"/>
        <v>40493</v>
      </c>
      <c r="Q323" s="279">
        <f t="shared" si="204"/>
        <v>40493</v>
      </c>
      <c r="R323" s="279">
        <f t="shared" si="204"/>
        <v>40493</v>
      </c>
      <c r="S323" s="279">
        <f t="shared" si="204"/>
        <v>40493</v>
      </c>
      <c r="T323" s="279">
        <f t="shared" si="204"/>
        <v>40493</v>
      </c>
      <c r="U323" s="279">
        <f t="shared" si="204"/>
        <v>40493</v>
      </c>
      <c r="V323" s="280">
        <f t="shared" si="176"/>
        <v>0</v>
      </c>
      <c r="W323" s="281">
        <f t="shared" si="177"/>
        <v>0</v>
      </c>
    </row>
    <row r="324" spans="1:23">
      <c r="A324" s="324" t="s">
        <v>679</v>
      </c>
      <c r="B324" s="204" t="s">
        <v>757</v>
      </c>
      <c r="C324" s="215" t="s">
        <v>758</v>
      </c>
      <c r="D324" s="225" t="s">
        <v>99</v>
      </c>
      <c r="E324" s="225" t="s">
        <v>84</v>
      </c>
      <c r="F324" s="277" t="str">
        <f>IFERROR((VLOOKUP(E324,'MEMORANDOS E IPC 2023 Y 2024'!$A$1:$C$20,3,0)),"0")</f>
        <v>0</v>
      </c>
      <c r="G324" s="209">
        <v>74936</v>
      </c>
      <c r="H324" s="279">
        <f t="shared" si="204"/>
        <v>74936</v>
      </c>
      <c r="I324" s="279">
        <f t="shared" si="204"/>
        <v>74936</v>
      </c>
      <c r="J324" s="279">
        <f t="shared" si="204"/>
        <v>74936</v>
      </c>
      <c r="K324" s="279">
        <f t="shared" si="204"/>
        <v>74936</v>
      </c>
      <c r="L324" s="279">
        <f t="shared" si="204"/>
        <v>74936</v>
      </c>
      <c r="M324" s="279">
        <f t="shared" si="204"/>
        <v>74936</v>
      </c>
      <c r="N324" s="279">
        <f t="shared" si="204"/>
        <v>74936</v>
      </c>
      <c r="O324" s="279">
        <f t="shared" si="204"/>
        <v>74936</v>
      </c>
      <c r="P324" s="279">
        <f t="shared" si="204"/>
        <v>74936</v>
      </c>
      <c r="Q324" s="279">
        <f t="shared" si="204"/>
        <v>74936</v>
      </c>
      <c r="R324" s="279">
        <f t="shared" si="204"/>
        <v>74936</v>
      </c>
      <c r="S324" s="279">
        <f t="shared" si="204"/>
        <v>74936</v>
      </c>
      <c r="T324" s="279">
        <f t="shared" si="204"/>
        <v>74936</v>
      </c>
      <c r="U324" s="279">
        <f t="shared" si="204"/>
        <v>74936</v>
      </c>
      <c r="V324" s="280">
        <f t="shared" si="176"/>
        <v>0</v>
      </c>
      <c r="W324" s="281">
        <f t="shared" si="177"/>
        <v>0</v>
      </c>
    </row>
    <row r="325" spans="1:23" ht="140.25">
      <c r="A325" s="324" t="s">
        <v>679</v>
      </c>
      <c r="B325" s="76" t="s">
        <v>759</v>
      </c>
      <c r="C325" s="229" t="s">
        <v>760</v>
      </c>
      <c r="D325" s="223" t="s">
        <v>761</v>
      </c>
      <c r="E325" s="223" t="s">
        <v>84</v>
      </c>
      <c r="F325" s="277" t="str">
        <f>IFERROR((VLOOKUP(E325,'MEMORANDOS E IPC 2023 Y 2024'!$A$1:$C$20,3,0)),"0")</f>
        <v>0</v>
      </c>
      <c r="G325" s="209">
        <v>179193</v>
      </c>
      <c r="H325" s="279">
        <f t="shared" si="204"/>
        <v>179193</v>
      </c>
      <c r="I325" s="279">
        <f t="shared" si="204"/>
        <v>179193</v>
      </c>
      <c r="J325" s="279">
        <f t="shared" si="204"/>
        <v>179193</v>
      </c>
      <c r="K325" s="279">
        <f t="shared" si="204"/>
        <v>179193</v>
      </c>
      <c r="L325" s="279">
        <f t="shared" si="204"/>
        <v>179193</v>
      </c>
      <c r="M325" s="279">
        <f t="shared" si="204"/>
        <v>179193</v>
      </c>
      <c r="N325" s="279">
        <f t="shared" si="204"/>
        <v>179193</v>
      </c>
      <c r="O325" s="279">
        <f t="shared" si="204"/>
        <v>179193</v>
      </c>
      <c r="P325" s="279">
        <f t="shared" si="204"/>
        <v>179193</v>
      </c>
      <c r="Q325" s="279">
        <f t="shared" si="204"/>
        <v>179193</v>
      </c>
      <c r="R325" s="279">
        <f t="shared" si="204"/>
        <v>179193</v>
      </c>
      <c r="S325" s="279">
        <f t="shared" si="204"/>
        <v>179193</v>
      </c>
      <c r="T325" s="279">
        <f t="shared" si="204"/>
        <v>179193</v>
      </c>
      <c r="U325" s="279">
        <f t="shared" si="204"/>
        <v>179193</v>
      </c>
      <c r="V325" s="280">
        <f t="shared" si="176"/>
        <v>0</v>
      </c>
      <c r="W325" s="281">
        <f t="shared" si="177"/>
        <v>0</v>
      </c>
    </row>
    <row r="326" spans="1:23">
      <c r="A326" s="324" t="s">
        <v>679</v>
      </c>
      <c r="B326" s="204" t="s">
        <v>762</v>
      </c>
      <c r="C326" s="225"/>
      <c r="D326" s="329" t="s">
        <v>108</v>
      </c>
      <c r="E326" s="329" t="s">
        <v>84</v>
      </c>
      <c r="F326" s="277" t="str">
        <f>IFERROR((VLOOKUP(E326,'MEMORANDOS E IPC 2023 Y 2024'!$A$1:$C$20,3,0)),"0")</f>
        <v>0</v>
      </c>
      <c r="G326" s="209">
        <v>51904</v>
      </c>
      <c r="H326" s="279">
        <f t="shared" si="204"/>
        <v>51904</v>
      </c>
      <c r="I326" s="279">
        <f t="shared" si="204"/>
        <v>51904</v>
      </c>
      <c r="J326" s="279">
        <f t="shared" si="204"/>
        <v>51904</v>
      </c>
      <c r="K326" s="279">
        <f t="shared" si="204"/>
        <v>51904</v>
      </c>
      <c r="L326" s="279">
        <f t="shared" si="204"/>
        <v>51904</v>
      </c>
      <c r="M326" s="279">
        <f t="shared" si="204"/>
        <v>51904</v>
      </c>
      <c r="N326" s="279">
        <f t="shared" si="204"/>
        <v>51904</v>
      </c>
      <c r="O326" s="279">
        <f t="shared" si="204"/>
        <v>51904</v>
      </c>
      <c r="P326" s="279">
        <f t="shared" si="204"/>
        <v>51904</v>
      </c>
      <c r="Q326" s="279">
        <f t="shared" si="204"/>
        <v>51904</v>
      </c>
      <c r="R326" s="279">
        <f t="shared" si="204"/>
        <v>51904</v>
      </c>
      <c r="S326" s="279">
        <f t="shared" si="204"/>
        <v>51904</v>
      </c>
      <c r="T326" s="279">
        <f t="shared" si="204"/>
        <v>51904</v>
      </c>
      <c r="U326" s="279">
        <f t="shared" si="204"/>
        <v>51904</v>
      </c>
      <c r="V326" s="280">
        <f t="shared" si="176"/>
        <v>0</v>
      </c>
      <c r="W326" s="281">
        <f t="shared" si="177"/>
        <v>0</v>
      </c>
    </row>
    <row r="327" spans="1:23" ht="25.5">
      <c r="A327" s="324" t="s">
        <v>679</v>
      </c>
      <c r="B327" s="1" t="s">
        <v>763</v>
      </c>
      <c r="C327" s="173" t="s">
        <v>764</v>
      </c>
      <c r="D327" s="223" t="s">
        <v>108</v>
      </c>
      <c r="E327" s="223" t="s">
        <v>84</v>
      </c>
      <c r="F327" s="277" t="str">
        <f>IFERROR((VLOOKUP(E327,'MEMORANDOS E IPC 2023 Y 2024'!$A$1:$C$20,3,0)),"0")</f>
        <v>0</v>
      </c>
      <c r="G327" s="209">
        <v>147062</v>
      </c>
      <c r="H327" s="279">
        <f t="shared" si="204"/>
        <v>147062</v>
      </c>
      <c r="I327" s="279">
        <f t="shared" si="204"/>
        <v>147062</v>
      </c>
      <c r="J327" s="279">
        <f t="shared" si="204"/>
        <v>147062</v>
      </c>
      <c r="K327" s="279">
        <f t="shared" si="204"/>
        <v>147062</v>
      </c>
      <c r="L327" s="279">
        <f t="shared" si="204"/>
        <v>147062</v>
      </c>
      <c r="M327" s="279">
        <f t="shared" si="204"/>
        <v>147062</v>
      </c>
      <c r="N327" s="279">
        <f t="shared" si="204"/>
        <v>147062</v>
      </c>
      <c r="O327" s="279">
        <f t="shared" si="204"/>
        <v>147062</v>
      </c>
      <c r="P327" s="279">
        <f t="shared" si="204"/>
        <v>147062</v>
      </c>
      <c r="Q327" s="279">
        <f t="shared" si="204"/>
        <v>147062</v>
      </c>
      <c r="R327" s="279">
        <f t="shared" si="204"/>
        <v>147062</v>
      </c>
      <c r="S327" s="279">
        <f t="shared" si="204"/>
        <v>147062</v>
      </c>
      <c r="T327" s="279">
        <f t="shared" si="204"/>
        <v>147062</v>
      </c>
      <c r="U327" s="279">
        <f t="shared" si="204"/>
        <v>147062</v>
      </c>
      <c r="V327" s="280">
        <f t="shared" si="176"/>
        <v>0</v>
      </c>
      <c r="W327" s="281">
        <f t="shared" si="177"/>
        <v>0</v>
      </c>
    </row>
    <row r="328" spans="1:23">
      <c r="A328" s="324" t="s">
        <v>679</v>
      </c>
      <c r="B328" s="76" t="s">
        <v>765</v>
      </c>
      <c r="C328" s="173" t="s">
        <v>766</v>
      </c>
      <c r="D328" s="223" t="s">
        <v>767</v>
      </c>
      <c r="E328" s="223" t="s">
        <v>84</v>
      </c>
      <c r="F328" s="277" t="str">
        <f>IFERROR((VLOOKUP(E328,'MEMORANDOS E IPC 2023 Y 2024'!$A$1:$C$20,3,0)),"0")</f>
        <v>0</v>
      </c>
      <c r="G328" s="209">
        <v>7697</v>
      </c>
      <c r="H328" s="279">
        <f t="shared" si="204"/>
        <v>7697</v>
      </c>
      <c r="I328" s="279">
        <f t="shared" si="204"/>
        <v>7697</v>
      </c>
      <c r="J328" s="279">
        <f t="shared" si="204"/>
        <v>7697</v>
      </c>
      <c r="K328" s="279">
        <f t="shared" si="204"/>
        <v>7697</v>
      </c>
      <c r="L328" s="279">
        <f t="shared" si="204"/>
        <v>7697</v>
      </c>
      <c r="M328" s="279">
        <f t="shared" si="204"/>
        <v>7697</v>
      </c>
      <c r="N328" s="279">
        <f t="shared" si="204"/>
        <v>7697</v>
      </c>
      <c r="O328" s="279">
        <f t="shared" si="204"/>
        <v>7697</v>
      </c>
      <c r="P328" s="279">
        <f t="shared" si="204"/>
        <v>7697</v>
      </c>
      <c r="Q328" s="279">
        <f t="shared" si="204"/>
        <v>7697</v>
      </c>
      <c r="R328" s="279">
        <f t="shared" si="204"/>
        <v>7697</v>
      </c>
      <c r="S328" s="279">
        <f t="shared" si="204"/>
        <v>7697</v>
      </c>
      <c r="T328" s="279">
        <f t="shared" si="204"/>
        <v>7697</v>
      </c>
      <c r="U328" s="279">
        <f t="shared" si="204"/>
        <v>7697</v>
      </c>
      <c r="V328" s="280">
        <f t="shared" si="176"/>
        <v>0</v>
      </c>
      <c r="W328" s="281">
        <f t="shared" si="177"/>
        <v>0</v>
      </c>
    </row>
    <row r="329" spans="1:23">
      <c r="A329" s="324" t="s">
        <v>679</v>
      </c>
      <c r="B329" s="76" t="s">
        <v>768</v>
      </c>
      <c r="C329" s="215" t="s">
        <v>769</v>
      </c>
      <c r="D329" s="328" t="s">
        <v>718</v>
      </c>
      <c r="E329" s="328" t="s">
        <v>84</v>
      </c>
      <c r="F329" s="277" t="str">
        <f>IFERROR((VLOOKUP(E329,'MEMORANDOS E IPC 2023 Y 2024'!$A$1:$C$20,3,0)),"0")</f>
        <v>0</v>
      </c>
      <c r="G329" s="209">
        <v>62310</v>
      </c>
      <c r="H329" s="279">
        <f t="shared" si="204"/>
        <v>62310</v>
      </c>
      <c r="I329" s="279">
        <f t="shared" si="204"/>
        <v>62310</v>
      </c>
      <c r="J329" s="279">
        <f t="shared" si="204"/>
        <v>62310</v>
      </c>
      <c r="K329" s="279">
        <f t="shared" si="204"/>
        <v>62310</v>
      </c>
      <c r="L329" s="279">
        <f t="shared" si="204"/>
        <v>62310</v>
      </c>
      <c r="M329" s="279">
        <f t="shared" si="204"/>
        <v>62310</v>
      </c>
      <c r="N329" s="279">
        <f t="shared" si="204"/>
        <v>62310</v>
      </c>
      <c r="O329" s="279">
        <f t="shared" si="204"/>
        <v>62310</v>
      </c>
      <c r="P329" s="279">
        <f t="shared" si="204"/>
        <v>62310</v>
      </c>
      <c r="Q329" s="279">
        <f t="shared" si="204"/>
        <v>62310</v>
      </c>
      <c r="R329" s="279">
        <f t="shared" si="204"/>
        <v>62310</v>
      </c>
      <c r="S329" s="279">
        <f t="shared" si="204"/>
        <v>62310</v>
      </c>
      <c r="T329" s="279">
        <f t="shared" si="204"/>
        <v>62310</v>
      </c>
      <c r="U329" s="279">
        <f t="shared" si="204"/>
        <v>62310</v>
      </c>
      <c r="V329" s="280">
        <f t="shared" si="176"/>
        <v>0</v>
      </c>
      <c r="W329" s="281">
        <f t="shared" si="177"/>
        <v>0</v>
      </c>
    </row>
    <row r="330" spans="1:23" ht="25.5">
      <c r="A330" s="324" t="s">
        <v>679</v>
      </c>
      <c r="B330" s="230" t="s">
        <v>770</v>
      </c>
      <c r="C330" s="220" t="s">
        <v>771</v>
      </c>
      <c r="D330" s="117" t="s">
        <v>465</v>
      </c>
      <c r="E330" s="223" t="s">
        <v>84</v>
      </c>
      <c r="F330" s="277" t="str">
        <f>IFERROR((VLOOKUP(E330,'MEMORANDOS E IPC 2023 Y 2024'!$A$1:$C$20,3,0)),"0")</f>
        <v>0</v>
      </c>
      <c r="G330" s="233">
        <v>15533</v>
      </c>
      <c r="H330" s="279">
        <f t="shared" si="204"/>
        <v>15533</v>
      </c>
      <c r="I330" s="279">
        <f t="shared" si="204"/>
        <v>15533</v>
      </c>
      <c r="J330" s="279">
        <f t="shared" si="204"/>
        <v>15533</v>
      </c>
      <c r="K330" s="279">
        <f t="shared" si="204"/>
        <v>15533</v>
      </c>
      <c r="L330" s="279">
        <f t="shared" si="204"/>
        <v>15533</v>
      </c>
      <c r="M330" s="279">
        <f t="shared" si="204"/>
        <v>15533</v>
      </c>
      <c r="N330" s="279">
        <f t="shared" si="204"/>
        <v>15533</v>
      </c>
      <c r="O330" s="279">
        <f t="shared" si="204"/>
        <v>15533</v>
      </c>
      <c r="P330" s="279">
        <f t="shared" si="204"/>
        <v>15533</v>
      </c>
      <c r="Q330" s="279">
        <f t="shared" si="204"/>
        <v>15533</v>
      </c>
      <c r="R330" s="279">
        <f t="shared" si="204"/>
        <v>15533</v>
      </c>
      <c r="S330" s="279">
        <f t="shared" si="204"/>
        <v>15533</v>
      </c>
      <c r="T330" s="279">
        <f t="shared" si="204"/>
        <v>15533</v>
      </c>
      <c r="U330" s="279">
        <f t="shared" si="204"/>
        <v>15533</v>
      </c>
      <c r="V330" s="280">
        <f t="shared" si="176"/>
        <v>0</v>
      </c>
      <c r="W330" s="281">
        <f t="shared" si="177"/>
        <v>0</v>
      </c>
    </row>
    <row r="331" spans="1:23" ht="38.25">
      <c r="A331" s="324" t="s">
        <v>679</v>
      </c>
      <c r="B331" s="1" t="s">
        <v>772</v>
      </c>
      <c r="C331" s="220" t="s">
        <v>773</v>
      </c>
      <c r="D331" s="117" t="s">
        <v>124</v>
      </c>
      <c r="E331" s="1" t="s">
        <v>36</v>
      </c>
      <c r="F331" s="277">
        <f>IFERROR((VLOOKUP(E331,'MEMORANDOS E IPC 2023 Y 2024'!$A$1:$C$20,3,0)),"0")</f>
        <v>44974</v>
      </c>
      <c r="G331" s="233">
        <v>59564</v>
      </c>
      <c r="H331" s="279">
        <f>IF(($F331="0"),$F331,(ROUNDDOWN((G331*(1+(H$4/100))),0)))</f>
        <v>60189</v>
      </c>
      <c r="I331" s="279">
        <f t="shared" ref="I331:U331" si="205">IF(($F331="0"),$F331,(ROUNDDOWN((H331*(1+(I$4/100))),0)))</f>
        <v>60658</v>
      </c>
      <c r="J331" s="279">
        <f t="shared" si="205"/>
        <v>60918</v>
      </c>
      <c r="K331" s="279">
        <f t="shared" si="205"/>
        <v>61100</v>
      </c>
      <c r="L331" s="279">
        <f t="shared" si="205"/>
        <v>61405</v>
      </c>
      <c r="M331" s="279">
        <f t="shared" si="205"/>
        <v>61834</v>
      </c>
      <c r="N331" s="279">
        <f t="shared" si="205"/>
        <v>62167</v>
      </c>
      <c r="O331" s="279">
        <f t="shared" si="205"/>
        <v>62322</v>
      </c>
      <c r="P331" s="279">
        <f t="shared" si="205"/>
        <v>62614</v>
      </c>
      <c r="Q331" s="279">
        <f t="shared" si="205"/>
        <v>62895</v>
      </c>
      <c r="R331" s="279">
        <f t="shared" si="205"/>
        <v>63473</v>
      </c>
      <c r="S331" s="279">
        <f t="shared" si="205"/>
        <v>64164</v>
      </c>
      <c r="T331" s="279">
        <f t="shared" si="205"/>
        <v>64613</v>
      </c>
      <c r="U331" s="279">
        <f t="shared" si="205"/>
        <v>64994</v>
      </c>
      <c r="V331" s="280">
        <f t="shared" si="176"/>
        <v>5430</v>
      </c>
      <c r="W331" s="281">
        <f t="shared" si="177"/>
        <v>9.1162447115707479E-2</v>
      </c>
    </row>
    <row r="332" spans="1:23">
      <c r="A332" s="324" t="s">
        <v>679</v>
      </c>
      <c r="B332" s="1" t="s">
        <v>774</v>
      </c>
      <c r="C332" s="220" t="s">
        <v>775</v>
      </c>
      <c r="D332" s="118" t="s">
        <v>776</v>
      </c>
      <c r="E332" s="223" t="s">
        <v>84</v>
      </c>
      <c r="F332" s="277" t="str">
        <f>IFERROR((VLOOKUP(E332,'MEMORANDOS E IPC 2023 Y 2024'!$A$1:$C$20,3,0)),"0")</f>
        <v>0</v>
      </c>
      <c r="G332" s="233">
        <v>4402</v>
      </c>
      <c r="H332" s="279">
        <f t="shared" ref="H332:U342" si="206">IF(($F332="0"),$G332,(ROUNDDOWN((G332*(1+(H$4/100))),0)))</f>
        <v>4402</v>
      </c>
      <c r="I332" s="279">
        <f t="shared" si="206"/>
        <v>4402</v>
      </c>
      <c r="J332" s="279">
        <f t="shared" si="206"/>
        <v>4402</v>
      </c>
      <c r="K332" s="279">
        <f t="shared" si="206"/>
        <v>4402</v>
      </c>
      <c r="L332" s="279">
        <f t="shared" si="206"/>
        <v>4402</v>
      </c>
      <c r="M332" s="279">
        <f t="shared" si="206"/>
        <v>4402</v>
      </c>
      <c r="N332" s="279">
        <f t="shared" si="206"/>
        <v>4402</v>
      </c>
      <c r="O332" s="279">
        <f t="shared" si="206"/>
        <v>4402</v>
      </c>
      <c r="P332" s="279">
        <f t="shared" si="206"/>
        <v>4402</v>
      </c>
      <c r="Q332" s="279">
        <f t="shared" si="206"/>
        <v>4402</v>
      </c>
      <c r="R332" s="279">
        <f t="shared" si="206"/>
        <v>4402</v>
      </c>
      <c r="S332" s="279">
        <f t="shared" si="206"/>
        <v>4402</v>
      </c>
      <c r="T332" s="279">
        <f t="shared" si="206"/>
        <v>4402</v>
      </c>
      <c r="U332" s="279">
        <f t="shared" si="206"/>
        <v>4402</v>
      </c>
      <c r="V332" s="280">
        <f t="shared" ref="V332:V394" si="207">U332-G332</f>
        <v>0</v>
      </c>
      <c r="W332" s="281">
        <f t="shared" ref="W332:W394" si="208">V332/G332</f>
        <v>0</v>
      </c>
    </row>
    <row r="333" spans="1:23">
      <c r="A333" s="324" t="s">
        <v>679</v>
      </c>
      <c r="B333" s="1" t="s">
        <v>777</v>
      </c>
      <c r="C333" s="220" t="s">
        <v>778</v>
      </c>
      <c r="D333" s="330" t="s">
        <v>776</v>
      </c>
      <c r="E333" s="223" t="s">
        <v>84</v>
      </c>
      <c r="F333" s="277" t="str">
        <f>IFERROR((VLOOKUP(E333,'MEMORANDOS E IPC 2023 Y 2024'!$A$1:$C$20,3,0)),"0")</f>
        <v>0</v>
      </c>
      <c r="G333" s="233">
        <v>4402</v>
      </c>
      <c r="H333" s="279">
        <f t="shared" si="206"/>
        <v>4402</v>
      </c>
      <c r="I333" s="279">
        <f t="shared" si="206"/>
        <v>4402</v>
      </c>
      <c r="J333" s="279">
        <f t="shared" si="206"/>
        <v>4402</v>
      </c>
      <c r="K333" s="279">
        <f t="shared" si="206"/>
        <v>4402</v>
      </c>
      <c r="L333" s="279">
        <f t="shared" si="206"/>
        <v>4402</v>
      </c>
      <c r="M333" s="279">
        <f t="shared" si="206"/>
        <v>4402</v>
      </c>
      <c r="N333" s="279">
        <f t="shared" si="206"/>
        <v>4402</v>
      </c>
      <c r="O333" s="279">
        <f t="shared" si="206"/>
        <v>4402</v>
      </c>
      <c r="P333" s="279">
        <f t="shared" si="206"/>
        <v>4402</v>
      </c>
      <c r="Q333" s="279">
        <f t="shared" si="206"/>
        <v>4402</v>
      </c>
      <c r="R333" s="279">
        <f t="shared" si="206"/>
        <v>4402</v>
      </c>
      <c r="S333" s="279">
        <f t="shared" si="206"/>
        <v>4402</v>
      </c>
      <c r="T333" s="279">
        <f t="shared" si="206"/>
        <v>4402</v>
      </c>
      <c r="U333" s="279">
        <f t="shared" si="206"/>
        <v>4402</v>
      </c>
      <c r="V333" s="280">
        <f t="shared" si="207"/>
        <v>0</v>
      </c>
      <c r="W333" s="281">
        <f t="shared" si="208"/>
        <v>0</v>
      </c>
    </row>
    <row r="334" spans="1:23" ht="38.25">
      <c r="A334" s="324" t="s">
        <v>679</v>
      </c>
      <c r="B334" s="230" t="s">
        <v>779</v>
      </c>
      <c r="C334" s="220" t="s">
        <v>780</v>
      </c>
      <c r="D334" s="123" t="s">
        <v>108</v>
      </c>
      <c r="E334" s="223" t="s">
        <v>84</v>
      </c>
      <c r="F334" s="277" t="str">
        <f>IFERROR((VLOOKUP(E334,'MEMORANDOS E IPC 2023 Y 2024'!$A$1:$C$20,3,0)),"0")</f>
        <v>0</v>
      </c>
      <c r="G334" s="233">
        <v>247163</v>
      </c>
      <c r="H334" s="279">
        <f t="shared" si="206"/>
        <v>247163</v>
      </c>
      <c r="I334" s="279">
        <f t="shared" si="206"/>
        <v>247163</v>
      </c>
      <c r="J334" s="279">
        <f t="shared" si="206"/>
        <v>247163</v>
      </c>
      <c r="K334" s="279">
        <f t="shared" si="206"/>
        <v>247163</v>
      </c>
      <c r="L334" s="279">
        <f t="shared" si="206"/>
        <v>247163</v>
      </c>
      <c r="M334" s="279">
        <f t="shared" si="206"/>
        <v>247163</v>
      </c>
      <c r="N334" s="279">
        <f t="shared" si="206"/>
        <v>247163</v>
      </c>
      <c r="O334" s="279">
        <f t="shared" si="206"/>
        <v>247163</v>
      </c>
      <c r="P334" s="279">
        <f t="shared" si="206"/>
        <v>247163</v>
      </c>
      <c r="Q334" s="279">
        <f t="shared" si="206"/>
        <v>247163</v>
      </c>
      <c r="R334" s="279">
        <f t="shared" si="206"/>
        <v>247163</v>
      </c>
      <c r="S334" s="279">
        <f t="shared" si="206"/>
        <v>247163</v>
      </c>
      <c r="T334" s="279">
        <f t="shared" si="206"/>
        <v>247163</v>
      </c>
      <c r="U334" s="279">
        <f t="shared" si="206"/>
        <v>247163</v>
      </c>
      <c r="V334" s="280">
        <f t="shared" si="207"/>
        <v>0</v>
      </c>
      <c r="W334" s="281">
        <f t="shared" si="208"/>
        <v>0</v>
      </c>
    </row>
    <row r="335" spans="1:23" ht="63.75">
      <c r="A335" s="324" t="s">
        <v>679</v>
      </c>
      <c r="B335" s="1" t="s">
        <v>781</v>
      </c>
      <c r="C335" s="220" t="s">
        <v>724</v>
      </c>
      <c r="D335" s="117" t="s">
        <v>574</v>
      </c>
      <c r="E335" s="223" t="s">
        <v>64</v>
      </c>
      <c r="F335" s="277" t="str">
        <f>IFERROR((VLOOKUP(E335,'MEMORANDOS E IPC 2023 Y 2024'!$A$1:$C$20,3,0)),"0")</f>
        <v>0</v>
      </c>
      <c r="G335" s="233">
        <v>6876</v>
      </c>
      <c r="H335" s="279">
        <f t="shared" si="206"/>
        <v>6876</v>
      </c>
      <c r="I335" s="279">
        <f t="shared" si="206"/>
        <v>6876</v>
      </c>
      <c r="J335" s="279">
        <f t="shared" si="206"/>
        <v>6876</v>
      </c>
      <c r="K335" s="279">
        <f t="shared" si="206"/>
        <v>6876</v>
      </c>
      <c r="L335" s="279">
        <f t="shared" si="206"/>
        <v>6876</v>
      </c>
      <c r="M335" s="279">
        <f t="shared" si="206"/>
        <v>6876</v>
      </c>
      <c r="N335" s="279">
        <f t="shared" si="206"/>
        <v>6876</v>
      </c>
      <c r="O335" s="279">
        <f t="shared" si="206"/>
        <v>6876</v>
      </c>
      <c r="P335" s="279">
        <f t="shared" si="206"/>
        <v>6876</v>
      </c>
      <c r="Q335" s="279">
        <f t="shared" si="206"/>
        <v>6876</v>
      </c>
      <c r="R335" s="279">
        <f t="shared" si="206"/>
        <v>6876</v>
      </c>
      <c r="S335" s="279">
        <f t="shared" si="206"/>
        <v>6876</v>
      </c>
      <c r="T335" s="279">
        <f t="shared" si="206"/>
        <v>6876</v>
      </c>
      <c r="U335" s="279">
        <f t="shared" si="206"/>
        <v>6876</v>
      </c>
      <c r="V335" s="280">
        <f t="shared" si="207"/>
        <v>0</v>
      </c>
      <c r="W335" s="281">
        <f t="shared" si="208"/>
        <v>0</v>
      </c>
    </row>
    <row r="336" spans="1:23">
      <c r="A336" s="324" t="s">
        <v>679</v>
      </c>
      <c r="B336" s="1" t="s">
        <v>782</v>
      </c>
      <c r="C336" s="220" t="s">
        <v>783</v>
      </c>
      <c r="D336" s="117" t="s">
        <v>784</v>
      </c>
      <c r="E336" s="223" t="s">
        <v>84</v>
      </c>
      <c r="F336" s="277" t="str">
        <f>IFERROR((VLOOKUP(E336,'MEMORANDOS E IPC 2023 Y 2024'!$A$1:$C$20,3,0)),"0")</f>
        <v>0</v>
      </c>
      <c r="G336" s="233">
        <v>13594</v>
      </c>
      <c r="H336" s="279">
        <f t="shared" si="206"/>
        <v>13594</v>
      </c>
      <c r="I336" s="279">
        <f t="shared" si="206"/>
        <v>13594</v>
      </c>
      <c r="J336" s="279">
        <f t="shared" si="206"/>
        <v>13594</v>
      </c>
      <c r="K336" s="279">
        <f t="shared" si="206"/>
        <v>13594</v>
      </c>
      <c r="L336" s="279">
        <f t="shared" si="206"/>
        <v>13594</v>
      </c>
      <c r="M336" s="279">
        <f t="shared" si="206"/>
        <v>13594</v>
      </c>
      <c r="N336" s="279">
        <f t="shared" si="206"/>
        <v>13594</v>
      </c>
      <c r="O336" s="279">
        <f t="shared" si="206"/>
        <v>13594</v>
      </c>
      <c r="P336" s="279">
        <f t="shared" si="206"/>
        <v>13594</v>
      </c>
      <c r="Q336" s="279">
        <f t="shared" si="206"/>
        <v>13594</v>
      </c>
      <c r="R336" s="279">
        <f t="shared" si="206"/>
        <v>13594</v>
      </c>
      <c r="S336" s="279">
        <f t="shared" si="206"/>
        <v>13594</v>
      </c>
      <c r="T336" s="279">
        <f t="shared" si="206"/>
        <v>13594</v>
      </c>
      <c r="U336" s="279">
        <f t="shared" si="206"/>
        <v>13594</v>
      </c>
      <c r="V336" s="280">
        <f t="shared" si="207"/>
        <v>0</v>
      </c>
      <c r="W336" s="281">
        <f t="shared" si="208"/>
        <v>0</v>
      </c>
    </row>
    <row r="337" spans="1:23" ht="25.5">
      <c r="A337" s="324" t="s">
        <v>679</v>
      </c>
      <c r="B337" s="1" t="s">
        <v>785</v>
      </c>
      <c r="C337" s="231" t="s">
        <v>786</v>
      </c>
      <c r="D337" s="117" t="s">
        <v>108</v>
      </c>
      <c r="E337" s="223" t="s">
        <v>84</v>
      </c>
      <c r="F337" s="277" t="str">
        <f>IFERROR((VLOOKUP(E337,'MEMORANDOS E IPC 2023 Y 2024'!$A$1:$C$20,3,0)),"0")</f>
        <v>0</v>
      </c>
      <c r="G337" s="233">
        <v>107363</v>
      </c>
      <c r="H337" s="279">
        <f t="shared" si="206"/>
        <v>107363</v>
      </c>
      <c r="I337" s="279">
        <f t="shared" si="206"/>
        <v>107363</v>
      </c>
      <c r="J337" s="279">
        <f t="shared" si="206"/>
        <v>107363</v>
      </c>
      <c r="K337" s="279">
        <f t="shared" si="206"/>
        <v>107363</v>
      </c>
      <c r="L337" s="279">
        <f t="shared" si="206"/>
        <v>107363</v>
      </c>
      <c r="M337" s="279">
        <f t="shared" si="206"/>
        <v>107363</v>
      </c>
      <c r="N337" s="279">
        <f t="shared" si="206"/>
        <v>107363</v>
      </c>
      <c r="O337" s="279">
        <f t="shared" si="206"/>
        <v>107363</v>
      </c>
      <c r="P337" s="279">
        <f t="shared" si="206"/>
        <v>107363</v>
      </c>
      <c r="Q337" s="279">
        <f t="shared" si="206"/>
        <v>107363</v>
      </c>
      <c r="R337" s="279">
        <f t="shared" si="206"/>
        <v>107363</v>
      </c>
      <c r="S337" s="279">
        <f t="shared" si="206"/>
        <v>107363</v>
      </c>
      <c r="T337" s="279">
        <f t="shared" si="206"/>
        <v>107363</v>
      </c>
      <c r="U337" s="279">
        <f t="shared" si="206"/>
        <v>107363</v>
      </c>
      <c r="V337" s="280">
        <f t="shared" si="207"/>
        <v>0</v>
      </c>
      <c r="W337" s="281">
        <f t="shared" si="208"/>
        <v>0</v>
      </c>
    </row>
    <row r="338" spans="1:23">
      <c r="A338" s="324" t="s">
        <v>679</v>
      </c>
      <c r="B338" s="1" t="s">
        <v>787</v>
      </c>
      <c r="C338" s="220" t="s">
        <v>788</v>
      </c>
      <c r="D338" s="330" t="s">
        <v>776</v>
      </c>
      <c r="E338" s="328" t="s">
        <v>84</v>
      </c>
      <c r="F338" s="277" t="str">
        <f>IFERROR((VLOOKUP(E338,'MEMORANDOS E IPC 2023 Y 2024'!$A$1:$C$20,3,0)),"0")</f>
        <v>0</v>
      </c>
      <c r="G338" s="233">
        <v>1100</v>
      </c>
      <c r="H338" s="279">
        <f t="shared" si="206"/>
        <v>1100</v>
      </c>
      <c r="I338" s="279">
        <f t="shared" si="206"/>
        <v>1100</v>
      </c>
      <c r="J338" s="279">
        <f t="shared" si="206"/>
        <v>1100</v>
      </c>
      <c r="K338" s="279">
        <f t="shared" si="206"/>
        <v>1100</v>
      </c>
      <c r="L338" s="279">
        <f t="shared" si="206"/>
        <v>1100</v>
      </c>
      <c r="M338" s="279">
        <f t="shared" si="206"/>
        <v>1100</v>
      </c>
      <c r="N338" s="279">
        <f t="shared" si="206"/>
        <v>1100</v>
      </c>
      <c r="O338" s="279">
        <f t="shared" si="206"/>
        <v>1100</v>
      </c>
      <c r="P338" s="279">
        <f t="shared" si="206"/>
        <v>1100</v>
      </c>
      <c r="Q338" s="279">
        <f t="shared" si="206"/>
        <v>1100</v>
      </c>
      <c r="R338" s="279">
        <f t="shared" si="206"/>
        <v>1100</v>
      </c>
      <c r="S338" s="279">
        <f t="shared" si="206"/>
        <v>1100</v>
      </c>
      <c r="T338" s="279">
        <f t="shared" si="206"/>
        <v>1100</v>
      </c>
      <c r="U338" s="279">
        <f t="shared" si="206"/>
        <v>1100</v>
      </c>
      <c r="V338" s="280">
        <f t="shared" si="207"/>
        <v>0</v>
      </c>
      <c r="W338" s="281">
        <f t="shared" si="208"/>
        <v>0</v>
      </c>
    </row>
    <row r="339" spans="1:23">
      <c r="A339" s="331" t="s">
        <v>789</v>
      </c>
      <c r="B339" s="76" t="s">
        <v>790</v>
      </c>
      <c r="C339" s="76" t="s">
        <v>791</v>
      </c>
      <c r="D339" s="82" t="s">
        <v>792</v>
      </c>
      <c r="E339" s="82" t="s">
        <v>793</v>
      </c>
      <c r="F339" s="277" t="str">
        <f>IFERROR((VLOOKUP(E339,'MEMORANDOS E IPC 2023 Y 2024'!$A$1:$C$20,3,0)),"0")</f>
        <v>0</v>
      </c>
      <c r="G339" s="233">
        <v>151170</v>
      </c>
      <c r="H339" s="279">
        <f t="shared" si="206"/>
        <v>151170</v>
      </c>
      <c r="I339" s="279">
        <f t="shared" si="206"/>
        <v>151170</v>
      </c>
      <c r="J339" s="279">
        <f t="shared" si="206"/>
        <v>151170</v>
      </c>
      <c r="K339" s="279">
        <f t="shared" si="206"/>
        <v>151170</v>
      </c>
      <c r="L339" s="279">
        <f t="shared" si="206"/>
        <v>151170</v>
      </c>
      <c r="M339" s="279">
        <f t="shared" si="206"/>
        <v>151170</v>
      </c>
      <c r="N339" s="279">
        <f t="shared" si="206"/>
        <v>151170</v>
      </c>
      <c r="O339" s="279">
        <f t="shared" si="206"/>
        <v>151170</v>
      </c>
      <c r="P339" s="279">
        <f t="shared" si="206"/>
        <v>151170</v>
      </c>
      <c r="Q339" s="279">
        <f t="shared" si="206"/>
        <v>151170</v>
      </c>
      <c r="R339" s="279">
        <f t="shared" si="206"/>
        <v>151170</v>
      </c>
      <c r="S339" s="279">
        <f t="shared" si="206"/>
        <v>151170</v>
      </c>
      <c r="T339" s="279">
        <f t="shared" si="206"/>
        <v>151170</v>
      </c>
      <c r="U339" s="279">
        <f t="shared" si="206"/>
        <v>151170</v>
      </c>
      <c r="V339" s="280">
        <f t="shared" si="207"/>
        <v>0</v>
      </c>
      <c r="W339" s="281">
        <f t="shared" si="208"/>
        <v>0</v>
      </c>
    </row>
    <row r="340" spans="1:23" ht="114.75">
      <c r="A340" s="331" t="s">
        <v>789</v>
      </c>
      <c r="B340" s="76" t="s">
        <v>794</v>
      </c>
      <c r="C340" s="76" t="s">
        <v>795</v>
      </c>
      <c r="D340" s="82" t="s">
        <v>108</v>
      </c>
      <c r="E340" s="82" t="s">
        <v>796</v>
      </c>
      <c r="F340" s="277" t="str">
        <f>IFERROR((VLOOKUP(E340,'MEMORANDOS E IPC 2023 Y 2024'!$A$1:$C$20,3,0)),"0")</f>
        <v>0</v>
      </c>
      <c r="G340" s="233">
        <v>6153</v>
      </c>
      <c r="H340" s="279">
        <f t="shared" si="206"/>
        <v>6153</v>
      </c>
      <c r="I340" s="279">
        <f t="shared" si="206"/>
        <v>6153</v>
      </c>
      <c r="J340" s="279">
        <f t="shared" si="206"/>
        <v>6153</v>
      </c>
      <c r="K340" s="279">
        <f t="shared" si="206"/>
        <v>6153</v>
      </c>
      <c r="L340" s="279">
        <f t="shared" si="206"/>
        <v>6153</v>
      </c>
      <c r="M340" s="279">
        <f t="shared" si="206"/>
        <v>6153</v>
      </c>
      <c r="N340" s="279">
        <f t="shared" si="206"/>
        <v>6153</v>
      </c>
      <c r="O340" s="279">
        <f t="shared" si="206"/>
        <v>6153</v>
      </c>
      <c r="P340" s="279">
        <f t="shared" si="206"/>
        <v>6153</v>
      </c>
      <c r="Q340" s="279">
        <f t="shared" si="206"/>
        <v>6153</v>
      </c>
      <c r="R340" s="279">
        <f t="shared" si="206"/>
        <v>6153</v>
      </c>
      <c r="S340" s="279">
        <f t="shared" si="206"/>
        <v>6153</v>
      </c>
      <c r="T340" s="279">
        <f t="shared" si="206"/>
        <v>6153</v>
      </c>
      <c r="U340" s="279">
        <f t="shared" si="206"/>
        <v>6153</v>
      </c>
      <c r="V340" s="280">
        <f t="shared" si="207"/>
        <v>0</v>
      </c>
      <c r="W340" s="281">
        <f t="shared" si="208"/>
        <v>0</v>
      </c>
    </row>
    <row r="341" spans="1:23">
      <c r="A341" s="331" t="s">
        <v>789</v>
      </c>
      <c r="B341" s="76" t="s">
        <v>797</v>
      </c>
      <c r="C341" s="76" t="s">
        <v>798</v>
      </c>
      <c r="D341" s="82" t="s">
        <v>108</v>
      </c>
      <c r="E341" s="82" t="s">
        <v>799</v>
      </c>
      <c r="F341" s="277" t="str">
        <f>IFERROR((VLOOKUP(E341,'MEMORANDOS E IPC 2023 Y 2024'!$A$1:$C$20,3,0)),"0")</f>
        <v>0</v>
      </c>
      <c r="G341" s="233">
        <v>7007</v>
      </c>
      <c r="H341" s="279">
        <f t="shared" si="206"/>
        <v>7007</v>
      </c>
      <c r="I341" s="279">
        <f t="shared" si="206"/>
        <v>7007</v>
      </c>
      <c r="J341" s="279">
        <f t="shared" si="206"/>
        <v>7007</v>
      </c>
      <c r="K341" s="279">
        <f t="shared" si="206"/>
        <v>7007</v>
      </c>
      <c r="L341" s="279">
        <f t="shared" si="206"/>
        <v>7007</v>
      </c>
      <c r="M341" s="279">
        <f t="shared" si="206"/>
        <v>7007</v>
      </c>
      <c r="N341" s="279">
        <f t="shared" si="206"/>
        <v>7007</v>
      </c>
      <c r="O341" s="279">
        <f t="shared" si="206"/>
        <v>7007</v>
      </c>
      <c r="P341" s="279">
        <f t="shared" si="206"/>
        <v>7007</v>
      </c>
      <c r="Q341" s="279">
        <f t="shared" si="206"/>
        <v>7007</v>
      </c>
      <c r="R341" s="279">
        <f t="shared" si="206"/>
        <v>7007</v>
      </c>
      <c r="S341" s="279">
        <f t="shared" si="206"/>
        <v>7007</v>
      </c>
      <c r="T341" s="279">
        <f t="shared" si="206"/>
        <v>7007</v>
      </c>
      <c r="U341" s="279">
        <f t="shared" si="206"/>
        <v>7007</v>
      </c>
      <c r="V341" s="280">
        <f t="shared" si="207"/>
        <v>0</v>
      </c>
      <c r="W341" s="281">
        <f t="shared" si="208"/>
        <v>0</v>
      </c>
    </row>
    <row r="342" spans="1:23">
      <c r="A342" s="331" t="s">
        <v>789</v>
      </c>
      <c r="B342" s="76" t="s">
        <v>800</v>
      </c>
      <c r="C342" s="76" t="s">
        <v>801</v>
      </c>
      <c r="D342" s="82" t="s">
        <v>802</v>
      </c>
      <c r="E342" s="82" t="s">
        <v>64</v>
      </c>
      <c r="F342" s="277" t="str">
        <f>IFERROR((VLOOKUP(E342,'MEMORANDOS E IPC 2023 Y 2024'!$A$1:$C$20,3,0)),"0")</f>
        <v>0</v>
      </c>
      <c r="G342" s="233">
        <v>5285</v>
      </c>
      <c r="H342" s="279">
        <f t="shared" si="206"/>
        <v>5285</v>
      </c>
      <c r="I342" s="279">
        <f t="shared" si="206"/>
        <v>5285</v>
      </c>
      <c r="J342" s="279">
        <f t="shared" si="206"/>
        <v>5285</v>
      </c>
      <c r="K342" s="279">
        <f t="shared" si="206"/>
        <v>5285</v>
      </c>
      <c r="L342" s="279">
        <f t="shared" si="206"/>
        <v>5285</v>
      </c>
      <c r="M342" s="279">
        <f t="shared" si="206"/>
        <v>5285</v>
      </c>
      <c r="N342" s="279">
        <f t="shared" si="206"/>
        <v>5285</v>
      </c>
      <c r="O342" s="279">
        <f t="shared" si="206"/>
        <v>5285</v>
      </c>
      <c r="P342" s="279">
        <f t="shared" si="206"/>
        <v>5285</v>
      </c>
      <c r="Q342" s="279">
        <f t="shared" si="206"/>
        <v>5285</v>
      </c>
      <c r="R342" s="279">
        <f t="shared" si="206"/>
        <v>5285</v>
      </c>
      <c r="S342" s="279">
        <f t="shared" si="206"/>
        <v>5285</v>
      </c>
      <c r="T342" s="279">
        <f t="shared" si="206"/>
        <v>5285</v>
      </c>
      <c r="U342" s="279">
        <f t="shared" si="206"/>
        <v>5285</v>
      </c>
      <c r="V342" s="280">
        <f t="shared" si="207"/>
        <v>0</v>
      </c>
      <c r="W342" s="281">
        <f t="shared" si="208"/>
        <v>0</v>
      </c>
    </row>
    <row r="343" spans="1:23" ht="25.5">
      <c r="A343" s="331" t="s">
        <v>789</v>
      </c>
      <c r="B343" s="76" t="s">
        <v>803</v>
      </c>
      <c r="C343" s="76" t="s">
        <v>804</v>
      </c>
      <c r="D343" s="82" t="s">
        <v>805</v>
      </c>
      <c r="E343" s="82" t="s">
        <v>42</v>
      </c>
      <c r="F343" s="277">
        <f>IFERROR((VLOOKUP(E343,'MEMORANDOS E IPC 2023 Y 2024'!$A$1:$C$20,3,0)),"0")</f>
        <v>45076</v>
      </c>
      <c r="G343" s="233">
        <v>10853</v>
      </c>
      <c r="H343" s="285">
        <f>G343</f>
        <v>10853</v>
      </c>
      <c r="I343" s="285">
        <f t="shared" ref="I343:J346" si="209">H343</f>
        <v>10853</v>
      </c>
      <c r="J343" s="285">
        <f t="shared" si="209"/>
        <v>10853</v>
      </c>
      <c r="K343" s="279">
        <f t="shared" ref="K343:U344" si="210">IF(($F343="0"),$F343,(ROUNDDOWN((J343*(1+(K$4/100))),0)))</f>
        <v>10885</v>
      </c>
      <c r="L343" s="279">
        <f t="shared" si="210"/>
        <v>10939</v>
      </c>
      <c r="M343" s="279">
        <f t="shared" si="210"/>
        <v>11015</v>
      </c>
      <c r="N343" s="279">
        <f t="shared" si="210"/>
        <v>11074</v>
      </c>
      <c r="O343" s="279">
        <f t="shared" si="210"/>
        <v>11101</v>
      </c>
      <c r="P343" s="279">
        <f t="shared" si="210"/>
        <v>11153</v>
      </c>
      <c r="Q343" s="279">
        <f t="shared" si="210"/>
        <v>11203</v>
      </c>
      <c r="R343" s="279">
        <f t="shared" si="210"/>
        <v>11306</v>
      </c>
      <c r="S343" s="279">
        <f t="shared" si="210"/>
        <v>11429</v>
      </c>
      <c r="T343" s="279">
        <f t="shared" si="210"/>
        <v>11509</v>
      </c>
      <c r="U343" s="279">
        <f t="shared" si="210"/>
        <v>11576</v>
      </c>
      <c r="V343" s="280">
        <f t="shared" si="207"/>
        <v>723</v>
      </c>
      <c r="W343" s="281">
        <f t="shared" si="208"/>
        <v>6.6617525108264991E-2</v>
      </c>
    </row>
    <row r="344" spans="1:23" ht="25.5">
      <c r="A344" s="331" t="s">
        <v>789</v>
      </c>
      <c r="B344" s="76" t="s">
        <v>806</v>
      </c>
      <c r="C344" s="76" t="s">
        <v>807</v>
      </c>
      <c r="D344" s="82" t="s">
        <v>808</v>
      </c>
      <c r="E344" s="82" t="s">
        <v>42</v>
      </c>
      <c r="F344" s="277">
        <f>IFERROR((VLOOKUP(E344,'MEMORANDOS E IPC 2023 Y 2024'!$A$1:$C$20,3,0)),"0")</f>
        <v>45076</v>
      </c>
      <c r="G344" s="233">
        <v>18298</v>
      </c>
      <c r="H344" s="285">
        <f>G344</f>
        <v>18298</v>
      </c>
      <c r="I344" s="285">
        <f t="shared" si="209"/>
        <v>18298</v>
      </c>
      <c r="J344" s="285">
        <f t="shared" si="209"/>
        <v>18298</v>
      </c>
      <c r="K344" s="279">
        <f t="shared" si="210"/>
        <v>18352</v>
      </c>
      <c r="L344" s="279">
        <f t="shared" si="210"/>
        <v>18443</v>
      </c>
      <c r="M344" s="279">
        <f t="shared" si="210"/>
        <v>18572</v>
      </c>
      <c r="N344" s="279">
        <f t="shared" si="210"/>
        <v>18672</v>
      </c>
      <c r="O344" s="279">
        <f t="shared" si="210"/>
        <v>18718</v>
      </c>
      <c r="P344" s="279">
        <f t="shared" si="210"/>
        <v>18805</v>
      </c>
      <c r="Q344" s="279">
        <f t="shared" si="210"/>
        <v>18889</v>
      </c>
      <c r="R344" s="279">
        <f t="shared" si="210"/>
        <v>19062</v>
      </c>
      <c r="S344" s="279">
        <f t="shared" si="210"/>
        <v>19269</v>
      </c>
      <c r="T344" s="279">
        <f t="shared" si="210"/>
        <v>19403</v>
      </c>
      <c r="U344" s="279">
        <f t="shared" si="210"/>
        <v>19517</v>
      </c>
      <c r="V344" s="280">
        <f t="shared" si="207"/>
        <v>1219</v>
      </c>
      <c r="W344" s="281">
        <f t="shared" si="208"/>
        <v>6.6619302656027987E-2</v>
      </c>
    </row>
    <row r="345" spans="1:23">
      <c r="A345" s="331" t="s">
        <v>789</v>
      </c>
      <c r="B345" s="641" t="s">
        <v>809</v>
      </c>
      <c r="C345" s="76" t="s">
        <v>810</v>
      </c>
      <c r="D345" s="82" t="s">
        <v>108</v>
      </c>
      <c r="E345" s="82" t="s">
        <v>64</v>
      </c>
      <c r="F345" s="277" t="str">
        <f>IFERROR((VLOOKUP(E345,'MEMORANDOS E IPC 2023 Y 2024'!$A$1:$C$20,3,0)),"0")</f>
        <v>0</v>
      </c>
      <c r="G345" s="233">
        <v>17229</v>
      </c>
      <c r="H345" s="285">
        <f>G345</f>
        <v>17229</v>
      </c>
      <c r="I345" s="285">
        <f t="shared" si="209"/>
        <v>17229</v>
      </c>
      <c r="J345" s="285">
        <f t="shared" si="209"/>
        <v>17229</v>
      </c>
      <c r="K345" s="285">
        <f t="shared" ref="K345:K346" si="211">J345</f>
        <v>17229</v>
      </c>
      <c r="L345" s="285">
        <f t="shared" ref="L345:L346" si="212">K345</f>
        <v>17229</v>
      </c>
      <c r="M345" s="285">
        <f t="shared" ref="M345:M346" si="213">L345</f>
        <v>17229</v>
      </c>
      <c r="N345" s="285">
        <f t="shared" ref="N345:N346" si="214">M345</f>
        <v>17229</v>
      </c>
      <c r="O345" s="285">
        <f t="shared" ref="O345:O346" si="215">N345</f>
        <v>17229</v>
      </c>
      <c r="P345" s="285">
        <f t="shared" ref="P345:P346" si="216">O345</f>
        <v>17229</v>
      </c>
      <c r="Q345" s="285">
        <f t="shared" ref="Q345:Q346" si="217">P345</f>
        <v>17229</v>
      </c>
      <c r="R345" s="285">
        <f t="shared" ref="R345:R346" si="218">Q345</f>
        <v>17229</v>
      </c>
      <c r="S345" s="285">
        <f t="shared" ref="S345:S346" si="219">R345</f>
        <v>17229</v>
      </c>
      <c r="T345" s="285">
        <f t="shared" ref="T345:T346" si="220">S345</f>
        <v>17229</v>
      </c>
      <c r="U345" s="285">
        <f t="shared" ref="U345:U346" si="221">T345</f>
        <v>17229</v>
      </c>
      <c r="V345" s="280">
        <f t="shared" si="207"/>
        <v>0</v>
      </c>
      <c r="W345" s="281">
        <f t="shared" si="208"/>
        <v>0</v>
      </c>
    </row>
    <row r="346" spans="1:23">
      <c r="A346" s="331" t="s">
        <v>789</v>
      </c>
      <c r="B346" s="641" t="s">
        <v>811</v>
      </c>
      <c r="C346" s="76" t="s">
        <v>812</v>
      </c>
      <c r="D346" s="82" t="s">
        <v>108</v>
      </c>
      <c r="E346" s="82" t="s">
        <v>64</v>
      </c>
      <c r="F346" s="277" t="str">
        <f>IFERROR((VLOOKUP(E346,'MEMORANDOS E IPC 2023 Y 2024'!$A$1:$C$20,3,0)),"0")</f>
        <v>0</v>
      </c>
      <c r="G346" s="233">
        <v>21705</v>
      </c>
      <c r="H346" s="285">
        <f>G346</f>
        <v>21705</v>
      </c>
      <c r="I346" s="285">
        <f t="shared" si="209"/>
        <v>21705</v>
      </c>
      <c r="J346" s="285">
        <f t="shared" si="209"/>
        <v>21705</v>
      </c>
      <c r="K346" s="285">
        <f t="shared" si="211"/>
        <v>21705</v>
      </c>
      <c r="L346" s="285">
        <f t="shared" si="212"/>
        <v>21705</v>
      </c>
      <c r="M346" s="285">
        <f t="shared" si="213"/>
        <v>21705</v>
      </c>
      <c r="N346" s="285">
        <f t="shared" si="214"/>
        <v>21705</v>
      </c>
      <c r="O346" s="285">
        <f t="shared" si="215"/>
        <v>21705</v>
      </c>
      <c r="P346" s="285">
        <f t="shared" si="216"/>
        <v>21705</v>
      </c>
      <c r="Q346" s="285">
        <f t="shared" si="217"/>
        <v>21705</v>
      </c>
      <c r="R346" s="285">
        <f t="shared" si="218"/>
        <v>21705</v>
      </c>
      <c r="S346" s="285">
        <f t="shared" si="219"/>
        <v>21705</v>
      </c>
      <c r="T346" s="285">
        <f t="shared" si="220"/>
        <v>21705</v>
      </c>
      <c r="U346" s="285">
        <f t="shared" si="221"/>
        <v>21705</v>
      </c>
      <c r="V346" s="280">
        <f t="shared" si="207"/>
        <v>0</v>
      </c>
      <c r="W346" s="281">
        <f t="shared" si="208"/>
        <v>0</v>
      </c>
    </row>
    <row r="347" spans="1:23">
      <c r="A347" s="331" t="s">
        <v>789</v>
      </c>
      <c r="B347" s="76" t="s">
        <v>813</v>
      </c>
      <c r="C347" s="76" t="s">
        <v>814</v>
      </c>
      <c r="D347" s="82" t="s">
        <v>815</v>
      </c>
      <c r="E347" s="82" t="s">
        <v>36</v>
      </c>
      <c r="F347" s="277">
        <f>IFERROR((VLOOKUP(E347,'MEMORANDOS E IPC 2023 Y 2024'!$A$1:$C$20,3,0)),"0")</f>
        <v>44974</v>
      </c>
      <c r="G347" s="233">
        <v>16106</v>
      </c>
      <c r="H347" s="279">
        <f>IF(($F347="0"),$F347,(ROUNDDOWN((G347*(1+(H$4/100))),0)))</f>
        <v>16275</v>
      </c>
      <c r="I347" s="279">
        <f t="shared" ref="I347:U349" si="222">IF(($F347="0"),$F347,(ROUNDDOWN((H347*(1+(I$4/100))),0)))</f>
        <v>16401</v>
      </c>
      <c r="J347" s="279">
        <f t="shared" si="222"/>
        <v>16471</v>
      </c>
      <c r="K347" s="279">
        <f t="shared" si="222"/>
        <v>16520</v>
      </c>
      <c r="L347" s="279">
        <f t="shared" si="222"/>
        <v>16602</v>
      </c>
      <c r="M347" s="279">
        <f t="shared" si="222"/>
        <v>16718</v>
      </c>
      <c r="N347" s="279">
        <f t="shared" si="222"/>
        <v>16808</v>
      </c>
      <c r="O347" s="279">
        <f t="shared" si="222"/>
        <v>16850</v>
      </c>
      <c r="P347" s="279">
        <f t="shared" si="222"/>
        <v>16929</v>
      </c>
      <c r="Q347" s="279">
        <f t="shared" si="222"/>
        <v>17005</v>
      </c>
      <c r="R347" s="279">
        <f t="shared" si="222"/>
        <v>17161</v>
      </c>
      <c r="S347" s="279">
        <f t="shared" si="222"/>
        <v>17348</v>
      </c>
      <c r="T347" s="279">
        <f t="shared" si="222"/>
        <v>17469</v>
      </c>
      <c r="U347" s="279">
        <f t="shared" si="222"/>
        <v>17572</v>
      </c>
      <c r="V347" s="280">
        <f t="shared" si="207"/>
        <v>1466</v>
      </c>
      <c r="W347" s="281">
        <f t="shared" si="208"/>
        <v>9.102197938656402E-2</v>
      </c>
    </row>
    <row r="348" spans="1:23" ht="51">
      <c r="A348" s="331" t="s">
        <v>789</v>
      </c>
      <c r="B348" s="641" t="s">
        <v>333</v>
      </c>
      <c r="C348" s="76" t="s">
        <v>334</v>
      </c>
      <c r="D348" s="76" t="s">
        <v>137</v>
      </c>
      <c r="E348" s="83" t="s">
        <v>335</v>
      </c>
      <c r="F348" s="277" t="str">
        <f>IFERROR((VLOOKUP(E348,'MEMORANDOS E IPC 2023 Y 2024'!$A$1:$C$20,3,0)),"0")</f>
        <v>0</v>
      </c>
      <c r="G348" s="233">
        <v>161650</v>
      </c>
      <c r="H348" s="285">
        <f>G348</f>
        <v>161650</v>
      </c>
      <c r="I348" s="285">
        <f t="shared" ref="I348:J349" si="223">H348</f>
        <v>161650</v>
      </c>
      <c r="J348" s="285">
        <f t="shared" si="223"/>
        <v>161650</v>
      </c>
      <c r="K348" s="285">
        <f t="shared" ref="K348" si="224">J348</f>
        <v>161650</v>
      </c>
      <c r="L348" s="285">
        <f t="shared" ref="L348" si="225">K348</f>
        <v>161650</v>
      </c>
      <c r="M348" s="285">
        <f t="shared" ref="M348" si="226">L348</f>
        <v>161650</v>
      </c>
      <c r="N348" s="285">
        <f t="shared" ref="N348" si="227">M348</f>
        <v>161650</v>
      </c>
      <c r="O348" s="285">
        <f t="shared" ref="O348" si="228">N348</f>
        <v>161650</v>
      </c>
      <c r="P348" s="285">
        <f t="shared" ref="P348" si="229">O348</f>
        <v>161650</v>
      </c>
      <c r="Q348" s="285">
        <f t="shared" ref="Q348" si="230">P348</f>
        <v>161650</v>
      </c>
      <c r="R348" s="285">
        <f t="shared" ref="R348" si="231">Q348</f>
        <v>161650</v>
      </c>
      <c r="S348" s="285">
        <f t="shared" ref="S348" si="232">R348</f>
        <v>161650</v>
      </c>
      <c r="T348" s="285">
        <f t="shared" ref="T348" si="233">S348</f>
        <v>161650</v>
      </c>
      <c r="U348" s="285">
        <f t="shared" ref="U348" si="234">T348</f>
        <v>161650</v>
      </c>
      <c r="V348" s="280">
        <f t="shared" si="207"/>
        <v>0</v>
      </c>
      <c r="W348" s="281">
        <f t="shared" si="208"/>
        <v>0</v>
      </c>
    </row>
    <row r="349" spans="1:23" ht="51">
      <c r="A349" s="331" t="s">
        <v>789</v>
      </c>
      <c r="B349" s="76" t="s">
        <v>816</v>
      </c>
      <c r="C349" s="76" t="s">
        <v>817</v>
      </c>
      <c r="D349" s="76" t="s">
        <v>137</v>
      </c>
      <c r="E349" s="82" t="s">
        <v>42</v>
      </c>
      <c r="F349" s="277">
        <f>IFERROR((VLOOKUP(E349,'MEMORANDOS E IPC 2023 Y 2024'!$A$1:$C$20,3,0)),"0")</f>
        <v>45076</v>
      </c>
      <c r="G349" s="233">
        <v>23578</v>
      </c>
      <c r="H349" s="285">
        <f>G349</f>
        <v>23578</v>
      </c>
      <c r="I349" s="285">
        <f t="shared" si="223"/>
        <v>23578</v>
      </c>
      <c r="J349" s="285">
        <f t="shared" si="223"/>
        <v>23578</v>
      </c>
      <c r="K349" s="279">
        <f t="shared" si="222"/>
        <v>23648</v>
      </c>
      <c r="L349" s="279">
        <f t="shared" si="222"/>
        <v>23766</v>
      </c>
      <c r="M349" s="279">
        <f t="shared" si="222"/>
        <v>23932</v>
      </c>
      <c r="N349" s="279">
        <f t="shared" si="222"/>
        <v>24061</v>
      </c>
      <c r="O349" s="279">
        <f t="shared" si="222"/>
        <v>24121</v>
      </c>
      <c r="P349" s="279">
        <f t="shared" si="222"/>
        <v>24234</v>
      </c>
      <c r="Q349" s="279">
        <f t="shared" si="222"/>
        <v>24343</v>
      </c>
      <c r="R349" s="279">
        <f t="shared" si="222"/>
        <v>24566</v>
      </c>
      <c r="S349" s="279">
        <f t="shared" si="222"/>
        <v>24833</v>
      </c>
      <c r="T349" s="279">
        <f t="shared" si="222"/>
        <v>25006</v>
      </c>
      <c r="U349" s="279">
        <f t="shared" si="222"/>
        <v>25153</v>
      </c>
      <c r="V349" s="280">
        <f t="shared" si="207"/>
        <v>1575</v>
      </c>
      <c r="W349" s="281">
        <f t="shared" si="208"/>
        <v>6.6799558910849099E-2</v>
      </c>
    </row>
    <row r="350" spans="1:23" ht="51">
      <c r="A350" s="331" t="s">
        <v>789</v>
      </c>
      <c r="B350" s="76" t="s">
        <v>366</v>
      </c>
      <c r="C350" s="76" t="s">
        <v>367</v>
      </c>
      <c r="D350" s="76" t="s">
        <v>137</v>
      </c>
      <c r="E350" s="82" t="s">
        <v>36</v>
      </c>
      <c r="F350" s="277">
        <f>IFERROR((VLOOKUP(E350,'MEMORANDOS E IPC 2023 Y 2024'!$A$1:$C$20,3,0)),"0")</f>
        <v>44974</v>
      </c>
      <c r="G350" s="233">
        <v>5142</v>
      </c>
      <c r="H350" s="279">
        <f>IF(($F350="0"),$F350,(ROUNDDOWN((G350*(1+(H$4/100))),0)))</f>
        <v>5195</v>
      </c>
      <c r="I350" s="279">
        <f t="shared" ref="I350:U365" si="235">IF(($F350="0"),$F350,(ROUNDDOWN((H350*(1+(I$4/100))),0)))</f>
        <v>5235</v>
      </c>
      <c r="J350" s="279">
        <f t="shared" si="235"/>
        <v>5257</v>
      </c>
      <c r="K350" s="279">
        <f t="shared" si="235"/>
        <v>5272</v>
      </c>
      <c r="L350" s="279">
        <f t="shared" si="235"/>
        <v>5298</v>
      </c>
      <c r="M350" s="279">
        <f t="shared" si="235"/>
        <v>5335</v>
      </c>
      <c r="N350" s="279">
        <f t="shared" si="235"/>
        <v>5363</v>
      </c>
      <c r="O350" s="279">
        <f t="shared" si="235"/>
        <v>5376</v>
      </c>
      <c r="P350" s="279">
        <f t="shared" si="235"/>
        <v>5401</v>
      </c>
      <c r="Q350" s="279">
        <f t="shared" si="235"/>
        <v>5425</v>
      </c>
      <c r="R350" s="279">
        <f t="shared" si="235"/>
        <v>5474</v>
      </c>
      <c r="S350" s="279">
        <f t="shared" si="235"/>
        <v>5533</v>
      </c>
      <c r="T350" s="279">
        <f t="shared" si="235"/>
        <v>5571</v>
      </c>
      <c r="U350" s="279">
        <f t="shared" si="235"/>
        <v>5603</v>
      </c>
      <c r="V350" s="280">
        <f t="shared" si="207"/>
        <v>461</v>
      </c>
      <c r="W350" s="281">
        <f t="shared" si="208"/>
        <v>8.9653831194087902E-2</v>
      </c>
    </row>
    <row r="351" spans="1:23" ht="25.5">
      <c r="A351" s="331" t="s">
        <v>789</v>
      </c>
      <c r="B351" s="76" t="s">
        <v>818</v>
      </c>
      <c r="C351" s="332" t="s">
        <v>819</v>
      </c>
      <c r="D351" s="333" t="s">
        <v>119</v>
      </c>
      <c r="E351" s="82" t="s">
        <v>38</v>
      </c>
      <c r="F351" s="277">
        <f>IFERROR((VLOOKUP(E351,'MEMORANDOS E IPC 2023 Y 2024'!$A$1:$C$20,3,0)),"0")</f>
        <v>45002</v>
      </c>
      <c r="G351" s="233">
        <v>71607</v>
      </c>
      <c r="H351" s="278">
        <f t="shared" ref="H351:L367" si="236">G351</f>
        <v>71607</v>
      </c>
      <c r="I351" s="279">
        <f t="shared" si="235"/>
        <v>72165</v>
      </c>
      <c r="J351" s="279">
        <f t="shared" si="235"/>
        <v>72475</v>
      </c>
      <c r="K351" s="279">
        <f t="shared" si="235"/>
        <v>72692</v>
      </c>
      <c r="L351" s="279">
        <f t="shared" si="235"/>
        <v>73055</v>
      </c>
      <c r="M351" s="279">
        <f t="shared" si="235"/>
        <v>73566</v>
      </c>
      <c r="N351" s="279">
        <f t="shared" si="235"/>
        <v>73963</v>
      </c>
      <c r="O351" s="279">
        <f t="shared" si="235"/>
        <v>74147</v>
      </c>
      <c r="P351" s="279">
        <f t="shared" si="235"/>
        <v>74495</v>
      </c>
      <c r="Q351" s="279">
        <f t="shared" si="235"/>
        <v>74830</v>
      </c>
      <c r="R351" s="279">
        <f t="shared" si="235"/>
        <v>75518</v>
      </c>
      <c r="S351" s="279">
        <f t="shared" si="235"/>
        <v>76341</v>
      </c>
      <c r="T351" s="279">
        <f t="shared" si="235"/>
        <v>76875</v>
      </c>
      <c r="U351" s="279">
        <f t="shared" si="235"/>
        <v>77328</v>
      </c>
      <c r="V351" s="280">
        <f t="shared" si="207"/>
        <v>5721</v>
      </c>
      <c r="W351" s="281">
        <f t="shared" si="208"/>
        <v>7.9894423729523656E-2</v>
      </c>
    </row>
    <row r="352" spans="1:23" ht="85.5">
      <c r="A352" s="334" t="s">
        <v>820</v>
      </c>
      <c r="B352" s="244" t="s">
        <v>821</v>
      </c>
      <c r="C352" s="4" t="s">
        <v>822</v>
      </c>
      <c r="D352" s="76" t="s">
        <v>89</v>
      </c>
      <c r="E352" s="77" t="s">
        <v>38</v>
      </c>
      <c r="F352" s="277">
        <f>IFERROR((VLOOKUP(E352,'MEMORANDOS E IPC 2023 Y 2024'!$A$1:$C$20,3,0)),"0")</f>
        <v>45002</v>
      </c>
      <c r="G352" s="233">
        <v>239566</v>
      </c>
      <c r="H352" s="278">
        <f t="shared" si="236"/>
        <v>239566</v>
      </c>
      <c r="I352" s="279">
        <f t="shared" si="235"/>
        <v>241434</v>
      </c>
      <c r="J352" s="279">
        <f t="shared" si="235"/>
        <v>242472</v>
      </c>
      <c r="K352" s="279">
        <f t="shared" si="235"/>
        <v>243199</v>
      </c>
      <c r="L352" s="279">
        <f t="shared" si="235"/>
        <v>244414</v>
      </c>
      <c r="M352" s="279">
        <f t="shared" si="235"/>
        <v>246124</v>
      </c>
      <c r="N352" s="279">
        <f t="shared" si="235"/>
        <v>247453</v>
      </c>
      <c r="O352" s="279">
        <f t="shared" si="235"/>
        <v>248071</v>
      </c>
      <c r="P352" s="279">
        <f t="shared" si="235"/>
        <v>249236</v>
      </c>
      <c r="Q352" s="279">
        <f t="shared" si="235"/>
        <v>250357</v>
      </c>
      <c r="R352" s="279">
        <f t="shared" si="235"/>
        <v>252660</v>
      </c>
      <c r="S352" s="279">
        <f t="shared" si="235"/>
        <v>255413</v>
      </c>
      <c r="T352" s="279">
        <f t="shared" si="235"/>
        <v>257200</v>
      </c>
      <c r="U352" s="279">
        <f t="shared" si="235"/>
        <v>258717</v>
      </c>
      <c r="V352" s="280">
        <f t="shared" si="207"/>
        <v>19151</v>
      </c>
      <c r="W352" s="281">
        <f t="shared" si="208"/>
        <v>7.9940392209245051E-2</v>
      </c>
    </row>
    <row r="353" spans="1:23" ht="51">
      <c r="A353" s="335" t="s">
        <v>823</v>
      </c>
      <c r="B353" s="207" t="s">
        <v>824</v>
      </c>
      <c r="C353" s="238" t="s">
        <v>825</v>
      </c>
      <c r="D353" s="1" t="s">
        <v>108</v>
      </c>
      <c r="E353" s="1" t="s">
        <v>40</v>
      </c>
      <c r="F353" s="277">
        <f>IFERROR((VLOOKUP(E353,'MEMORANDOS E IPC 2023 Y 2024'!$A$1:$C$20,3,0)),"0")</f>
        <v>45030</v>
      </c>
      <c r="G353" s="233">
        <v>7040</v>
      </c>
      <c r="H353" s="279">
        <f t="shared" si="236"/>
        <v>7040</v>
      </c>
      <c r="I353" s="279">
        <f t="shared" si="236"/>
        <v>7040</v>
      </c>
      <c r="J353" s="279">
        <f t="shared" si="235"/>
        <v>7070</v>
      </c>
      <c r="K353" s="279">
        <f t="shared" si="235"/>
        <v>7091</v>
      </c>
      <c r="L353" s="279">
        <f t="shared" si="235"/>
        <v>7126</v>
      </c>
      <c r="M353" s="279">
        <f t="shared" si="235"/>
        <v>7175</v>
      </c>
      <c r="N353" s="279">
        <f t="shared" si="235"/>
        <v>7213</v>
      </c>
      <c r="O353" s="279">
        <f t="shared" si="235"/>
        <v>7231</v>
      </c>
      <c r="P353" s="279">
        <f t="shared" si="235"/>
        <v>7264</v>
      </c>
      <c r="Q353" s="279">
        <f t="shared" si="235"/>
        <v>7296</v>
      </c>
      <c r="R353" s="279">
        <f t="shared" si="235"/>
        <v>7363</v>
      </c>
      <c r="S353" s="279">
        <f t="shared" si="235"/>
        <v>7443</v>
      </c>
      <c r="T353" s="279">
        <f t="shared" si="235"/>
        <v>7495</v>
      </c>
      <c r="U353" s="279">
        <f t="shared" si="235"/>
        <v>7539</v>
      </c>
      <c r="V353" s="280">
        <f t="shared" si="207"/>
        <v>499</v>
      </c>
      <c r="W353" s="281">
        <f t="shared" si="208"/>
        <v>7.0880681818181815E-2</v>
      </c>
    </row>
    <row r="354" spans="1:23" ht="63.75">
      <c r="A354" s="335" t="s">
        <v>823</v>
      </c>
      <c r="B354" s="215" t="s">
        <v>826</v>
      </c>
      <c r="C354" s="207" t="s">
        <v>827</v>
      </c>
      <c r="D354" s="76" t="s">
        <v>108</v>
      </c>
      <c r="E354" s="76" t="s">
        <v>40</v>
      </c>
      <c r="F354" s="277">
        <f>IFERROR((VLOOKUP(E354,'MEMORANDOS E IPC 2023 Y 2024'!$A$1:$C$20,3,0)),"0")</f>
        <v>45030</v>
      </c>
      <c r="G354" s="233">
        <v>16155</v>
      </c>
      <c r="H354" s="279">
        <f t="shared" si="236"/>
        <v>16155</v>
      </c>
      <c r="I354" s="279">
        <f t="shared" si="236"/>
        <v>16155</v>
      </c>
      <c r="J354" s="279">
        <f t="shared" si="235"/>
        <v>16224</v>
      </c>
      <c r="K354" s="279">
        <f t="shared" si="235"/>
        <v>16272</v>
      </c>
      <c r="L354" s="279">
        <f t="shared" si="235"/>
        <v>16353</v>
      </c>
      <c r="M354" s="279">
        <f t="shared" si="235"/>
        <v>16467</v>
      </c>
      <c r="N354" s="279">
        <f t="shared" si="235"/>
        <v>16555</v>
      </c>
      <c r="O354" s="279">
        <f t="shared" si="235"/>
        <v>16596</v>
      </c>
      <c r="P354" s="279">
        <f t="shared" si="235"/>
        <v>16674</v>
      </c>
      <c r="Q354" s="279">
        <f t="shared" si="235"/>
        <v>16749</v>
      </c>
      <c r="R354" s="279">
        <f t="shared" si="235"/>
        <v>16903</v>
      </c>
      <c r="S354" s="279">
        <f t="shared" si="235"/>
        <v>17087</v>
      </c>
      <c r="T354" s="279">
        <f t="shared" si="235"/>
        <v>17206</v>
      </c>
      <c r="U354" s="279">
        <f t="shared" si="235"/>
        <v>17307</v>
      </c>
      <c r="V354" s="280">
        <f t="shared" si="207"/>
        <v>1152</v>
      </c>
      <c r="W354" s="281">
        <f t="shared" si="208"/>
        <v>7.1309192200557106E-2</v>
      </c>
    </row>
    <row r="355" spans="1:23" ht="89.25">
      <c r="A355" s="335" t="s">
        <v>823</v>
      </c>
      <c r="B355" s="215" t="s">
        <v>828</v>
      </c>
      <c r="C355" s="238" t="s">
        <v>829</v>
      </c>
      <c r="D355" s="76" t="s">
        <v>108</v>
      </c>
      <c r="E355" s="76" t="s">
        <v>40</v>
      </c>
      <c r="F355" s="277">
        <f>IFERROR((VLOOKUP(E355,'MEMORANDOS E IPC 2023 Y 2024'!$A$1:$C$20,3,0)),"0")</f>
        <v>45030</v>
      </c>
      <c r="G355" s="233">
        <v>5542</v>
      </c>
      <c r="H355" s="279">
        <f t="shared" si="236"/>
        <v>5542</v>
      </c>
      <c r="I355" s="279">
        <f t="shared" si="236"/>
        <v>5542</v>
      </c>
      <c r="J355" s="279">
        <f t="shared" si="235"/>
        <v>5565</v>
      </c>
      <c r="K355" s="279">
        <f t="shared" si="235"/>
        <v>5581</v>
      </c>
      <c r="L355" s="279">
        <f t="shared" si="235"/>
        <v>5608</v>
      </c>
      <c r="M355" s="279">
        <f t="shared" si="235"/>
        <v>5647</v>
      </c>
      <c r="N355" s="279">
        <f t="shared" si="235"/>
        <v>5677</v>
      </c>
      <c r="O355" s="279">
        <f t="shared" si="235"/>
        <v>5691</v>
      </c>
      <c r="P355" s="279">
        <f t="shared" si="235"/>
        <v>5717</v>
      </c>
      <c r="Q355" s="279">
        <f t="shared" si="235"/>
        <v>5742</v>
      </c>
      <c r="R355" s="279">
        <f t="shared" si="235"/>
        <v>5794</v>
      </c>
      <c r="S355" s="279">
        <f t="shared" si="235"/>
        <v>5857</v>
      </c>
      <c r="T355" s="279">
        <f t="shared" si="235"/>
        <v>5897</v>
      </c>
      <c r="U355" s="279">
        <f t="shared" si="235"/>
        <v>5931</v>
      </c>
      <c r="V355" s="280">
        <f t="shared" si="207"/>
        <v>389</v>
      </c>
      <c r="W355" s="281">
        <f t="shared" si="208"/>
        <v>7.0191266690725368E-2</v>
      </c>
    </row>
    <row r="356" spans="1:23" ht="36">
      <c r="A356" s="335" t="s">
        <v>823</v>
      </c>
      <c r="B356" s="336" t="s">
        <v>830</v>
      </c>
      <c r="C356" s="337" t="s">
        <v>831</v>
      </c>
      <c r="D356" s="338" t="s">
        <v>108</v>
      </c>
      <c r="E356" s="298" t="s">
        <v>38</v>
      </c>
      <c r="F356" s="277">
        <f>IFERROR((VLOOKUP(E356,'MEMORANDOS E IPC 2023 Y 2024'!$A$1:$C$20,3,0)),"0")</f>
        <v>45002</v>
      </c>
      <c r="G356" s="339">
        <v>6684</v>
      </c>
      <c r="H356" s="278">
        <f t="shared" si="236"/>
        <v>6684</v>
      </c>
      <c r="I356" s="279">
        <f>IF(($F356="0"),$F356,(ROUNDDOWN((H356*(1+(I$4/100))),0)))</f>
        <v>6736</v>
      </c>
      <c r="J356" s="279">
        <f t="shared" si="235"/>
        <v>6764</v>
      </c>
      <c r="K356" s="279">
        <f t="shared" si="235"/>
        <v>6784</v>
      </c>
      <c r="L356" s="279">
        <f t="shared" si="235"/>
        <v>6817</v>
      </c>
      <c r="M356" s="279">
        <f t="shared" si="235"/>
        <v>6864</v>
      </c>
      <c r="N356" s="279">
        <f t="shared" si="235"/>
        <v>6901</v>
      </c>
      <c r="O356" s="279">
        <f t="shared" si="235"/>
        <v>6918</v>
      </c>
      <c r="P356" s="279">
        <f t="shared" si="235"/>
        <v>6950</v>
      </c>
      <c r="Q356" s="279">
        <f t="shared" si="235"/>
        <v>6981</v>
      </c>
      <c r="R356" s="279">
        <f t="shared" si="235"/>
        <v>7045</v>
      </c>
      <c r="S356" s="279">
        <f t="shared" si="235"/>
        <v>7121</v>
      </c>
      <c r="T356" s="279">
        <f t="shared" si="235"/>
        <v>7170</v>
      </c>
      <c r="U356" s="279">
        <f t="shared" si="235"/>
        <v>7212</v>
      </c>
      <c r="V356" s="280">
        <f t="shared" si="207"/>
        <v>528</v>
      </c>
      <c r="W356" s="281">
        <f t="shared" si="208"/>
        <v>7.899461400359066E-2</v>
      </c>
    </row>
    <row r="357" spans="1:23" ht="63.75">
      <c r="A357" s="335" t="s">
        <v>823</v>
      </c>
      <c r="B357" s="207" t="s">
        <v>832</v>
      </c>
      <c r="C357" s="238" t="s">
        <v>833</v>
      </c>
      <c r="D357" s="76" t="s">
        <v>108</v>
      </c>
      <c r="E357" s="76" t="s">
        <v>40</v>
      </c>
      <c r="F357" s="277">
        <f>IFERROR((VLOOKUP(E357,'MEMORANDOS E IPC 2023 Y 2024'!$A$1:$C$20,3,0)),"0")</f>
        <v>45030</v>
      </c>
      <c r="G357" s="233">
        <v>1922</v>
      </c>
      <c r="H357" s="279">
        <f t="shared" si="236"/>
        <v>1922</v>
      </c>
      <c r="I357" s="279">
        <f t="shared" si="236"/>
        <v>1922</v>
      </c>
      <c r="J357" s="279">
        <f t="shared" si="235"/>
        <v>1930</v>
      </c>
      <c r="K357" s="279">
        <f t="shared" si="235"/>
        <v>1935</v>
      </c>
      <c r="L357" s="279">
        <f t="shared" si="235"/>
        <v>1944</v>
      </c>
      <c r="M357" s="279">
        <f t="shared" si="235"/>
        <v>1957</v>
      </c>
      <c r="N357" s="279">
        <f t="shared" si="235"/>
        <v>1967</v>
      </c>
      <c r="O357" s="279">
        <f t="shared" si="235"/>
        <v>1971</v>
      </c>
      <c r="P357" s="279">
        <f t="shared" si="235"/>
        <v>1980</v>
      </c>
      <c r="Q357" s="279">
        <f t="shared" si="235"/>
        <v>1988</v>
      </c>
      <c r="R357" s="279">
        <f t="shared" si="235"/>
        <v>2006</v>
      </c>
      <c r="S357" s="279">
        <f t="shared" si="235"/>
        <v>2027</v>
      </c>
      <c r="T357" s="279">
        <f t="shared" si="235"/>
        <v>2041</v>
      </c>
      <c r="U357" s="279">
        <f t="shared" si="235"/>
        <v>2053</v>
      </c>
      <c r="V357" s="280">
        <f t="shared" si="207"/>
        <v>131</v>
      </c>
      <c r="W357" s="281">
        <f t="shared" si="208"/>
        <v>6.815816857440167E-2</v>
      </c>
    </row>
    <row r="358" spans="1:23" ht="36">
      <c r="A358" s="335" t="s">
        <v>823</v>
      </c>
      <c r="B358" s="340" t="s">
        <v>832</v>
      </c>
      <c r="C358" s="316" t="s">
        <v>834</v>
      </c>
      <c r="D358" s="338" t="s">
        <v>108</v>
      </c>
      <c r="E358" s="298" t="s">
        <v>40</v>
      </c>
      <c r="F358" s="277">
        <f>IFERROR((VLOOKUP(E358,'MEMORANDOS E IPC 2023 Y 2024'!$A$1:$C$20,3,0)),"0")</f>
        <v>45030</v>
      </c>
      <c r="G358" s="339">
        <v>17237</v>
      </c>
      <c r="H358" s="279">
        <f t="shared" si="236"/>
        <v>17237</v>
      </c>
      <c r="I358" s="279">
        <f t="shared" si="236"/>
        <v>17237</v>
      </c>
      <c r="J358" s="279">
        <f t="shared" si="235"/>
        <v>17311</v>
      </c>
      <c r="K358" s="279">
        <f t="shared" si="235"/>
        <v>17362</v>
      </c>
      <c r="L358" s="279">
        <f t="shared" si="235"/>
        <v>17448</v>
      </c>
      <c r="M358" s="279">
        <f t="shared" si="235"/>
        <v>17570</v>
      </c>
      <c r="N358" s="279">
        <f t="shared" si="235"/>
        <v>17664</v>
      </c>
      <c r="O358" s="279">
        <f t="shared" si="235"/>
        <v>17708</v>
      </c>
      <c r="P358" s="279">
        <f t="shared" si="235"/>
        <v>17791</v>
      </c>
      <c r="Q358" s="279">
        <f t="shared" si="235"/>
        <v>17871</v>
      </c>
      <c r="R358" s="279">
        <f t="shared" si="235"/>
        <v>18035</v>
      </c>
      <c r="S358" s="279">
        <f t="shared" si="235"/>
        <v>18231</v>
      </c>
      <c r="T358" s="279">
        <f t="shared" si="235"/>
        <v>18358</v>
      </c>
      <c r="U358" s="279">
        <f t="shared" si="235"/>
        <v>18466</v>
      </c>
      <c r="V358" s="280">
        <f t="shared" si="207"/>
        <v>1229</v>
      </c>
      <c r="W358" s="281">
        <f t="shared" si="208"/>
        <v>7.1300110227997912E-2</v>
      </c>
    </row>
    <row r="359" spans="1:23" ht="76.5">
      <c r="A359" s="335" t="s">
        <v>823</v>
      </c>
      <c r="B359" s="215" t="s">
        <v>835</v>
      </c>
      <c r="C359" s="238" t="s">
        <v>836</v>
      </c>
      <c r="D359" s="1" t="s">
        <v>108</v>
      </c>
      <c r="E359" s="76" t="s">
        <v>40</v>
      </c>
      <c r="F359" s="277">
        <f>IFERROR((VLOOKUP(E359,'MEMORANDOS E IPC 2023 Y 2024'!$A$1:$C$20,3,0)),"0")</f>
        <v>45030</v>
      </c>
      <c r="G359" s="233">
        <v>7556</v>
      </c>
      <c r="H359" s="279">
        <f t="shared" si="236"/>
        <v>7556</v>
      </c>
      <c r="I359" s="279">
        <f t="shared" si="236"/>
        <v>7556</v>
      </c>
      <c r="J359" s="279">
        <f t="shared" si="235"/>
        <v>7588</v>
      </c>
      <c r="K359" s="279">
        <f t="shared" si="235"/>
        <v>7610</v>
      </c>
      <c r="L359" s="279">
        <f t="shared" si="235"/>
        <v>7648</v>
      </c>
      <c r="M359" s="279">
        <f t="shared" si="235"/>
        <v>7701</v>
      </c>
      <c r="N359" s="279">
        <f t="shared" si="235"/>
        <v>7742</v>
      </c>
      <c r="O359" s="279">
        <f t="shared" si="235"/>
        <v>7761</v>
      </c>
      <c r="P359" s="279">
        <f t="shared" si="235"/>
        <v>7797</v>
      </c>
      <c r="Q359" s="279">
        <f t="shared" si="235"/>
        <v>7832</v>
      </c>
      <c r="R359" s="279">
        <f t="shared" si="235"/>
        <v>7904</v>
      </c>
      <c r="S359" s="279">
        <f t="shared" si="235"/>
        <v>7990</v>
      </c>
      <c r="T359" s="279">
        <f t="shared" si="235"/>
        <v>8045</v>
      </c>
      <c r="U359" s="279">
        <f t="shared" si="235"/>
        <v>8092</v>
      </c>
      <c r="V359" s="280">
        <f t="shared" si="207"/>
        <v>536</v>
      </c>
      <c r="W359" s="281">
        <f t="shared" si="208"/>
        <v>7.0937003705664373E-2</v>
      </c>
    </row>
    <row r="360" spans="1:23">
      <c r="A360" s="335" t="s">
        <v>823</v>
      </c>
      <c r="B360" s="207" t="s">
        <v>837</v>
      </c>
      <c r="C360" s="207" t="s">
        <v>838</v>
      </c>
      <c r="D360" s="76" t="s">
        <v>108</v>
      </c>
      <c r="E360" s="76" t="s">
        <v>40</v>
      </c>
      <c r="F360" s="277">
        <f>IFERROR((VLOOKUP(E360,'MEMORANDOS E IPC 2023 Y 2024'!$A$1:$C$20,3,0)),"0")</f>
        <v>45030</v>
      </c>
      <c r="G360" s="233">
        <v>4253</v>
      </c>
      <c r="H360" s="279">
        <f t="shared" si="236"/>
        <v>4253</v>
      </c>
      <c r="I360" s="279">
        <f t="shared" si="236"/>
        <v>4253</v>
      </c>
      <c r="J360" s="279">
        <f t="shared" si="235"/>
        <v>4271</v>
      </c>
      <c r="K360" s="279">
        <f t="shared" si="235"/>
        <v>4283</v>
      </c>
      <c r="L360" s="279">
        <f t="shared" si="235"/>
        <v>4304</v>
      </c>
      <c r="M360" s="279">
        <f t="shared" si="235"/>
        <v>4334</v>
      </c>
      <c r="N360" s="279">
        <f t="shared" si="235"/>
        <v>4357</v>
      </c>
      <c r="O360" s="279">
        <f t="shared" si="235"/>
        <v>4367</v>
      </c>
      <c r="P360" s="279">
        <f t="shared" si="235"/>
        <v>4387</v>
      </c>
      <c r="Q360" s="279">
        <f t="shared" si="235"/>
        <v>4406</v>
      </c>
      <c r="R360" s="279">
        <f t="shared" si="235"/>
        <v>4446</v>
      </c>
      <c r="S360" s="279">
        <f t="shared" si="235"/>
        <v>4494</v>
      </c>
      <c r="T360" s="279">
        <f t="shared" si="235"/>
        <v>4525</v>
      </c>
      <c r="U360" s="279">
        <f t="shared" si="235"/>
        <v>4551</v>
      </c>
      <c r="V360" s="280">
        <f t="shared" si="207"/>
        <v>298</v>
      </c>
      <c r="W360" s="281">
        <f t="shared" si="208"/>
        <v>7.006818716200329E-2</v>
      </c>
    </row>
    <row r="361" spans="1:23" ht="102">
      <c r="A361" s="335" t="s">
        <v>823</v>
      </c>
      <c r="B361" s="76" t="s">
        <v>839</v>
      </c>
      <c r="C361" s="238" t="s">
        <v>840</v>
      </c>
      <c r="D361" s="76" t="s">
        <v>841</v>
      </c>
      <c r="E361" s="76" t="s">
        <v>40</v>
      </c>
      <c r="F361" s="277">
        <f>IFERROR((VLOOKUP(E361,'MEMORANDOS E IPC 2023 Y 2024'!$A$1:$C$20,3,0)),"0")</f>
        <v>45030</v>
      </c>
      <c r="G361" s="233">
        <v>6976</v>
      </c>
      <c r="H361" s="279">
        <f t="shared" si="236"/>
        <v>6976</v>
      </c>
      <c r="I361" s="279">
        <f t="shared" si="236"/>
        <v>6976</v>
      </c>
      <c r="J361" s="279">
        <f t="shared" si="235"/>
        <v>7005</v>
      </c>
      <c r="K361" s="279">
        <f t="shared" si="235"/>
        <v>7026</v>
      </c>
      <c r="L361" s="279">
        <f t="shared" si="235"/>
        <v>7061</v>
      </c>
      <c r="M361" s="279">
        <f t="shared" si="235"/>
        <v>7110</v>
      </c>
      <c r="N361" s="279">
        <f t="shared" si="235"/>
        <v>7148</v>
      </c>
      <c r="O361" s="279">
        <f t="shared" si="235"/>
        <v>7165</v>
      </c>
      <c r="P361" s="279">
        <f t="shared" si="235"/>
        <v>7198</v>
      </c>
      <c r="Q361" s="279">
        <f t="shared" si="235"/>
        <v>7230</v>
      </c>
      <c r="R361" s="279">
        <f t="shared" si="235"/>
        <v>7296</v>
      </c>
      <c r="S361" s="279">
        <f t="shared" si="235"/>
        <v>7375</v>
      </c>
      <c r="T361" s="279">
        <f t="shared" si="235"/>
        <v>7426</v>
      </c>
      <c r="U361" s="279">
        <f t="shared" si="235"/>
        <v>7469</v>
      </c>
      <c r="V361" s="280">
        <f t="shared" si="207"/>
        <v>493</v>
      </c>
      <c r="W361" s="281">
        <f t="shared" si="208"/>
        <v>7.0670871559633031E-2</v>
      </c>
    </row>
    <row r="362" spans="1:23" ht="63.75">
      <c r="A362" s="335" t="s">
        <v>823</v>
      </c>
      <c r="B362" s="76" t="s">
        <v>842</v>
      </c>
      <c r="C362" s="238" t="s">
        <v>843</v>
      </c>
      <c r="D362" s="1" t="s">
        <v>108</v>
      </c>
      <c r="E362" s="1" t="s">
        <v>40</v>
      </c>
      <c r="F362" s="277">
        <f>IFERROR((VLOOKUP(E362,'MEMORANDOS E IPC 2023 Y 2024'!$A$1:$C$20,3,0)),"0")</f>
        <v>45030</v>
      </c>
      <c r="G362" s="233">
        <v>17237</v>
      </c>
      <c r="H362" s="279">
        <f t="shared" si="236"/>
        <v>17237</v>
      </c>
      <c r="I362" s="279">
        <f t="shared" si="236"/>
        <v>17237</v>
      </c>
      <c r="J362" s="279">
        <f t="shared" si="235"/>
        <v>17311</v>
      </c>
      <c r="K362" s="279">
        <f t="shared" si="235"/>
        <v>17362</v>
      </c>
      <c r="L362" s="279">
        <f t="shared" si="235"/>
        <v>17448</v>
      </c>
      <c r="M362" s="279">
        <f t="shared" si="235"/>
        <v>17570</v>
      </c>
      <c r="N362" s="279">
        <f t="shared" si="235"/>
        <v>17664</v>
      </c>
      <c r="O362" s="279">
        <f t="shared" si="235"/>
        <v>17708</v>
      </c>
      <c r="P362" s="279">
        <f t="shared" si="235"/>
        <v>17791</v>
      </c>
      <c r="Q362" s="279">
        <f t="shared" si="235"/>
        <v>17871</v>
      </c>
      <c r="R362" s="279">
        <f t="shared" si="235"/>
        <v>18035</v>
      </c>
      <c r="S362" s="279">
        <f t="shared" si="235"/>
        <v>18231</v>
      </c>
      <c r="T362" s="279">
        <f t="shared" si="235"/>
        <v>18358</v>
      </c>
      <c r="U362" s="279">
        <f t="shared" si="235"/>
        <v>18466</v>
      </c>
      <c r="V362" s="280">
        <f t="shared" si="207"/>
        <v>1229</v>
      </c>
      <c r="W362" s="281">
        <f t="shared" si="208"/>
        <v>7.1300110227997912E-2</v>
      </c>
    </row>
    <row r="363" spans="1:23" ht="127.5">
      <c r="A363" s="335" t="s">
        <v>823</v>
      </c>
      <c r="B363" s="215" t="s">
        <v>844</v>
      </c>
      <c r="C363" s="238" t="s">
        <v>845</v>
      </c>
      <c r="D363" s="76" t="s">
        <v>846</v>
      </c>
      <c r="E363" s="76" t="s">
        <v>40</v>
      </c>
      <c r="F363" s="277">
        <f>IFERROR((VLOOKUP(E363,'MEMORANDOS E IPC 2023 Y 2024'!$A$1:$C$20,3,0)),"0")</f>
        <v>45030</v>
      </c>
      <c r="G363" s="233">
        <v>220998</v>
      </c>
      <c r="H363" s="279">
        <f t="shared" si="236"/>
        <v>220998</v>
      </c>
      <c r="I363" s="279">
        <f t="shared" si="236"/>
        <v>220998</v>
      </c>
      <c r="J363" s="279">
        <f t="shared" si="235"/>
        <v>221948</v>
      </c>
      <c r="K363" s="279">
        <f t="shared" si="235"/>
        <v>222613</v>
      </c>
      <c r="L363" s="279">
        <f t="shared" si="235"/>
        <v>223726</v>
      </c>
      <c r="M363" s="279">
        <f t="shared" si="235"/>
        <v>225292</v>
      </c>
      <c r="N363" s="279">
        <f t="shared" si="235"/>
        <v>226508</v>
      </c>
      <c r="O363" s="279">
        <f t="shared" si="235"/>
        <v>227074</v>
      </c>
      <c r="P363" s="279">
        <f t="shared" si="235"/>
        <v>228141</v>
      </c>
      <c r="Q363" s="279">
        <f t="shared" si="235"/>
        <v>229167</v>
      </c>
      <c r="R363" s="279">
        <f t="shared" si="235"/>
        <v>231275</v>
      </c>
      <c r="S363" s="279">
        <f t="shared" si="235"/>
        <v>233795</v>
      </c>
      <c r="T363" s="279">
        <f t="shared" si="235"/>
        <v>235431</v>
      </c>
      <c r="U363" s="279">
        <f t="shared" si="235"/>
        <v>236820</v>
      </c>
      <c r="V363" s="280">
        <f t="shared" si="207"/>
        <v>15822</v>
      </c>
      <c r="W363" s="281">
        <f t="shared" si="208"/>
        <v>7.1593408085141044E-2</v>
      </c>
    </row>
    <row r="364" spans="1:23" ht="51">
      <c r="A364" s="335" t="s">
        <v>823</v>
      </c>
      <c r="B364" s="215" t="s">
        <v>847</v>
      </c>
      <c r="C364" s="207" t="s">
        <v>848</v>
      </c>
      <c r="D364" s="76" t="s">
        <v>108</v>
      </c>
      <c r="E364" s="76" t="s">
        <v>40</v>
      </c>
      <c r="F364" s="277">
        <f>IFERROR((VLOOKUP(E364,'MEMORANDOS E IPC 2023 Y 2024'!$A$1:$C$20,3,0)),"0")</f>
        <v>45030</v>
      </c>
      <c r="G364" s="233">
        <v>25853</v>
      </c>
      <c r="H364" s="279">
        <f t="shared" si="236"/>
        <v>25853</v>
      </c>
      <c r="I364" s="279">
        <f t="shared" si="236"/>
        <v>25853</v>
      </c>
      <c r="J364" s="279">
        <f t="shared" si="235"/>
        <v>25964</v>
      </c>
      <c r="K364" s="279">
        <f t="shared" si="235"/>
        <v>26041</v>
      </c>
      <c r="L364" s="279">
        <f t="shared" si="235"/>
        <v>26171</v>
      </c>
      <c r="M364" s="279">
        <f t="shared" si="235"/>
        <v>26354</v>
      </c>
      <c r="N364" s="279">
        <f t="shared" si="235"/>
        <v>26496</v>
      </c>
      <c r="O364" s="279">
        <f t="shared" si="235"/>
        <v>26562</v>
      </c>
      <c r="P364" s="279">
        <f t="shared" si="235"/>
        <v>26686</v>
      </c>
      <c r="Q364" s="279">
        <f t="shared" si="235"/>
        <v>26806</v>
      </c>
      <c r="R364" s="279">
        <f t="shared" si="235"/>
        <v>27052</v>
      </c>
      <c r="S364" s="279">
        <f t="shared" si="235"/>
        <v>27346</v>
      </c>
      <c r="T364" s="279">
        <f t="shared" si="235"/>
        <v>27537</v>
      </c>
      <c r="U364" s="279">
        <f t="shared" si="235"/>
        <v>27699</v>
      </c>
      <c r="V364" s="280">
        <f t="shared" si="207"/>
        <v>1846</v>
      </c>
      <c r="W364" s="281">
        <f t="shared" si="208"/>
        <v>7.1403705566085177E-2</v>
      </c>
    </row>
    <row r="365" spans="1:23" ht="63.75" customHeight="1">
      <c r="A365" s="335" t="s">
        <v>823</v>
      </c>
      <c r="B365" s="215" t="s">
        <v>849</v>
      </c>
      <c r="C365" s="207" t="s">
        <v>850</v>
      </c>
      <c r="D365" s="1" t="s">
        <v>108</v>
      </c>
      <c r="E365" s="76" t="s">
        <v>40</v>
      </c>
      <c r="F365" s="277">
        <f>IFERROR((VLOOKUP(E365,'MEMORANDOS E IPC 2023 Y 2024'!$A$1:$C$20,3,0)),"0")</f>
        <v>45030</v>
      </c>
      <c r="G365" s="233">
        <v>26904</v>
      </c>
      <c r="H365" s="279">
        <f t="shared" si="236"/>
        <v>26904</v>
      </c>
      <c r="I365" s="279">
        <f t="shared" si="236"/>
        <v>26904</v>
      </c>
      <c r="J365" s="279">
        <f t="shared" si="235"/>
        <v>27019</v>
      </c>
      <c r="K365" s="279">
        <f t="shared" si="235"/>
        <v>27100</v>
      </c>
      <c r="L365" s="279">
        <f t="shared" si="235"/>
        <v>27235</v>
      </c>
      <c r="M365" s="279">
        <f t="shared" si="235"/>
        <v>27425</v>
      </c>
      <c r="N365" s="279">
        <f t="shared" si="235"/>
        <v>27573</v>
      </c>
      <c r="O365" s="279">
        <f t="shared" si="235"/>
        <v>27641</v>
      </c>
      <c r="P365" s="279">
        <f t="shared" si="235"/>
        <v>27770</v>
      </c>
      <c r="Q365" s="279">
        <f t="shared" si="235"/>
        <v>27894</v>
      </c>
      <c r="R365" s="279">
        <f t="shared" si="235"/>
        <v>28150</v>
      </c>
      <c r="S365" s="279">
        <f t="shared" si="235"/>
        <v>28456</v>
      </c>
      <c r="T365" s="279">
        <f t="shared" si="235"/>
        <v>28655</v>
      </c>
      <c r="U365" s="279">
        <f t="shared" si="235"/>
        <v>28824</v>
      </c>
      <c r="V365" s="280">
        <f t="shared" si="207"/>
        <v>1920</v>
      </c>
      <c r="W365" s="281">
        <f t="shared" si="208"/>
        <v>7.1364852809991081E-2</v>
      </c>
    </row>
    <row r="366" spans="1:23" ht="25.5">
      <c r="A366" s="335" t="s">
        <v>823</v>
      </c>
      <c r="B366" s="215" t="s">
        <v>851</v>
      </c>
      <c r="C366" s="207" t="s">
        <v>852</v>
      </c>
      <c r="D366" s="78" t="s">
        <v>108</v>
      </c>
      <c r="E366" s="76" t="s">
        <v>46</v>
      </c>
      <c r="F366" s="277">
        <f>IFERROR((VLOOKUP(E366,'MEMORANDOS E IPC 2023 Y 2024'!$A$1:$C$20,3,0)),"0")</f>
        <v>45117</v>
      </c>
      <c r="G366" s="233">
        <v>1906</v>
      </c>
      <c r="H366" s="285">
        <f t="shared" si="236"/>
        <v>1906</v>
      </c>
      <c r="I366" s="285">
        <f t="shared" si="236"/>
        <v>1906</v>
      </c>
      <c r="J366" s="285">
        <f t="shared" si="236"/>
        <v>1906</v>
      </c>
      <c r="K366" s="285">
        <f t="shared" si="236"/>
        <v>1906</v>
      </c>
      <c r="L366" s="285">
        <f t="shared" si="236"/>
        <v>1906</v>
      </c>
      <c r="M366" s="279">
        <f>IF(($F366="0"),$F366,(ROUNDDOWN((L366*(1+(M$4/100))),0)))</f>
        <v>1919</v>
      </c>
      <c r="N366" s="279">
        <f t="shared" ref="N366:U366" si="237">IF(($F366="0"),$F366,(ROUNDDOWN((M366*(1+(N$4/100))),0)))</f>
        <v>1929</v>
      </c>
      <c r="O366" s="279">
        <f t="shared" si="237"/>
        <v>1933</v>
      </c>
      <c r="P366" s="279">
        <f t="shared" si="237"/>
        <v>1942</v>
      </c>
      <c r="Q366" s="279">
        <f t="shared" si="237"/>
        <v>1950</v>
      </c>
      <c r="R366" s="279">
        <f t="shared" si="237"/>
        <v>1967</v>
      </c>
      <c r="S366" s="279">
        <f t="shared" si="237"/>
        <v>1988</v>
      </c>
      <c r="T366" s="279">
        <f t="shared" si="237"/>
        <v>2001</v>
      </c>
      <c r="U366" s="279">
        <f t="shared" si="237"/>
        <v>2012</v>
      </c>
      <c r="V366" s="280">
        <f t="shared" si="207"/>
        <v>106</v>
      </c>
      <c r="W366" s="281">
        <f t="shared" si="208"/>
        <v>5.5613850996852045E-2</v>
      </c>
    </row>
    <row r="367" spans="1:23">
      <c r="A367" s="335" t="s">
        <v>823</v>
      </c>
      <c r="B367" s="215" t="s">
        <v>853</v>
      </c>
      <c r="C367" s="215" t="s">
        <v>854</v>
      </c>
      <c r="D367" s="76" t="s">
        <v>108</v>
      </c>
      <c r="E367" s="76" t="s">
        <v>40</v>
      </c>
      <c r="F367" s="277">
        <f>IFERROR((VLOOKUP(E367,'MEMORANDOS E IPC 2023 Y 2024'!$A$1:$C$20,3,0)),"0")</f>
        <v>45030</v>
      </c>
      <c r="G367" s="233">
        <v>9105</v>
      </c>
      <c r="H367" s="279">
        <f t="shared" si="236"/>
        <v>9105</v>
      </c>
      <c r="I367" s="279">
        <f>H367</f>
        <v>9105</v>
      </c>
      <c r="J367" s="279">
        <f>IF(($F367="0"),$F367,(ROUNDDOWN((I367*(1+(J$4/100))),0)))</f>
        <v>9144</v>
      </c>
      <c r="K367" s="279">
        <f t="shared" ref="K367:U367" si="238">IF(($F367="0"),$F367,(ROUNDDOWN((J367*(1+(K$4/100))),0)))</f>
        <v>9171</v>
      </c>
      <c r="L367" s="279">
        <f t="shared" si="238"/>
        <v>9216</v>
      </c>
      <c r="M367" s="279">
        <f t="shared" si="238"/>
        <v>9280</v>
      </c>
      <c r="N367" s="279">
        <f t="shared" si="238"/>
        <v>9330</v>
      </c>
      <c r="O367" s="279">
        <f t="shared" si="238"/>
        <v>9353</v>
      </c>
      <c r="P367" s="279">
        <f t="shared" si="238"/>
        <v>9396</v>
      </c>
      <c r="Q367" s="279">
        <f t="shared" si="238"/>
        <v>9438</v>
      </c>
      <c r="R367" s="279">
        <f t="shared" si="238"/>
        <v>9524</v>
      </c>
      <c r="S367" s="279">
        <f t="shared" si="238"/>
        <v>9627</v>
      </c>
      <c r="T367" s="279">
        <f t="shared" si="238"/>
        <v>9694</v>
      </c>
      <c r="U367" s="279">
        <f t="shared" si="238"/>
        <v>9751</v>
      </c>
      <c r="V367" s="280">
        <f t="shared" si="207"/>
        <v>646</v>
      </c>
      <c r="W367" s="281">
        <f t="shared" si="208"/>
        <v>7.0950027457440973E-2</v>
      </c>
    </row>
    <row r="368" spans="1:23" ht="63.75">
      <c r="A368" s="335" t="s">
        <v>823</v>
      </c>
      <c r="B368" s="215" t="s">
        <v>855</v>
      </c>
      <c r="C368" s="238" t="s">
        <v>856</v>
      </c>
      <c r="D368" s="76" t="s">
        <v>108</v>
      </c>
      <c r="E368" s="76" t="s">
        <v>84</v>
      </c>
      <c r="F368" s="277" t="str">
        <f>IFERROR((VLOOKUP(E368,'MEMORANDOS E IPC 2023 Y 2024'!$A$1:$C$20,3,0)),"0")</f>
        <v>0</v>
      </c>
      <c r="G368" s="233">
        <v>88381</v>
      </c>
      <c r="H368" s="279">
        <f>IF(($F368="0"),$G368,(ROUNDDOWN((G368*(1+(H$4/100))),0)))</f>
        <v>88381</v>
      </c>
      <c r="I368" s="279">
        <f t="shared" ref="I368:U368" si="239">IF(($F368="0"),$G368,(ROUNDDOWN((H368*(1+(I$4/100))),0)))</f>
        <v>88381</v>
      </c>
      <c r="J368" s="279">
        <f t="shared" si="239"/>
        <v>88381</v>
      </c>
      <c r="K368" s="279">
        <f t="shared" si="239"/>
        <v>88381</v>
      </c>
      <c r="L368" s="279">
        <f t="shared" si="239"/>
        <v>88381</v>
      </c>
      <c r="M368" s="279">
        <f t="shared" si="239"/>
        <v>88381</v>
      </c>
      <c r="N368" s="279">
        <f t="shared" si="239"/>
        <v>88381</v>
      </c>
      <c r="O368" s="279">
        <f t="shared" si="239"/>
        <v>88381</v>
      </c>
      <c r="P368" s="279">
        <f t="shared" si="239"/>
        <v>88381</v>
      </c>
      <c r="Q368" s="279">
        <f t="shared" si="239"/>
        <v>88381</v>
      </c>
      <c r="R368" s="279">
        <f t="shared" si="239"/>
        <v>88381</v>
      </c>
      <c r="S368" s="279">
        <f t="shared" si="239"/>
        <v>88381</v>
      </c>
      <c r="T368" s="279">
        <f t="shared" si="239"/>
        <v>88381</v>
      </c>
      <c r="U368" s="279">
        <f t="shared" si="239"/>
        <v>88381</v>
      </c>
      <c r="V368" s="280">
        <f t="shared" si="207"/>
        <v>0</v>
      </c>
      <c r="W368" s="281">
        <f t="shared" si="208"/>
        <v>0</v>
      </c>
    </row>
    <row r="369" spans="1:23" ht="51">
      <c r="A369" s="335" t="s">
        <v>823</v>
      </c>
      <c r="B369" s="207" t="s">
        <v>857</v>
      </c>
      <c r="C369" s="238" t="s">
        <v>858</v>
      </c>
      <c r="D369" s="76" t="s">
        <v>108</v>
      </c>
      <c r="E369" s="76" t="s">
        <v>46</v>
      </c>
      <c r="F369" s="277">
        <f>IFERROR((VLOOKUP(E369,'MEMORANDOS E IPC 2023 Y 2024'!$A$1:$C$20,3,0)),"0")</f>
        <v>45117</v>
      </c>
      <c r="G369" s="233">
        <v>23322</v>
      </c>
      <c r="H369" s="285">
        <f>G369</f>
        <v>23322</v>
      </c>
      <c r="I369" s="285">
        <f t="shared" ref="I369:L369" si="240">H369</f>
        <v>23322</v>
      </c>
      <c r="J369" s="285">
        <f t="shared" si="240"/>
        <v>23322</v>
      </c>
      <c r="K369" s="285">
        <f t="shared" si="240"/>
        <v>23322</v>
      </c>
      <c r="L369" s="285">
        <f t="shared" si="240"/>
        <v>23322</v>
      </c>
      <c r="M369" s="279">
        <f>IF(($F369="0"),$F369,(ROUNDDOWN((L369*(1+(M$4/100))),0)))</f>
        <v>23485</v>
      </c>
      <c r="N369" s="279">
        <f t="shared" ref="N369:U369" si="241">IF(($F369="0"),$F369,(ROUNDDOWN((M369*(1+(N$4/100))),0)))</f>
        <v>23611</v>
      </c>
      <c r="O369" s="279">
        <f t="shared" si="241"/>
        <v>23670</v>
      </c>
      <c r="P369" s="279">
        <f t="shared" si="241"/>
        <v>23781</v>
      </c>
      <c r="Q369" s="279">
        <f t="shared" si="241"/>
        <v>23888</v>
      </c>
      <c r="R369" s="279">
        <f t="shared" si="241"/>
        <v>24107</v>
      </c>
      <c r="S369" s="279">
        <f t="shared" si="241"/>
        <v>24369</v>
      </c>
      <c r="T369" s="279">
        <f t="shared" si="241"/>
        <v>24539</v>
      </c>
      <c r="U369" s="279">
        <f t="shared" si="241"/>
        <v>24683</v>
      </c>
      <c r="V369" s="280">
        <f t="shared" si="207"/>
        <v>1361</v>
      </c>
      <c r="W369" s="281">
        <f t="shared" si="208"/>
        <v>5.8356916216447986E-2</v>
      </c>
    </row>
    <row r="370" spans="1:23" ht="48">
      <c r="A370" s="335" t="s">
        <v>823</v>
      </c>
      <c r="B370" s="340" t="s">
        <v>859</v>
      </c>
      <c r="C370" s="316" t="s">
        <v>860</v>
      </c>
      <c r="D370" s="338" t="s">
        <v>108</v>
      </c>
      <c r="E370" s="298" t="s">
        <v>40</v>
      </c>
      <c r="F370" s="277">
        <f>IFERROR((VLOOKUP(E370,'MEMORANDOS E IPC 2023 Y 2024'!$A$1:$C$20,3,0)),"0")</f>
        <v>45030</v>
      </c>
      <c r="G370" s="341">
        <v>35186</v>
      </c>
      <c r="H370" s="279">
        <f>G370</f>
        <v>35186</v>
      </c>
      <c r="I370" s="279">
        <f>H370</f>
        <v>35186</v>
      </c>
      <c r="J370" s="279">
        <f>IF(($F370="0"),$F370,(ROUNDDOWN((I370*(1+(J$4/100))),0)))</f>
        <v>35337</v>
      </c>
      <c r="K370" s="279">
        <f t="shared" ref="K370:U370" si="242">IF(($F370="0"),$F370,(ROUNDDOWN((J370*(1+(K$4/100))),0)))</f>
        <v>35443</v>
      </c>
      <c r="L370" s="279">
        <f t="shared" si="242"/>
        <v>35620</v>
      </c>
      <c r="M370" s="279">
        <f t="shared" si="242"/>
        <v>35869</v>
      </c>
      <c r="N370" s="279">
        <f t="shared" si="242"/>
        <v>36062</v>
      </c>
      <c r="O370" s="279">
        <f t="shared" si="242"/>
        <v>36152</v>
      </c>
      <c r="P370" s="279">
        <f t="shared" si="242"/>
        <v>36321</v>
      </c>
      <c r="Q370" s="279">
        <f t="shared" si="242"/>
        <v>36484</v>
      </c>
      <c r="R370" s="279">
        <f t="shared" si="242"/>
        <v>36819</v>
      </c>
      <c r="S370" s="279">
        <f t="shared" si="242"/>
        <v>37220</v>
      </c>
      <c r="T370" s="279">
        <f t="shared" si="242"/>
        <v>37480</v>
      </c>
      <c r="U370" s="279">
        <f t="shared" si="242"/>
        <v>37701</v>
      </c>
      <c r="V370" s="280">
        <f t="shared" si="207"/>
        <v>2515</v>
      </c>
      <c r="W370" s="281">
        <f t="shared" si="208"/>
        <v>7.1477292104814419E-2</v>
      </c>
    </row>
    <row r="371" spans="1:23" ht="63.75">
      <c r="A371" s="335" t="s">
        <v>823</v>
      </c>
      <c r="B371" s="207" t="s">
        <v>861</v>
      </c>
      <c r="C371" s="238" t="s">
        <v>862</v>
      </c>
      <c r="D371" s="76" t="s">
        <v>108</v>
      </c>
      <c r="E371" s="76" t="s">
        <v>84</v>
      </c>
      <c r="F371" s="277" t="str">
        <f>IFERROR((VLOOKUP(E371,'MEMORANDOS E IPC 2023 Y 2024'!$A$1:$C$20,3,0)),"0")</f>
        <v>0</v>
      </c>
      <c r="G371" s="233">
        <v>43560</v>
      </c>
      <c r="H371" s="279">
        <f>IF(($F371="0"),$G371,(ROUNDDOWN((G371*(1+(H$4/100))),0)))</f>
        <v>43560</v>
      </c>
      <c r="I371" s="279">
        <f t="shared" ref="I371:U371" si="243">IF(($F371="0"),$G371,(ROUNDDOWN((H371*(1+(I$4/100))),0)))</f>
        <v>43560</v>
      </c>
      <c r="J371" s="279">
        <f t="shared" si="243"/>
        <v>43560</v>
      </c>
      <c r="K371" s="279">
        <f t="shared" si="243"/>
        <v>43560</v>
      </c>
      <c r="L371" s="279">
        <f t="shared" si="243"/>
        <v>43560</v>
      </c>
      <c r="M371" s="279">
        <f t="shared" si="243"/>
        <v>43560</v>
      </c>
      <c r="N371" s="279">
        <f t="shared" si="243"/>
        <v>43560</v>
      </c>
      <c r="O371" s="279">
        <f t="shared" si="243"/>
        <v>43560</v>
      </c>
      <c r="P371" s="279">
        <f t="shared" si="243"/>
        <v>43560</v>
      </c>
      <c r="Q371" s="279">
        <f t="shared" si="243"/>
        <v>43560</v>
      </c>
      <c r="R371" s="279">
        <f t="shared" si="243"/>
        <v>43560</v>
      </c>
      <c r="S371" s="279">
        <f t="shared" si="243"/>
        <v>43560</v>
      </c>
      <c r="T371" s="279">
        <f t="shared" si="243"/>
        <v>43560</v>
      </c>
      <c r="U371" s="279">
        <f t="shared" si="243"/>
        <v>43560</v>
      </c>
      <c r="V371" s="280">
        <f t="shared" si="207"/>
        <v>0</v>
      </c>
      <c r="W371" s="281">
        <f t="shared" si="208"/>
        <v>0</v>
      </c>
    </row>
    <row r="372" spans="1:23" ht="51">
      <c r="A372" s="335" t="s">
        <v>823</v>
      </c>
      <c r="B372" s="215" t="s">
        <v>863</v>
      </c>
      <c r="C372" s="207" t="s">
        <v>864</v>
      </c>
      <c r="D372" s="76" t="s">
        <v>108</v>
      </c>
      <c r="E372" s="1" t="s">
        <v>40</v>
      </c>
      <c r="F372" s="277">
        <f>IFERROR((VLOOKUP(E372,'MEMORANDOS E IPC 2023 Y 2024'!$A$1:$C$20,3,0)),"0")</f>
        <v>45030</v>
      </c>
      <c r="G372" s="233">
        <v>12799</v>
      </c>
      <c r="H372" s="279">
        <f>G372</f>
        <v>12799</v>
      </c>
      <c r="I372" s="279">
        <f t="shared" ref="I372:I373" si="244">H372</f>
        <v>12799</v>
      </c>
      <c r="J372" s="279">
        <f t="shared" ref="J372:U373" si="245">IF(($F372="0"),$F372,(ROUNDDOWN((I372*(1+(J$4/100))),0)))</f>
        <v>12854</v>
      </c>
      <c r="K372" s="279">
        <f t="shared" si="245"/>
        <v>12892</v>
      </c>
      <c r="L372" s="279">
        <f t="shared" si="245"/>
        <v>12956</v>
      </c>
      <c r="M372" s="279">
        <f t="shared" si="245"/>
        <v>13046</v>
      </c>
      <c r="N372" s="279">
        <f t="shared" si="245"/>
        <v>13116</v>
      </c>
      <c r="O372" s="279">
        <f t="shared" si="245"/>
        <v>13148</v>
      </c>
      <c r="P372" s="279">
        <f t="shared" si="245"/>
        <v>13209</v>
      </c>
      <c r="Q372" s="279">
        <f t="shared" si="245"/>
        <v>13268</v>
      </c>
      <c r="R372" s="279">
        <f t="shared" si="245"/>
        <v>13390</v>
      </c>
      <c r="S372" s="279">
        <f t="shared" si="245"/>
        <v>13535</v>
      </c>
      <c r="T372" s="279">
        <f t="shared" si="245"/>
        <v>13629</v>
      </c>
      <c r="U372" s="279">
        <f t="shared" si="245"/>
        <v>13709</v>
      </c>
      <c r="V372" s="280">
        <f t="shared" si="207"/>
        <v>910</v>
      </c>
      <c r="W372" s="281">
        <f t="shared" si="208"/>
        <v>7.1099304633174473E-2</v>
      </c>
    </row>
    <row r="373" spans="1:23" ht="51">
      <c r="A373" s="335" t="s">
        <v>823</v>
      </c>
      <c r="B373" s="215" t="s">
        <v>865</v>
      </c>
      <c r="C373" s="207" t="s">
        <v>866</v>
      </c>
      <c r="D373" s="76" t="s">
        <v>108</v>
      </c>
      <c r="E373" s="76" t="s">
        <v>40</v>
      </c>
      <c r="F373" s="277">
        <f>IFERROR((VLOOKUP(E373,'MEMORANDOS E IPC 2023 Y 2024'!$A$1:$C$20,3,0)),"0")</f>
        <v>45030</v>
      </c>
      <c r="G373" s="233">
        <v>9903</v>
      </c>
      <c r="H373" s="279">
        <f>G373</f>
        <v>9903</v>
      </c>
      <c r="I373" s="279">
        <f t="shared" si="244"/>
        <v>9903</v>
      </c>
      <c r="J373" s="279">
        <f t="shared" si="245"/>
        <v>9945</v>
      </c>
      <c r="K373" s="279">
        <f t="shared" si="245"/>
        <v>9974</v>
      </c>
      <c r="L373" s="279">
        <f t="shared" si="245"/>
        <v>10023</v>
      </c>
      <c r="M373" s="279">
        <f t="shared" si="245"/>
        <v>10093</v>
      </c>
      <c r="N373" s="279">
        <f t="shared" si="245"/>
        <v>10147</v>
      </c>
      <c r="O373" s="279">
        <f t="shared" si="245"/>
        <v>10172</v>
      </c>
      <c r="P373" s="279">
        <f t="shared" si="245"/>
        <v>10219</v>
      </c>
      <c r="Q373" s="279">
        <f t="shared" si="245"/>
        <v>10264</v>
      </c>
      <c r="R373" s="279">
        <f t="shared" si="245"/>
        <v>10358</v>
      </c>
      <c r="S373" s="279">
        <f t="shared" si="245"/>
        <v>10470</v>
      </c>
      <c r="T373" s="279">
        <f t="shared" si="245"/>
        <v>10543</v>
      </c>
      <c r="U373" s="279">
        <f t="shared" si="245"/>
        <v>10605</v>
      </c>
      <c r="V373" s="280">
        <f t="shared" si="207"/>
        <v>702</v>
      </c>
      <c r="W373" s="281">
        <f t="shared" si="208"/>
        <v>7.0887609815207517E-2</v>
      </c>
    </row>
    <row r="374" spans="1:23" ht="25.5">
      <c r="A374" s="342" t="s">
        <v>867</v>
      </c>
      <c r="B374" s="76" t="s">
        <v>868</v>
      </c>
      <c r="C374" s="76" t="s">
        <v>869</v>
      </c>
      <c r="D374" s="328" t="s">
        <v>99</v>
      </c>
      <c r="E374" s="328" t="s">
        <v>36</v>
      </c>
      <c r="F374" s="277">
        <f>IFERROR((VLOOKUP(E374,'MEMORANDOS E IPC 2023 Y 2024'!$A$1:$C$20,3,0)),"0")</f>
        <v>44974</v>
      </c>
      <c r="G374" s="233">
        <v>54145</v>
      </c>
      <c r="H374" s="279">
        <f>IF(($F374="0"),$F374,(ROUNDDOWN((G374*(1+(H$4/100))),0)))</f>
        <v>54713</v>
      </c>
      <c r="I374" s="279">
        <f t="shared" ref="I374:U378" si="246">IF(($F374="0"),$F374,(ROUNDDOWN((H374*(1+(I$4/100))),0)))</f>
        <v>55139</v>
      </c>
      <c r="J374" s="279">
        <f t="shared" si="246"/>
        <v>55376</v>
      </c>
      <c r="K374" s="279">
        <f t="shared" si="246"/>
        <v>55542</v>
      </c>
      <c r="L374" s="279">
        <f t="shared" si="246"/>
        <v>55819</v>
      </c>
      <c r="M374" s="279">
        <f t="shared" si="246"/>
        <v>56209</v>
      </c>
      <c r="N374" s="279">
        <f t="shared" si="246"/>
        <v>56512</v>
      </c>
      <c r="O374" s="279">
        <f t="shared" si="246"/>
        <v>56653</v>
      </c>
      <c r="P374" s="279">
        <f t="shared" si="246"/>
        <v>56919</v>
      </c>
      <c r="Q374" s="279">
        <f t="shared" si="246"/>
        <v>57175</v>
      </c>
      <c r="R374" s="279">
        <f t="shared" si="246"/>
        <v>57701</v>
      </c>
      <c r="S374" s="279">
        <f t="shared" si="246"/>
        <v>58329</v>
      </c>
      <c r="T374" s="279">
        <f t="shared" si="246"/>
        <v>58737</v>
      </c>
      <c r="U374" s="279">
        <f t="shared" si="246"/>
        <v>59083</v>
      </c>
      <c r="V374" s="280">
        <f t="shared" si="207"/>
        <v>4938</v>
      </c>
      <c r="W374" s="281">
        <f t="shared" si="208"/>
        <v>9.1199556745775234E-2</v>
      </c>
    </row>
    <row r="375" spans="1:23">
      <c r="A375" s="342" t="s">
        <v>867</v>
      </c>
      <c r="B375" s="82" t="s">
        <v>870</v>
      </c>
      <c r="C375" s="76" t="s">
        <v>871</v>
      </c>
      <c r="D375" s="223" t="s">
        <v>99</v>
      </c>
      <c r="E375" s="223" t="s">
        <v>36</v>
      </c>
      <c r="F375" s="277">
        <f>IFERROR((VLOOKUP(E375,'MEMORANDOS E IPC 2023 Y 2024'!$A$1:$C$20,3,0)),"0")</f>
        <v>44974</v>
      </c>
      <c r="G375" s="233">
        <v>19397</v>
      </c>
      <c r="H375" s="279">
        <f>IF(($F375="0"),$F375,(ROUNDDOWN((G375*(1+(H$4/100))),0)))</f>
        <v>19600</v>
      </c>
      <c r="I375" s="279">
        <f t="shared" si="246"/>
        <v>19752</v>
      </c>
      <c r="J375" s="279">
        <f t="shared" si="246"/>
        <v>19836</v>
      </c>
      <c r="K375" s="279">
        <f t="shared" si="246"/>
        <v>19895</v>
      </c>
      <c r="L375" s="279">
        <f t="shared" si="246"/>
        <v>19994</v>
      </c>
      <c r="M375" s="279">
        <f t="shared" si="246"/>
        <v>20133</v>
      </c>
      <c r="N375" s="279">
        <f t="shared" si="246"/>
        <v>20241</v>
      </c>
      <c r="O375" s="279">
        <f t="shared" si="246"/>
        <v>20291</v>
      </c>
      <c r="P375" s="279">
        <f t="shared" si="246"/>
        <v>20386</v>
      </c>
      <c r="Q375" s="279">
        <f t="shared" si="246"/>
        <v>20477</v>
      </c>
      <c r="R375" s="279">
        <f t="shared" si="246"/>
        <v>20665</v>
      </c>
      <c r="S375" s="279">
        <f t="shared" si="246"/>
        <v>20890</v>
      </c>
      <c r="T375" s="279">
        <f t="shared" si="246"/>
        <v>21036</v>
      </c>
      <c r="U375" s="279">
        <f t="shared" si="246"/>
        <v>21160</v>
      </c>
      <c r="V375" s="280">
        <f t="shared" si="207"/>
        <v>1763</v>
      </c>
      <c r="W375" s="281">
        <f t="shared" si="208"/>
        <v>9.0890343867608386E-2</v>
      </c>
    </row>
    <row r="376" spans="1:23" ht="25.5">
      <c r="A376" s="342" t="s">
        <v>867</v>
      </c>
      <c r="B376" s="82" t="s">
        <v>872</v>
      </c>
      <c r="C376" s="76" t="s">
        <v>873</v>
      </c>
      <c r="D376" s="223" t="s">
        <v>874</v>
      </c>
      <c r="E376" s="223" t="s">
        <v>36</v>
      </c>
      <c r="F376" s="277">
        <f>IFERROR((VLOOKUP(E376,'MEMORANDOS E IPC 2023 Y 2024'!$A$1:$C$20,3,0)),"0")</f>
        <v>44974</v>
      </c>
      <c r="G376" s="233">
        <v>10353</v>
      </c>
      <c r="H376" s="279">
        <f>IF(($F376="0"),$F376,(ROUNDDOWN((G376*(1+(H$4/100))),0)))</f>
        <v>10461</v>
      </c>
      <c r="I376" s="279">
        <f t="shared" si="246"/>
        <v>10542</v>
      </c>
      <c r="J376" s="279">
        <f t="shared" si="246"/>
        <v>10587</v>
      </c>
      <c r="K376" s="279">
        <f t="shared" si="246"/>
        <v>10618</v>
      </c>
      <c r="L376" s="279">
        <f t="shared" si="246"/>
        <v>10671</v>
      </c>
      <c r="M376" s="279">
        <f t="shared" si="246"/>
        <v>10745</v>
      </c>
      <c r="N376" s="279">
        <f t="shared" si="246"/>
        <v>10803</v>
      </c>
      <c r="O376" s="279">
        <f t="shared" si="246"/>
        <v>10830</v>
      </c>
      <c r="P376" s="279">
        <f t="shared" si="246"/>
        <v>10880</v>
      </c>
      <c r="Q376" s="279">
        <f t="shared" si="246"/>
        <v>10928</v>
      </c>
      <c r="R376" s="279">
        <f t="shared" si="246"/>
        <v>11028</v>
      </c>
      <c r="S376" s="279">
        <f t="shared" si="246"/>
        <v>11148</v>
      </c>
      <c r="T376" s="279">
        <f t="shared" si="246"/>
        <v>11226</v>
      </c>
      <c r="U376" s="279">
        <f t="shared" si="246"/>
        <v>11292</v>
      </c>
      <c r="V376" s="280">
        <f t="shared" si="207"/>
        <v>939</v>
      </c>
      <c r="W376" s="281">
        <f t="shared" si="208"/>
        <v>9.069834830483918E-2</v>
      </c>
    </row>
    <row r="377" spans="1:23" ht="51">
      <c r="A377" s="342" t="s">
        <v>867</v>
      </c>
      <c r="B377" s="76" t="s">
        <v>875</v>
      </c>
      <c r="C377" s="1" t="s">
        <v>876</v>
      </c>
      <c r="D377" s="223" t="s">
        <v>99</v>
      </c>
      <c r="E377" s="223" t="s">
        <v>46</v>
      </c>
      <c r="F377" s="277">
        <f>IFERROR((VLOOKUP(E377,'MEMORANDOS E IPC 2023 Y 2024'!$A$1:$C$20,3,0)),"0")</f>
        <v>45117</v>
      </c>
      <c r="G377" s="233">
        <v>88616</v>
      </c>
      <c r="H377" s="285">
        <f>G377</f>
        <v>88616</v>
      </c>
      <c r="I377" s="285">
        <f t="shared" ref="I377:L378" si="247">H377</f>
        <v>88616</v>
      </c>
      <c r="J377" s="285">
        <f t="shared" si="247"/>
        <v>88616</v>
      </c>
      <c r="K377" s="285">
        <f t="shared" si="247"/>
        <v>88616</v>
      </c>
      <c r="L377" s="285">
        <f t="shared" si="247"/>
        <v>88616</v>
      </c>
      <c r="M377" s="279">
        <f t="shared" si="246"/>
        <v>89236</v>
      </c>
      <c r="N377" s="279">
        <f t="shared" si="246"/>
        <v>89717</v>
      </c>
      <c r="O377" s="279">
        <f t="shared" si="246"/>
        <v>89941</v>
      </c>
      <c r="P377" s="279">
        <f t="shared" si="246"/>
        <v>90363</v>
      </c>
      <c r="Q377" s="279">
        <f t="shared" si="246"/>
        <v>90769</v>
      </c>
      <c r="R377" s="279">
        <f t="shared" si="246"/>
        <v>91604</v>
      </c>
      <c r="S377" s="279">
        <f t="shared" si="246"/>
        <v>92602</v>
      </c>
      <c r="T377" s="279">
        <f t="shared" si="246"/>
        <v>93250</v>
      </c>
      <c r="U377" s="279">
        <f t="shared" si="246"/>
        <v>93800</v>
      </c>
      <c r="V377" s="280">
        <f t="shared" si="207"/>
        <v>5184</v>
      </c>
      <c r="W377" s="281">
        <f t="shared" si="208"/>
        <v>5.8499593752821162E-2</v>
      </c>
    </row>
    <row r="378" spans="1:23" ht="51">
      <c r="A378" s="342" t="s">
        <v>867</v>
      </c>
      <c r="B378" s="76" t="s">
        <v>877</v>
      </c>
      <c r="C378" s="1" t="s">
        <v>878</v>
      </c>
      <c r="D378" s="223" t="s">
        <v>99</v>
      </c>
      <c r="E378" s="223" t="s">
        <v>46</v>
      </c>
      <c r="F378" s="277">
        <f>IFERROR((VLOOKUP(E378,'MEMORANDOS E IPC 2023 Y 2024'!$A$1:$C$20,3,0)),"0")</f>
        <v>45117</v>
      </c>
      <c r="G378" s="233">
        <v>88616</v>
      </c>
      <c r="H378" s="285">
        <f>G378</f>
        <v>88616</v>
      </c>
      <c r="I378" s="285">
        <f t="shared" si="247"/>
        <v>88616</v>
      </c>
      <c r="J378" s="285">
        <f t="shared" si="247"/>
        <v>88616</v>
      </c>
      <c r="K378" s="285">
        <f t="shared" si="247"/>
        <v>88616</v>
      </c>
      <c r="L378" s="285">
        <f t="shared" si="247"/>
        <v>88616</v>
      </c>
      <c r="M378" s="279">
        <f t="shared" si="246"/>
        <v>89236</v>
      </c>
      <c r="N378" s="279">
        <f t="shared" si="246"/>
        <v>89717</v>
      </c>
      <c r="O378" s="279">
        <f t="shared" si="246"/>
        <v>89941</v>
      </c>
      <c r="P378" s="279">
        <f t="shared" si="246"/>
        <v>90363</v>
      </c>
      <c r="Q378" s="279">
        <f t="shared" si="246"/>
        <v>90769</v>
      </c>
      <c r="R378" s="279">
        <f t="shared" si="246"/>
        <v>91604</v>
      </c>
      <c r="S378" s="279">
        <f t="shared" si="246"/>
        <v>92602</v>
      </c>
      <c r="T378" s="279">
        <f t="shared" si="246"/>
        <v>93250</v>
      </c>
      <c r="U378" s="279">
        <f t="shared" si="246"/>
        <v>93800</v>
      </c>
      <c r="V378" s="280">
        <f t="shared" si="207"/>
        <v>5184</v>
      </c>
      <c r="W378" s="281">
        <f t="shared" si="208"/>
        <v>5.8499593752821162E-2</v>
      </c>
    </row>
    <row r="379" spans="1:23" ht="25.5">
      <c r="A379" s="342" t="s">
        <v>867</v>
      </c>
      <c r="B379" s="76" t="s">
        <v>879</v>
      </c>
      <c r="C379" s="76" t="s">
        <v>880</v>
      </c>
      <c r="D379" s="223" t="s">
        <v>99</v>
      </c>
      <c r="E379" s="223" t="s">
        <v>36</v>
      </c>
      <c r="F379" s="277">
        <f>IFERROR((VLOOKUP(E379,'MEMORANDOS E IPC 2023 Y 2024'!$A$1:$C$20,3,0)),"0")</f>
        <v>44974</v>
      </c>
      <c r="G379" s="233">
        <v>28580</v>
      </c>
      <c r="H379" s="279">
        <f>IF(($F379="0"),$F379,(ROUNDDOWN((G379*(1+(H$4/100))),0)))</f>
        <v>28880</v>
      </c>
      <c r="I379" s="279">
        <f t="shared" ref="I379:U381" si="248">IF(($F379="0"),$F379,(ROUNDDOWN((H379*(1+(I$4/100))),0)))</f>
        <v>29105</v>
      </c>
      <c r="J379" s="279">
        <f t="shared" si="248"/>
        <v>29230</v>
      </c>
      <c r="K379" s="279">
        <f t="shared" si="248"/>
        <v>29317</v>
      </c>
      <c r="L379" s="279">
        <f t="shared" si="248"/>
        <v>29463</v>
      </c>
      <c r="M379" s="279">
        <f t="shared" si="248"/>
        <v>29669</v>
      </c>
      <c r="N379" s="279">
        <f t="shared" si="248"/>
        <v>29829</v>
      </c>
      <c r="O379" s="279">
        <f t="shared" si="248"/>
        <v>29903</v>
      </c>
      <c r="P379" s="279">
        <f t="shared" si="248"/>
        <v>30043</v>
      </c>
      <c r="Q379" s="279">
        <f t="shared" si="248"/>
        <v>30178</v>
      </c>
      <c r="R379" s="279">
        <f t="shared" si="248"/>
        <v>30455</v>
      </c>
      <c r="S379" s="279">
        <f t="shared" si="248"/>
        <v>30786</v>
      </c>
      <c r="T379" s="279">
        <f t="shared" si="248"/>
        <v>31001</v>
      </c>
      <c r="U379" s="279">
        <f t="shared" si="248"/>
        <v>31183</v>
      </c>
      <c r="V379" s="280">
        <f t="shared" si="207"/>
        <v>2603</v>
      </c>
      <c r="W379" s="281">
        <f t="shared" si="208"/>
        <v>9.1077676696990906E-2</v>
      </c>
    </row>
    <row r="380" spans="1:23" ht="38.25">
      <c r="A380" s="342" t="s">
        <v>867</v>
      </c>
      <c r="B380" s="76" t="s">
        <v>881</v>
      </c>
      <c r="C380" s="76" t="s">
        <v>882</v>
      </c>
      <c r="D380" s="223" t="s">
        <v>99</v>
      </c>
      <c r="E380" s="223" t="s">
        <v>36</v>
      </c>
      <c r="F380" s="277">
        <f>IFERROR((VLOOKUP(E380,'MEMORANDOS E IPC 2023 Y 2024'!$A$1:$C$20,3,0)),"0")</f>
        <v>44974</v>
      </c>
      <c r="G380" s="233">
        <v>104034</v>
      </c>
      <c r="H380" s="279">
        <f>IF(($F380="0"),$F380,(ROUNDDOWN((G380*(1+(H$4/100))),0)))</f>
        <v>105126</v>
      </c>
      <c r="I380" s="279">
        <f t="shared" si="248"/>
        <v>105945</v>
      </c>
      <c r="J380" s="279">
        <f t="shared" si="248"/>
        <v>106400</v>
      </c>
      <c r="K380" s="279">
        <f t="shared" si="248"/>
        <v>106719</v>
      </c>
      <c r="L380" s="279">
        <f t="shared" si="248"/>
        <v>107252</v>
      </c>
      <c r="M380" s="279">
        <f t="shared" si="248"/>
        <v>108002</v>
      </c>
      <c r="N380" s="279">
        <f t="shared" si="248"/>
        <v>108585</v>
      </c>
      <c r="O380" s="279">
        <f t="shared" si="248"/>
        <v>108856</v>
      </c>
      <c r="P380" s="279">
        <f t="shared" si="248"/>
        <v>109367</v>
      </c>
      <c r="Q380" s="279">
        <f t="shared" si="248"/>
        <v>109859</v>
      </c>
      <c r="R380" s="279">
        <f t="shared" si="248"/>
        <v>110869</v>
      </c>
      <c r="S380" s="279">
        <f t="shared" si="248"/>
        <v>112077</v>
      </c>
      <c r="T380" s="279">
        <f t="shared" si="248"/>
        <v>112861</v>
      </c>
      <c r="U380" s="279">
        <f t="shared" si="248"/>
        <v>113526</v>
      </c>
      <c r="V380" s="280">
        <f t="shared" si="207"/>
        <v>9492</v>
      </c>
      <c r="W380" s="281">
        <f t="shared" si="208"/>
        <v>9.1239402503027853E-2</v>
      </c>
    </row>
    <row r="381" spans="1:23">
      <c r="A381" s="342" t="s">
        <v>867</v>
      </c>
      <c r="B381" s="76" t="s">
        <v>883</v>
      </c>
      <c r="C381" s="76" t="s">
        <v>884</v>
      </c>
      <c r="D381" s="223" t="s">
        <v>99</v>
      </c>
      <c r="E381" s="223" t="s">
        <v>46</v>
      </c>
      <c r="F381" s="277">
        <f>IFERROR((VLOOKUP(E381,'MEMORANDOS E IPC 2023 Y 2024'!$A$1:$C$20,3,0)),"0")</f>
        <v>45117</v>
      </c>
      <c r="G381" s="233">
        <v>86135</v>
      </c>
      <c r="H381" s="285">
        <f>G381</f>
        <v>86135</v>
      </c>
      <c r="I381" s="285">
        <f t="shared" ref="I381:L381" si="249">H381</f>
        <v>86135</v>
      </c>
      <c r="J381" s="285">
        <f t="shared" si="249"/>
        <v>86135</v>
      </c>
      <c r="K381" s="285">
        <f t="shared" si="249"/>
        <v>86135</v>
      </c>
      <c r="L381" s="285">
        <f t="shared" si="249"/>
        <v>86135</v>
      </c>
      <c r="M381" s="279">
        <f>IF(($F381="0"),$F381,(ROUNDDOWN((L381*(1+(M$4/100))),0)))</f>
        <v>86737</v>
      </c>
      <c r="N381" s="279">
        <f t="shared" si="248"/>
        <v>87205</v>
      </c>
      <c r="O381" s="279">
        <f t="shared" si="248"/>
        <v>87423</v>
      </c>
      <c r="P381" s="279">
        <f t="shared" si="248"/>
        <v>87833</v>
      </c>
      <c r="Q381" s="279">
        <f t="shared" si="248"/>
        <v>88228</v>
      </c>
      <c r="R381" s="279">
        <f t="shared" si="248"/>
        <v>89039</v>
      </c>
      <c r="S381" s="279">
        <f t="shared" si="248"/>
        <v>90009</v>
      </c>
      <c r="T381" s="279">
        <f t="shared" si="248"/>
        <v>90639</v>
      </c>
      <c r="U381" s="279">
        <f t="shared" si="248"/>
        <v>91173</v>
      </c>
      <c r="V381" s="280">
        <f t="shared" si="207"/>
        <v>5038</v>
      </c>
      <c r="W381" s="281">
        <f t="shared" si="208"/>
        <v>5.8489580309978521E-2</v>
      </c>
    </row>
    <row r="382" spans="1:23" ht="15" customHeight="1">
      <c r="A382" s="342" t="s">
        <v>867</v>
      </c>
      <c r="B382" s="76" t="s">
        <v>885</v>
      </c>
      <c r="C382" s="76" t="s">
        <v>886</v>
      </c>
      <c r="D382" s="223" t="s">
        <v>108</v>
      </c>
      <c r="E382" s="223" t="s">
        <v>84</v>
      </c>
      <c r="F382" s="277" t="str">
        <f>IFERROR((VLOOKUP(E382,'MEMORANDOS E IPC 2023 Y 2024'!$A$1:$C$20,3,0)),"0")</f>
        <v>0</v>
      </c>
      <c r="G382" s="233">
        <v>54600</v>
      </c>
      <c r="H382" s="279">
        <f>IF(($F382="0"),$G382,(ROUNDDOWN((G382*(1+(H$4/100))),0)))</f>
        <v>54600</v>
      </c>
      <c r="I382" s="279">
        <f t="shared" ref="I382:U382" si="250">IF(($F382="0"),$G382,(ROUNDDOWN((H382*(1+(I$4/100))),0)))</f>
        <v>54600</v>
      </c>
      <c r="J382" s="279">
        <f t="shared" si="250"/>
        <v>54600</v>
      </c>
      <c r="K382" s="279">
        <f t="shared" si="250"/>
        <v>54600</v>
      </c>
      <c r="L382" s="279">
        <f t="shared" si="250"/>
        <v>54600</v>
      </c>
      <c r="M382" s="279">
        <f t="shared" si="250"/>
        <v>54600</v>
      </c>
      <c r="N382" s="279">
        <f t="shared" si="250"/>
        <v>54600</v>
      </c>
      <c r="O382" s="279">
        <f t="shared" si="250"/>
        <v>54600</v>
      </c>
      <c r="P382" s="279">
        <f t="shared" si="250"/>
        <v>54600</v>
      </c>
      <c r="Q382" s="279">
        <f t="shared" si="250"/>
        <v>54600</v>
      </c>
      <c r="R382" s="279">
        <f t="shared" si="250"/>
        <v>54600</v>
      </c>
      <c r="S382" s="279">
        <f t="shared" si="250"/>
        <v>54600</v>
      </c>
      <c r="T382" s="279">
        <f t="shared" si="250"/>
        <v>54600</v>
      </c>
      <c r="U382" s="279">
        <f t="shared" si="250"/>
        <v>54600</v>
      </c>
      <c r="V382" s="280">
        <f t="shared" si="207"/>
        <v>0</v>
      </c>
      <c r="W382" s="281">
        <f t="shared" si="208"/>
        <v>0</v>
      </c>
    </row>
    <row r="383" spans="1:23">
      <c r="A383" s="342" t="s">
        <v>867</v>
      </c>
      <c r="B383" s="76" t="s">
        <v>887</v>
      </c>
      <c r="C383" s="76" t="s">
        <v>888</v>
      </c>
      <c r="D383" s="223" t="s">
        <v>99</v>
      </c>
      <c r="E383" s="223" t="s">
        <v>36</v>
      </c>
      <c r="F383" s="277">
        <f>IFERROR((VLOOKUP(E383,'MEMORANDOS E IPC 2023 Y 2024'!$A$1:$C$20,3,0)),"0")</f>
        <v>44974</v>
      </c>
      <c r="G383" s="233">
        <v>26063</v>
      </c>
      <c r="H383" s="279">
        <f>IF(($F383="0"),$F383,(ROUNDDOWN((G383*(1+(H$4/100))),0)))</f>
        <v>26336</v>
      </c>
      <c r="I383" s="279">
        <f t="shared" ref="I383:U383" si="251">IF(($F383="0"),$F383,(ROUNDDOWN((H383*(1+(I$4/100))),0)))</f>
        <v>26541</v>
      </c>
      <c r="J383" s="279">
        <f t="shared" si="251"/>
        <v>26655</v>
      </c>
      <c r="K383" s="279">
        <f t="shared" si="251"/>
        <v>26734</v>
      </c>
      <c r="L383" s="279">
        <f t="shared" si="251"/>
        <v>26867</v>
      </c>
      <c r="M383" s="279">
        <f t="shared" si="251"/>
        <v>27055</v>
      </c>
      <c r="N383" s="279">
        <f t="shared" si="251"/>
        <v>27201</v>
      </c>
      <c r="O383" s="279">
        <f t="shared" si="251"/>
        <v>27269</v>
      </c>
      <c r="P383" s="279">
        <f t="shared" si="251"/>
        <v>27397</v>
      </c>
      <c r="Q383" s="279">
        <f t="shared" si="251"/>
        <v>27520</v>
      </c>
      <c r="R383" s="279">
        <f t="shared" si="251"/>
        <v>27773</v>
      </c>
      <c r="S383" s="279">
        <f t="shared" si="251"/>
        <v>28075</v>
      </c>
      <c r="T383" s="279">
        <f t="shared" si="251"/>
        <v>28271</v>
      </c>
      <c r="U383" s="279">
        <f t="shared" si="251"/>
        <v>28437</v>
      </c>
      <c r="V383" s="280">
        <f t="shared" si="207"/>
        <v>2374</v>
      </c>
      <c r="W383" s="281">
        <f t="shared" si="208"/>
        <v>9.1086981544718573E-2</v>
      </c>
    </row>
    <row r="384" spans="1:23">
      <c r="A384" s="342" t="s">
        <v>867</v>
      </c>
      <c r="B384" s="76" t="s">
        <v>889</v>
      </c>
      <c r="C384" s="76" t="s">
        <v>890</v>
      </c>
      <c r="D384" s="223" t="s">
        <v>108</v>
      </c>
      <c r="E384" s="223" t="s">
        <v>84</v>
      </c>
      <c r="F384" s="277" t="str">
        <f>IFERROR((VLOOKUP(E384,'MEMORANDOS E IPC 2023 Y 2024'!$A$1:$C$20,3,0)),"0")</f>
        <v>0</v>
      </c>
      <c r="G384" s="233">
        <v>101833</v>
      </c>
      <c r="H384" s="279">
        <f>IF(($F384="0"),$G384,(ROUNDDOWN((G384*(1+(H$4/100))),0)))</f>
        <v>101833</v>
      </c>
      <c r="I384" s="279">
        <f t="shared" ref="I384:U385" si="252">IF(($F384="0"),$G384,(ROUNDDOWN((H384*(1+(I$4/100))),0)))</f>
        <v>101833</v>
      </c>
      <c r="J384" s="279">
        <f t="shared" si="252"/>
        <v>101833</v>
      </c>
      <c r="K384" s="279">
        <f t="shared" si="252"/>
        <v>101833</v>
      </c>
      <c r="L384" s="279">
        <f t="shared" si="252"/>
        <v>101833</v>
      </c>
      <c r="M384" s="279">
        <f t="shared" si="252"/>
        <v>101833</v>
      </c>
      <c r="N384" s="279">
        <f t="shared" si="252"/>
        <v>101833</v>
      </c>
      <c r="O384" s="279">
        <f t="shared" si="252"/>
        <v>101833</v>
      </c>
      <c r="P384" s="279">
        <f t="shared" si="252"/>
        <v>101833</v>
      </c>
      <c r="Q384" s="279">
        <f t="shared" si="252"/>
        <v>101833</v>
      </c>
      <c r="R384" s="279">
        <f t="shared" si="252"/>
        <v>101833</v>
      </c>
      <c r="S384" s="279">
        <f t="shared" si="252"/>
        <v>101833</v>
      </c>
      <c r="T384" s="279">
        <f t="shared" si="252"/>
        <v>101833</v>
      </c>
      <c r="U384" s="279">
        <f t="shared" si="252"/>
        <v>101833</v>
      </c>
      <c r="V384" s="280">
        <f t="shared" si="207"/>
        <v>0</v>
      </c>
      <c r="W384" s="281">
        <f t="shared" si="208"/>
        <v>0</v>
      </c>
    </row>
    <row r="385" spans="1:23">
      <c r="A385" s="342" t="s">
        <v>867</v>
      </c>
      <c r="B385" s="76" t="s">
        <v>891</v>
      </c>
      <c r="C385" s="76" t="s">
        <v>892</v>
      </c>
      <c r="D385" s="223" t="s">
        <v>108</v>
      </c>
      <c r="E385" s="223" t="s">
        <v>84</v>
      </c>
      <c r="F385" s="277" t="str">
        <f>IFERROR((VLOOKUP(E385,'MEMORANDOS E IPC 2023 Y 2024'!$A$1:$C$20,3,0)),"0")</f>
        <v>0</v>
      </c>
      <c r="G385" s="233">
        <v>88345</v>
      </c>
      <c r="H385" s="279">
        <f>IF(($F385="0"),$G385,(ROUNDDOWN((G385*(1+(H$4/100))),0)))</f>
        <v>88345</v>
      </c>
      <c r="I385" s="279">
        <f t="shared" si="252"/>
        <v>88345</v>
      </c>
      <c r="J385" s="279">
        <f t="shared" si="252"/>
        <v>88345</v>
      </c>
      <c r="K385" s="279">
        <f t="shared" si="252"/>
        <v>88345</v>
      </c>
      <c r="L385" s="279">
        <f t="shared" si="252"/>
        <v>88345</v>
      </c>
      <c r="M385" s="279">
        <f t="shared" si="252"/>
        <v>88345</v>
      </c>
      <c r="N385" s="279">
        <f t="shared" si="252"/>
        <v>88345</v>
      </c>
      <c r="O385" s="279">
        <f t="shared" si="252"/>
        <v>88345</v>
      </c>
      <c r="P385" s="279">
        <f t="shared" si="252"/>
        <v>88345</v>
      </c>
      <c r="Q385" s="279">
        <f t="shared" si="252"/>
        <v>88345</v>
      </c>
      <c r="R385" s="279">
        <f t="shared" si="252"/>
        <v>88345</v>
      </c>
      <c r="S385" s="279">
        <f t="shared" si="252"/>
        <v>88345</v>
      </c>
      <c r="T385" s="279">
        <f t="shared" si="252"/>
        <v>88345</v>
      </c>
      <c r="U385" s="279">
        <f t="shared" si="252"/>
        <v>88345</v>
      </c>
      <c r="V385" s="280">
        <f t="shared" si="207"/>
        <v>0</v>
      </c>
      <c r="W385" s="281">
        <f t="shared" si="208"/>
        <v>0</v>
      </c>
    </row>
    <row r="386" spans="1:23" ht="25.5">
      <c r="A386" s="342" t="s">
        <v>867</v>
      </c>
      <c r="B386" s="76" t="s">
        <v>893</v>
      </c>
      <c r="C386" s="1" t="s">
        <v>894</v>
      </c>
      <c r="D386" s="223" t="s">
        <v>108</v>
      </c>
      <c r="E386" s="223" t="s">
        <v>36</v>
      </c>
      <c r="F386" s="277">
        <f>IFERROR((VLOOKUP(E386,'MEMORANDOS E IPC 2023 Y 2024'!$A$1:$C$20,3,0)),"0")</f>
        <v>44974</v>
      </c>
      <c r="G386" s="233">
        <v>134119</v>
      </c>
      <c r="H386" s="279">
        <f>IF(($F386="0"),$F386,(ROUNDDOWN((G386*(1+(H$4/100))),0)))</f>
        <v>135527</v>
      </c>
      <c r="I386" s="279">
        <f t="shared" ref="I386:U386" si="253">IF(($F386="0"),$F386,(ROUNDDOWN((H386*(1+(I$4/100))),0)))</f>
        <v>136584</v>
      </c>
      <c r="J386" s="279">
        <f t="shared" si="253"/>
        <v>137171</v>
      </c>
      <c r="K386" s="279">
        <f t="shared" si="253"/>
        <v>137582</v>
      </c>
      <c r="L386" s="279">
        <f t="shared" si="253"/>
        <v>138269</v>
      </c>
      <c r="M386" s="279">
        <f t="shared" si="253"/>
        <v>139236</v>
      </c>
      <c r="N386" s="279">
        <f t="shared" si="253"/>
        <v>139987</v>
      </c>
      <c r="O386" s="279">
        <f t="shared" si="253"/>
        <v>140336</v>
      </c>
      <c r="P386" s="279">
        <f t="shared" si="253"/>
        <v>140995</v>
      </c>
      <c r="Q386" s="279">
        <f t="shared" si="253"/>
        <v>141629</v>
      </c>
      <c r="R386" s="279">
        <f t="shared" si="253"/>
        <v>142931</v>
      </c>
      <c r="S386" s="279">
        <f t="shared" si="253"/>
        <v>144488</v>
      </c>
      <c r="T386" s="279">
        <f t="shared" si="253"/>
        <v>145499</v>
      </c>
      <c r="U386" s="279">
        <f t="shared" si="253"/>
        <v>146357</v>
      </c>
      <c r="V386" s="280">
        <f t="shared" si="207"/>
        <v>12238</v>
      </c>
      <c r="W386" s="281">
        <f t="shared" si="208"/>
        <v>9.124732513663239E-2</v>
      </c>
    </row>
    <row r="387" spans="1:23" ht="15" customHeight="1">
      <c r="A387" s="342" t="s">
        <v>867</v>
      </c>
      <c r="B387" s="76" t="s">
        <v>895</v>
      </c>
      <c r="C387" s="76" t="s">
        <v>896</v>
      </c>
      <c r="D387" s="223" t="s">
        <v>108</v>
      </c>
      <c r="E387" s="223" t="s">
        <v>84</v>
      </c>
      <c r="F387" s="277" t="str">
        <f>IFERROR((VLOOKUP(E387,'MEMORANDOS E IPC 2023 Y 2024'!$A$1:$C$20,3,0)),"0")</f>
        <v>0</v>
      </c>
      <c r="G387" s="233">
        <v>67400</v>
      </c>
      <c r="H387" s="279">
        <f>IF(($F387="0"),$G387,(ROUNDDOWN((G387*(1+(H$4/100))),0)))</f>
        <v>67400</v>
      </c>
      <c r="I387" s="279">
        <f t="shared" ref="I387:U387" si="254">IF(($F387="0"),$G387,(ROUNDDOWN((H387*(1+(I$4/100))),0)))</f>
        <v>67400</v>
      </c>
      <c r="J387" s="279">
        <f t="shared" si="254"/>
        <v>67400</v>
      </c>
      <c r="K387" s="279">
        <f t="shared" si="254"/>
        <v>67400</v>
      </c>
      <c r="L387" s="279">
        <f t="shared" si="254"/>
        <v>67400</v>
      </c>
      <c r="M387" s="279">
        <f t="shared" si="254"/>
        <v>67400</v>
      </c>
      <c r="N387" s="279">
        <f t="shared" si="254"/>
        <v>67400</v>
      </c>
      <c r="O387" s="279">
        <f t="shared" si="254"/>
        <v>67400</v>
      </c>
      <c r="P387" s="279">
        <f t="shared" si="254"/>
        <v>67400</v>
      </c>
      <c r="Q387" s="279">
        <f t="shared" si="254"/>
        <v>67400</v>
      </c>
      <c r="R387" s="279">
        <f t="shared" si="254"/>
        <v>67400</v>
      </c>
      <c r="S387" s="279">
        <f t="shared" si="254"/>
        <v>67400</v>
      </c>
      <c r="T387" s="279">
        <f t="shared" si="254"/>
        <v>67400</v>
      </c>
      <c r="U387" s="279">
        <f t="shared" si="254"/>
        <v>67400</v>
      </c>
      <c r="V387" s="280">
        <f t="shared" si="207"/>
        <v>0</v>
      </c>
      <c r="W387" s="281">
        <f t="shared" si="208"/>
        <v>0</v>
      </c>
    </row>
    <row r="388" spans="1:23">
      <c r="A388" s="342" t="s">
        <v>867</v>
      </c>
      <c r="B388" s="76" t="s">
        <v>897</v>
      </c>
      <c r="C388" s="76" t="s">
        <v>888</v>
      </c>
      <c r="D388" s="223" t="s">
        <v>108</v>
      </c>
      <c r="E388" s="223" t="s">
        <v>36</v>
      </c>
      <c r="F388" s="277">
        <f>IFERROR((VLOOKUP(E388,'MEMORANDOS E IPC 2023 Y 2024'!$A$1:$C$20,3,0)),"0")</f>
        <v>44974</v>
      </c>
      <c r="G388" s="233">
        <v>26063</v>
      </c>
      <c r="H388" s="279">
        <f>IF(($F388="0"),$F388,(ROUNDDOWN((G388*(1+(H$4/100))),0)))</f>
        <v>26336</v>
      </c>
      <c r="I388" s="279">
        <f t="shared" ref="I388:U388" si="255">IF(($F388="0"),$F388,(ROUNDDOWN((H388*(1+(I$4/100))),0)))</f>
        <v>26541</v>
      </c>
      <c r="J388" s="279">
        <f t="shared" si="255"/>
        <v>26655</v>
      </c>
      <c r="K388" s="279">
        <f t="shared" si="255"/>
        <v>26734</v>
      </c>
      <c r="L388" s="279">
        <f t="shared" si="255"/>
        <v>26867</v>
      </c>
      <c r="M388" s="279">
        <f t="shared" si="255"/>
        <v>27055</v>
      </c>
      <c r="N388" s="279">
        <f t="shared" si="255"/>
        <v>27201</v>
      </c>
      <c r="O388" s="279">
        <f t="shared" si="255"/>
        <v>27269</v>
      </c>
      <c r="P388" s="279">
        <f t="shared" si="255"/>
        <v>27397</v>
      </c>
      <c r="Q388" s="279">
        <f t="shared" si="255"/>
        <v>27520</v>
      </c>
      <c r="R388" s="279">
        <f t="shared" si="255"/>
        <v>27773</v>
      </c>
      <c r="S388" s="279">
        <f t="shared" si="255"/>
        <v>28075</v>
      </c>
      <c r="T388" s="279">
        <f t="shared" si="255"/>
        <v>28271</v>
      </c>
      <c r="U388" s="279">
        <f t="shared" si="255"/>
        <v>28437</v>
      </c>
      <c r="V388" s="280">
        <f t="shared" si="207"/>
        <v>2374</v>
      </c>
      <c r="W388" s="281">
        <f t="shared" si="208"/>
        <v>9.1086981544718573E-2</v>
      </c>
    </row>
    <row r="389" spans="1:23">
      <c r="A389" s="342" t="s">
        <v>867</v>
      </c>
      <c r="B389" s="76" t="s">
        <v>898</v>
      </c>
      <c r="C389" s="76" t="s">
        <v>899</v>
      </c>
      <c r="D389" s="223" t="s">
        <v>108</v>
      </c>
      <c r="E389" s="223" t="s">
        <v>84</v>
      </c>
      <c r="F389" s="277" t="str">
        <f>IFERROR((VLOOKUP(E389,'MEMORANDOS E IPC 2023 Y 2024'!$A$1:$C$20,3,0)),"0")</f>
        <v>0</v>
      </c>
      <c r="G389" s="233">
        <v>91594</v>
      </c>
      <c r="H389" s="279">
        <f>IF(($F389="0"),$G389,(ROUNDDOWN((G389*(1+(H$4/100))),0)))</f>
        <v>91594</v>
      </c>
      <c r="I389" s="279">
        <f t="shared" ref="I389:U390" si="256">IF(($F389="0"),$G389,(ROUNDDOWN((H389*(1+(I$4/100))),0)))</f>
        <v>91594</v>
      </c>
      <c r="J389" s="279">
        <f t="shared" si="256"/>
        <v>91594</v>
      </c>
      <c r="K389" s="279">
        <f t="shared" si="256"/>
        <v>91594</v>
      </c>
      <c r="L389" s="279">
        <f t="shared" si="256"/>
        <v>91594</v>
      </c>
      <c r="M389" s="279">
        <f t="shared" si="256"/>
        <v>91594</v>
      </c>
      <c r="N389" s="279">
        <f t="shared" si="256"/>
        <v>91594</v>
      </c>
      <c r="O389" s="279">
        <f t="shared" si="256"/>
        <v>91594</v>
      </c>
      <c r="P389" s="279">
        <f t="shared" si="256"/>
        <v>91594</v>
      </c>
      <c r="Q389" s="279">
        <f t="shared" si="256"/>
        <v>91594</v>
      </c>
      <c r="R389" s="279">
        <f t="shared" si="256"/>
        <v>91594</v>
      </c>
      <c r="S389" s="279">
        <f t="shared" si="256"/>
        <v>91594</v>
      </c>
      <c r="T389" s="279">
        <f t="shared" si="256"/>
        <v>91594</v>
      </c>
      <c r="U389" s="279">
        <f t="shared" si="256"/>
        <v>91594</v>
      </c>
      <c r="V389" s="280">
        <f t="shared" si="207"/>
        <v>0</v>
      </c>
      <c r="W389" s="281">
        <f t="shared" si="208"/>
        <v>0</v>
      </c>
    </row>
    <row r="390" spans="1:23">
      <c r="A390" s="342" t="s">
        <v>867</v>
      </c>
      <c r="B390" s="76" t="s">
        <v>900</v>
      </c>
      <c r="C390" s="76" t="s">
        <v>890</v>
      </c>
      <c r="D390" s="223" t="s">
        <v>108</v>
      </c>
      <c r="E390" s="223" t="s">
        <v>84</v>
      </c>
      <c r="F390" s="277" t="str">
        <f>IFERROR((VLOOKUP(E390,'MEMORANDOS E IPC 2023 Y 2024'!$A$1:$C$20,3,0)),"0")</f>
        <v>0</v>
      </c>
      <c r="G390" s="233">
        <v>91594</v>
      </c>
      <c r="H390" s="279">
        <f>IF(($F390="0"),$G390,(ROUNDDOWN((G390*(1+(H$4/100))),0)))</f>
        <v>91594</v>
      </c>
      <c r="I390" s="279">
        <f t="shared" si="256"/>
        <v>91594</v>
      </c>
      <c r="J390" s="279">
        <f t="shared" si="256"/>
        <v>91594</v>
      </c>
      <c r="K390" s="279">
        <f t="shared" si="256"/>
        <v>91594</v>
      </c>
      <c r="L390" s="279">
        <f t="shared" si="256"/>
        <v>91594</v>
      </c>
      <c r="M390" s="279">
        <f t="shared" si="256"/>
        <v>91594</v>
      </c>
      <c r="N390" s="279">
        <f t="shared" si="256"/>
        <v>91594</v>
      </c>
      <c r="O390" s="279">
        <f t="shared" si="256"/>
        <v>91594</v>
      </c>
      <c r="P390" s="279">
        <f t="shared" si="256"/>
        <v>91594</v>
      </c>
      <c r="Q390" s="279">
        <f t="shared" si="256"/>
        <v>91594</v>
      </c>
      <c r="R390" s="279">
        <f t="shared" si="256"/>
        <v>91594</v>
      </c>
      <c r="S390" s="279">
        <f t="shared" si="256"/>
        <v>91594</v>
      </c>
      <c r="T390" s="279">
        <f t="shared" si="256"/>
        <v>91594</v>
      </c>
      <c r="U390" s="279">
        <f t="shared" si="256"/>
        <v>91594</v>
      </c>
      <c r="V390" s="280">
        <f t="shared" si="207"/>
        <v>0</v>
      </c>
      <c r="W390" s="281">
        <f t="shared" si="208"/>
        <v>0</v>
      </c>
    </row>
    <row r="391" spans="1:23" ht="25.5">
      <c r="A391" s="342" t="s">
        <v>867</v>
      </c>
      <c r="B391" s="76" t="s">
        <v>901</v>
      </c>
      <c r="C391" s="1" t="s">
        <v>894</v>
      </c>
      <c r="D391" s="223" t="s">
        <v>108</v>
      </c>
      <c r="E391" s="223" t="s">
        <v>36</v>
      </c>
      <c r="F391" s="277">
        <f>IFERROR((VLOOKUP(E391,'MEMORANDOS E IPC 2023 Y 2024'!$A$1:$C$20,3,0)),"0")</f>
        <v>44974</v>
      </c>
      <c r="G391" s="233">
        <v>134119</v>
      </c>
      <c r="H391" s="279">
        <f>IF(($F391="0"),$F391,(ROUNDDOWN((G391*(1+(H$4/100))),0)))</f>
        <v>135527</v>
      </c>
      <c r="I391" s="279">
        <f t="shared" ref="I391:U392" si="257">IF(($F391="0"),$F391,(ROUNDDOWN((H391*(1+(I$4/100))),0)))</f>
        <v>136584</v>
      </c>
      <c r="J391" s="279">
        <f t="shared" si="257"/>
        <v>137171</v>
      </c>
      <c r="K391" s="279">
        <f t="shared" si="257"/>
        <v>137582</v>
      </c>
      <c r="L391" s="279">
        <f t="shared" si="257"/>
        <v>138269</v>
      </c>
      <c r="M391" s="279">
        <f t="shared" si="257"/>
        <v>139236</v>
      </c>
      <c r="N391" s="279">
        <f t="shared" si="257"/>
        <v>139987</v>
      </c>
      <c r="O391" s="279">
        <f t="shared" si="257"/>
        <v>140336</v>
      </c>
      <c r="P391" s="279">
        <f t="shared" si="257"/>
        <v>140995</v>
      </c>
      <c r="Q391" s="279">
        <f t="shared" si="257"/>
        <v>141629</v>
      </c>
      <c r="R391" s="279">
        <f t="shared" si="257"/>
        <v>142931</v>
      </c>
      <c r="S391" s="279">
        <f t="shared" si="257"/>
        <v>144488</v>
      </c>
      <c r="T391" s="279">
        <f t="shared" si="257"/>
        <v>145499</v>
      </c>
      <c r="U391" s="279">
        <f t="shared" si="257"/>
        <v>146357</v>
      </c>
      <c r="V391" s="280">
        <f t="shared" si="207"/>
        <v>12238</v>
      </c>
      <c r="W391" s="281">
        <f t="shared" si="208"/>
        <v>9.124732513663239E-2</v>
      </c>
    </row>
    <row r="392" spans="1:23" ht="25.5">
      <c r="A392" s="342" t="s">
        <v>867</v>
      </c>
      <c r="B392" s="76" t="s">
        <v>902</v>
      </c>
      <c r="C392" s="1" t="s">
        <v>903</v>
      </c>
      <c r="D392" s="223" t="s">
        <v>108</v>
      </c>
      <c r="E392" s="223" t="s">
        <v>46</v>
      </c>
      <c r="F392" s="277">
        <f>IFERROR((VLOOKUP(E392,'MEMORANDOS E IPC 2023 Y 2024'!$A$1:$C$20,3,0)),"0")</f>
        <v>45117</v>
      </c>
      <c r="G392" s="233">
        <v>54892</v>
      </c>
      <c r="H392" s="285">
        <f>G392</f>
        <v>54892</v>
      </c>
      <c r="I392" s="285">
        <f t="shared" ref="I392:L392" si="258">H392</f>
        <v>54892</v>
      </c>
      <c r="J392" s="285">
        <f t="shared" si="258"/>
        <v>54892</v>
      </c>
      <c r="K392" s="285">
        <f t="shared" si="258"/>
        <v>54892</v>
      </c>
      <c r="L392" s="285">
        <f t="shared" si="258"/>
        <v>54892</v>
      </c>
      <c r="M392" s="279">
        <f>IF(($F392="0"),$F392,(ROUNDDOWN((L392*(1+(M$4/100))),0)))</f>
        <v>55276</v>
      </c>
      <c r="N392" s="279">
        <f t="shared" si="257"/>
        <v>55574</v>
      </c>
      <c r="O392" s="279">
        <f t="shared" si="257"/>
        <v>55712</v>
      </c>
      <c r="P392" s="279">
        <f t="shared" si="257"/>
        <v>55973</v>
      </c>
      <c r="Q392" s="279">
        <f t="shared" si="257"/>
        <v>56224</v>
      </c>
      <c r="R392" s="279">
        <f t="shared" si="257"/>
        <v>56741</v>
      </c>
      <c r="S392" s="279">
        <f t="shared" si="257"/>
        <v>57359</v>
      </c>
      <c r="T392" s="279">
        <f t="shared" si="257"/>
        <v>57760</v>
      </c>
      <c r="U392" s="279">
        <f t="shared" si="257"/>
        <v>58100</v>
      </c>
      <c r="V392" s="280">
        <f t="shared" si="207"/>
        <v>3208</v>
      </c>
      <c r="W392" s="281">
        <f t="shared" si="208"/>
        <v>5.8442031625737814E-2</v>
      </c>
    </row>
    <row r="393" spans="1:23" ht="25.5">
      <c r="A393" s="342" t="s">
        <v>867</v>
      </c>
      <c r="B393" s="76" t="s">
        <v>904</v>
      </c>
      <c r="C393" s="1" t="s">
        <v>905</v>
      </c>
      <c r="D393" s="223" t="s">
        <v>108</v>
      </c>
      <c r="E393" s="223" t="s">
        <v>36</v>
      </c>
      <c r="F393" s="277">
        <f>IFERROR((VLOOKUP(E393,'MEMORANDOS E IPC 2023 Y 2024'!$A$1:$C$20,3,0)),"0")</f>
        <v>44974</v>
      </c>
      <c r="G393" s="233">
        <v>26063</v>
      </c>
      <c r="H393" s="279">
        <f>IF(($F393="0"),$F393,(ROUNDDOWN((G393*(1+(H$4/100))),0)))</f>
        <v>26336</v>
      </c>
      <c r="I393" s="279">
        <f t="shared" ref="I393:U394" si="259">IF(($F393="0"),$F393,(ROUNDDOWN((H393*(1+(I$4/100))),0)))</f>
        <v>26541</v>
      </c>
      <c r="J393" s="279">
        <f t="shared" si="259"/>
        <v>26655</v>
      </c>
      <c r="K393" s="279">
        <f t="shared" si="259"/>
        <v>26734</v>
      </c>
      <c r="L393" s="279">
        <f t="shared" si="259"/>
        <v>26867</v>
      </c>
      <c r="M393" s="279">
        <f t="shared" si="259"/>
        <v>27055</v>
      </c>
      <c r="N393" s="279">
        <f t="shared" si="259"/>
        <v>27201</v>
      </c>
      <c r="O393" s="279">
        <f t="shared" si="259"/>
        <v>27269</v>
      </c>
      <c r="P393" s="279">
        <f t="shared" si="259"/>
        <v>27397</v>
      </c>
      <c r="Q393" s="279">
        <f t="shared" si="259"/>
        <v>27520</v>
      </c>
      <c r="R393" s="279">
        <f t="shared" si="259"/>
        <v>27773</v>
      </c>
      <c r="S393" s="279">
        <f t="shared" si="259"/>
        <v>28075</v>
      </c>
      <c r="T393" s="279">
        <f t="shared" si="259"/>
        <v>28271</v>
      </c>
      <c r="U393" s="279">
        <f t="shared" si="259"/>
        <v>28437</v>
      </c>
      <c r="V393" s="280">
        <f t="shared" si="207"/>
        <v>2374</v>
      </c>
      <c r="W393" s="281">
        <f t="shared" si="208"/>
        <v>9.1086981544718573E-2</v>
      </c>
    </row>
    <row r="394" spans="1:23" ht="51" customHeight="1">
      <c r="A394" s="342" t="s">
        <v>867</v>
      </c>
      <c r="B394" s="76" t="s">
        <v>906</v>
      </c>
      <c r="C394" s="1" t="s">
        <v>907</v>
      </c>
      <c r="D394" s="223" t="s">
        <v>108</v>
      </c>
      <c r="E394" s="223" t="s">
        <v>46</v>
      </c>
      <c r="F394" s="277">
        <f>IFERROR((VLOOKUP(E394,'MEMORANDOS E IPC 2023 Y 2024'!$A$1:$C$20,3,0)),"0")</f>
        <v>45117</v>
      </c>
      <c r="G394" s="233">
        <v>44774</v>
      </c>
      <c r="H394" s="285">
        <f>G394</f>
        <v>44774</v>
      </c>
      <c r="I394" s="285">
        <f t="shared" ref="I394:L394" si="260">H394</f>
        <v>44774</v>
      </c>
      <c r="J394" s="285">
        <f t="shared" si="260"/>
        <v>44774</v>
      </c>
      <c r="K394" s="285">
        <f t="shared" si="260"/>
        <v>44774</v>
      </c>
      <c r="L394" s="285">
        <f t="shared" si="260"/>
        <v>44774</v>
      </c>
      <c r="M394" s="279">
        <f>IF(($F394="0"),$F394,(ROUNDDOWN((L394*(1+(M$4/100))),0)))</f>
        <v>45087</v>
      </c>
      <c r="N394" s="279">
        <f t="shared" si="259"/>
        <v>45330</v>
      </c>
      <c r="O394" s="279">
        <f t="shared" si="259"/>
        <v>45443</v>
      </c>
      <c r="P394" s="279">
        <f t="shared" si="259"/>
        <v>45656</v>
      </c>
      <c r="Q394" s="279">
        <f t="shared" si="259"/>
        <v>45861</v>
      </c>
      <c r="R394" s="279">
        <f t="shared" si="259"/>
        <v>46282</v>
      </c>
      <c r="S394" s="279">
        <f t="shared" si="259"/>
        <v>46786</v>
      </c>
      <c r="T394" s="279">
        <f t="shared" si="259"/>
        <v>47113</v>
      </c>
      <c r="U394" s="279">
        <f t="shared" si="259"/>
        <v>47390</v>
      </c>
      <c r="V394" s="280">
        <f t="shared" si="207"/>
        <v>2616</v>
      </c>
      <c r="W394" s="281">
        <f t="shared" si="208"/>
        <v>5.8426765533568591E-2</v>
      </c>
    </row>
    <row r="395" spans="1:23" ht="38.25">
      <c r="A395" s="342" t="s">
        <v>867</v>
      </c>
      <c r="B395" s="343" t="s">
        <v>908</v>
      </c>
      <c r="C395" s="70" t="s">
        <v>909</v>
      </c>
      <c r="D395" s="65" t="s">
        <v>108</v>
      </c>
      <c r="E395" s="80" t="s">
        <v>36</v>
      </c>
      <c r="F395" s="277">
        <f>IFERROR((VLOOKUP(E395,'MEMORANDOS E IPC 2023 Y 2024'!$A$1:$C$20,3,0)),"0")</f>
        <v>44974</v>
      </c>
      <c r="G395" s="233">
        <v>95914</v>
      </c>
      <c r="H395" s="279">
        <f>IF(($F395="0"),$F395,(ROUNDDOWN((G395*(1+(H$4/100))),0)))</f>
        <v>96921</v>
      </c>
      <c r="I395" s="279">
        <f t="shared" ref="I395:U396" si="261">IF(($F395="0"),$F395,(ROUNDDOWN((H395*(1+(I$4/100))),0)))</f>
        <v>97676</v>
      </c>
      <c r="J395" s="279">
        <f t="shared" si="261"/>
        <v>98096</v>
      </c>
      <c r="K395" s="279">
        <f t="shared" si="261"/>
        <v>98390</v>
      </c>
      <c r="L395" s="279">
        <f t="shared" si="261"/>
        <v>98881</v>
      </c>
      <c r="M395" s="279">
        <f t="shared" si="261"/>
        <v>99573</v>
      </c>
      <c r="N395" s="279">
        <f t="shared" si="261"/>
        <v>100110</v>
      </c>
      <c r="O395" s="279">
        <f t="shared" si="261"/>
        <v>100360</v>
      </c>
      <c r="P395" s="279">
        <f t="shared" si="261"/>
        <v>100831</v>
      </c>
      <c r="Q395" s="279">
        <f t="shared" si="261"/>
        <v>101284</v>
      </c>
      <c r="R395" s="279">
        <f t="shared" si="261"/>
        <v>102215</v>
      </c>
      <c r="S395" s="279">
        <f t="shared" si="261"/>
        <v>103329</v>
      </c>
      <c r="T395" s="279">
        <f t="shared" si="261"/>
        <v>104052</v>
      </c>
      <c r="U395" s="279">
        <f t="shared" si="261"/>
        <v>104665</v>
      </c>
      <c r="V395" s="280">
        <f t="shared" ref="V395:V396" si="262">U395-G395</f>
        <v>8751</v>
      </c>
      <c r="W395" s="281">
        <f t="shared" ref="W395:W396" si="263">V395/G395</f>
        <v>9.1237984027357846E-2</v>
      </c>
    </row>
    <row r="396" spans="1:23" ht="38.25">
      <c r="A396" s="342" t="s">
        <v>867</v>
      </c>
      <c r="B396" s="343" t="s">
        <v>910</v>
      </c>
      <c r="C396" s="81" t="s">
        <v>911</v>
      </c>
      <c r="D396" s="65" t="s">
        <v>108</v>
      </c>
      <c r="E396" s="80" t="s">
        <v>36</v>
      </c>
      <c r="F396" s="277">
        <f>IFERROR((VLOOKUP(E396,'MEMORANDOS E IPC 2023 Y 2024'!$A$1:$C$20,3,0)),"0")</f>
        <v>44974</v>
      </c>
      <c r="G396" s="233">
        <v>54892</v>
      </c>
      <c r="H396" s="279">
        <f>IF(($F396="0"),$F396,(ROUNDDOWN((G396*(1+(H$4/100))),0)))</f>
        <v>55468</v>
      </c>
      <c r="I396" s="279">
        <f t="shared" si="261"/>
        <v>55900</v>
      </c>
      <c r="J396" s="279">
        <f t="shared" si="261"/>
        <v>56140</v>
      </c>
      <c r="K396" s="279">
        <f t="shared" si="261"/>
        <v>56308</v>
      </c>
      <c r="L396" s="279">
        <f t="shared" si="261"/>
        <v>56589</v>
      </c>
      <c r="M396" s="279">
        <f t="shared" si="261"/>
        <v>56985</v>
      </c>
      <c r="N396" s="279">
        <f t="shared" si="261"/>
        <v>57292</v>
      </c>
      <c r="O396" s="279">
        <f t="shared" si="261"/>
        <v>57435</v>
      </c>
      <c r="P396" s="279">
        <f t="shared" si="261"/>
        <v>57704</v>
      </c>
      <c r="Q396" s="279">
        <f t="shared" si="261"/>
        <v>57963</v>
      </c>
      <c r="R396" s="279">
        <f t="shared" si="261"/>
        <v>58496</v>
      </c>
      <c r="S396" s="279">
        <f t="shared" si="261"/>
        <v>59133</v>
      </c>
      <c r="T396" s="279">
        <f t="shared" si="261"/>
        <v>59546</v>
      </c>
      <c r="U396" s="279">
        <f t="shared" si="261"/>
        <v>59897</v>
      </c>
      <c r="V396" s="280">
        <f t="shared" si="262"/>
        <v>5005</v>
      </c>
      <c r="W396" s="281">
        <f t="shared" si="263"/>
        <v>9.1179042483421999E-2</v>
      </c>
    </row>
    <row r="401" spans="1:26" ht="15" customHeight="1">
      <c r="A401" s="663" t="s">
        <v>86</v>
      </c>
      <c r="B401" s="662" t="s">
        <v>87</v>
      </c>
      <c r="C401" s="662" t="s">
        <v>88</v>
      </c>
      <c r="D401" s="662" t="s">
        <v>89</v>
      </c>
      <c r="E401" s="662" t="s">
        <v>90</v>
      </c>
      <c r="F401" s="662" t="s">
        <v>91</v>
      </c>
      <c r="G401" s="657" t="s">
        <v>92</v>
      </c>
      <c r="H401" s="659" t="s">
        <v>912</v>
      </c>
      <c r="I401" s="660"/>
      <c r="J401" s="660"/>
      <c r="K401" s="660"/>
      <c r="L401" s="660"/>
      <c r="M401" s="660"/>
      <c r="N401" s="660"/>
      <c r="O401" s="660"/>
      <c r="P401" s="660"/>
      <c r="Q401" s="660"/>
      <c r="R401" s="660"/>
      <c r="S401" s="660"/>
      <c r="T401" s="660"/>
      <c r="U401" s="660"/>
      <c r="V401" s="660"/>
      <c r="W401" s="660"/>
      <c r="X401" s="661"/>
    </row>
    <row r="402" spans="1:26">
      <c r="A402" s="663"/>
      <c r="B402" s="662"/>
      <c r="C402" s="662"/>
      <c r="D402" s="662"/>
      <c r="E402" s="662"/>
      <c r="F402" s="662"/>
      <c r="G402" s="657"/>
      <c r="H402" s="108" t="s">
        <v>4</v>
      </c>
      <c r="I402" s="107" t="s">
        <v>5</v>
      </c>
      <c r="J402" s="108" t="s">
        <v>6</v>
      </c>
      <c r="K402" s="107" t="s">
        <v>7</v>
      </c>
      <c r="L402" s="108" t="s">
        <v>8</v>
      </c>
      <c r="M402" s="107" t="s">
        <v>9</v>
      </c>
      <c r="N402" s="108" t="s">
        <v>10</v>
      </c>
      <c r="O402" s="107" t="s">
        <v>11</v>
      </c>
      <c r="P402" s="108" t="s">
        <v>12</v>
      </c>
      <c r="Q402" s="107" t="s">
        <v>13</v>
      </c>
      <c r="R402" s="108" t="s">
        <v>14</v>
      </c>
      <c r="S402" s="107" t="s">
        <v>16</v>
      </c>
      <c r="T402" s="108" t="s">
        <v>17</v>
      </c>
      <c r="U402" s="107" t="s">
        <v>18</v>
      </c>
      <c r="V402" s="108" t="s">
        <v>19</v>
      </c>
      <c r="W402" s="655" t="s">
        <v>94</v>
      </c>
      <c r="X402" s="655" t="s">
        <v>95</v>
      </c>
      <c r="Y402" s="655" t="s">
        <v>913</v>
      </c>
      <c r="Z402" s="655" t="s">
        <v>914</v>
      </c>
    </row>
    <row r="403" spans="1:26">
      <c r="A403" s="663"/>
      <c r="B403" s="662"/>
      <c r="C403" s="662"/>
      <c r="D403" s="662"/>
      <c r="E403" s="662"/>
      <c r="F403" s="662"/>
      <c r="G403" s="657"/>
      <c r="H403" s="127">
        <v>1.66</v>
      </c>
      <c r="I403" s="127">
        <v>1.05</v>
      </c>
      <c r="J403" s="274">
        <v>0.78</v>
      </c>
      <c r="K403" s="274">
        <v>0.43</v>
      </c>
      <c r="L403" s="274">
        <v>0.3</v>
      </c>
      <c r="M403" s="274">
        <v>0.5</v>
      </c>
      <c r="N403" s="274">
        <v>0.7</v>
      </c>
      <c r="O403" s="274">
        <v>0.54</v>
      </c>
      <c r="P403" s="274">
        <v>0.25</v>
      </c>
      <c r="Q403" s="274">
        <v>0.47</v>
      </c>
      <c r="R403" s="274">
        <v>0.45</v>
      </c>
      <c r="S403" s="275">
        <v>0.92</v>
      </c>
      <c r="T403" s="275">
        <v>1.0900000000000001</v>
      </c>
      <c r="U403" s="275">
        <v>0.7</v>
      </c>
      <c r="V403" s="275">
        <v>0.59</v>
      </c>
      <c r="W403" s="656"/>
      <c r="X403" s="656"/>
      <c r="Y403" s="656"/>
      <c r="Z403" s="656"/>
    </row>
    <row r="404" spans="1:26">
      <c r="A404" s="344" t="s">
        <v>915</v>
      </c>
      <c r="B404" s="345" t="s">
        <v>916</v>
      </c>
      <c r="C404" s="345" t="s">
        <v>916</v>
      </c>
      <c r="D404" s="346" t="s">
        <v>108</v>
      </c>
      <c r="E404" s="347" t="s">
        <v>30</v>
      </c>
      <c r="F404" s="348">
        <f>IFERROR((VLOOKUP(E404,'MEMORANDOS E IPC 2023 Y 2024'!$A$1:$C$20,3,0)),"0")</f>
        <v>44939</v>
      </c>
      <c r="G404" s="349">
        <v>282</v>
      </c>
      <c r="H404" s="350">
        <f>IF(($F404="0"),$F404,(ROUNDDOWN((G404*(1+(H$403/100))),0)))</f>
        <v>286</v>
      </c>
      <c r="I404" s="350">
        <f t="shared" ref="I404:V404" si="264">IF(($F404="0"),$F404,(ROUNDDOWN((H404*(1+(I$403/100))),0)))</f>
        <v>289</v>
      </c>
      <c r="J404" s="350">
        <f t="shared" si="264"/>
        <v>291</v>
      </c>
      <c r="K404" s="350">
        <f t="shared" si="264"/>
        <v>292</v>
      </c>
      <c r="L404" s="350">
        <f t="shared" si="264"/>
        <v>292</v>
      </c>
      <c r="M404" s="350">
        <f t="shared" si="264"/>
        <v>293</v>
      </c>
      <c r="N404" s="350">
        <f t="shared" si="264"/>
        <v>295</v>
      </c>
      <c r="O404" s="350">
        <f t="shared" si="264"/>
        <v>296</v>
      </c>
      <c r="P404" s="350">
        <f t="shared" si="264"/>
        <v>296</v>
      </c>
      <c r="Q404" s="350">
        <f t="shared" si="264"/>
        <v>297</v>
      </c>
      <c r="R404" s="350">
        <f t="shared" si="264"/>
        <v>298</v>
      </c>
      <c r="S404" s="350">
        <f t="shared" si="264"/>
        <v>300</v>
      </c>
      <c r="T404" s="350">
        <f t="shared" si="264"/>
        <v>303</v>
      </c>
      <c r="U404" s="350">
        <f t="shared" si="264"/>
        <v>305</v>
      </c>
      <c r="V404" s="350">
        <f t="shared" si="264"/>
        <v>306</v>
      </c>
      <c r="W404" s="351">
        <f t="shared" ref="W404:W414" si="265">V404-G404</f>
        <v>24</v>
      </c>
      <c r="X404" s="352">
        <f t="shared" ref="X404:X414" si="266">W404/G404</f>
        <v>8.5106382978723402E-2</v>
      </c>
      <c r="Y404" s="352">
        <f>IF(X404&gt;9.28%,9.28%,X404)</f>
        <v>8.5106382978723402E-2</v>
      </c>
      <c r="Z404" s="94">
        <f>ROUND(((1+Y404)*G404),0)</f>
        <v>306</v>
      </c>
    </row>
    <row r="405" spans="1:26">
      <c r="A405" s="344" t="s">
        <v>915</v>
      </c>
      <c r="B405" s="345" t="s">
        <v>917</v>
      </c>
      <c r="C405" s="345" t="s">
        <v>917</v>
      </c>
      <c r="D405" s="346" t="s">
        <v>108</v>
      </c>
      <c r="E405" s="347" t="s">
        <v>28</v>
      </c>
      <c r="F405" s="348">
        <f>IFERROR((VLOOKUP(E405,'MEMORANDOS E IPC 2023 Y 2024'!$A$1:$C$20,3,0)),"0")</f>
        <v>44939</v>
      </c>
      <c r="G405" s="349">
        <v>512</v>
      </c>
      <c r="H405" s="350">
        <f t="shared" ref="H405:V414" si="267">IF(($F405="0"),$F405,(ROUNDDOWN((G405*(1+(H$403/100))),0)))</f>
        <v>520</v>
      </c>
      <c r="I405" s="350">
        <f t="shared" si="267"/>
        <v>525</v>
      </c>
      <c r="J405" s="350">
        <f t="shared" si="267"/>
        <v>529</v>
      </c>
      <c r="K405" s="350">
        <f t="shared" si="267"/>
        <v>531</v>
      </c>
      <c r="L405" s="350">
        <f t="shared" si="267"/>
        <v>532</v>
      </c>
      <c r="M405" s="350">
        <f t="shared" si="267"/>
        <v>534</v>
      </c>
      <c r="N405" s="350">
        <f t="shared" si="267"/>
        <v>537</v>
      </c>
      <c r="O405" s="350">
        <f t="shared" si="267"/>
        <v>539</v>
      </c>
      <c r="P405" s="350">
        <f t="shared" si="267"/>
        <v>540</v>
      </c>
      <c r="Q405" s="350">
        <f t="shared" si="267"/>
        <v>542</v>
      </c>
      <c r="R405" s="350">
        <f t="shared" si="267"/>
        <v>544</v>
      </c>
      <c r="S405" s="350">
        <f t="shared" si="267"/>
        <v>549</v>
      </c>
      <c r="T405" s="350">
        <f t="shared" si="267"/>
        <v>554</v>
      </c>
      <c r="U405" s="350">
        <f t="shared" si="267"/>
        <v>557</v>
      </c>
      <c r="V405" s="350">
        <f t="shared" si="267"/>
        <v>560</v>
      </c>
      <c r="W405" s="351">
        <f t="shared" si="265"/>
        <v>48</v>
      </c>
      <c r="X405" s="352">
        <f t="shared" si="266"/>
        <v>9.375E-2</v>
      </c>
      <c r="Y405" s="352">
        <f t="shared" ref="Y405:Y414" si="268">IF(X405&gt;9.28%,9.28%,X405)</f>
        <v>9.2799999999999994E-2</v>
      </c>
      <c r="Z405" s="94">
        <f t="shared" ref="Z405:Z414" si="269">ROUND(((1+Y405)*G405),0)</f>
        <v>560</v>
      </c>
    </row>
    <row r="406" spans="1:26">
      <c r="A406" s="344" t="s">
        <v>915</v>
      </c>
      <c r="B406" s="345" t="s">
        <v>918</v>
      </c>
      <c r="C406" s="345" t="s">
        <v>918</v>
      </c>
      <c r="D406" s="346" t="s">
        <v>108</v>
      </c>
      <c r="E406" s="347" t="s">
        <v>30</v>
      </c>
      <c r="F406" s="348">
        <f>IFERROR((VLOOKUP(E406,'MEMORANDOS E IPC 2023 Y 2024'!$A$1:$C$20,3,0)),"0")</f>
        <v>44939</v>
      </c>
      <c r="G406" s="349">
        <v>543</v>
      </c>
      <c r="H406" s="350">
        <f t="shared" si="267"/>
        <v>552</v>
      </c>
      <c r="I406" s="350">
        <f t="shared" si="267"/>
        <v>557</v>
      </c>
      <c r="J406" s="350">
        <f t="shared" si="267"/>
        <v>561</v>
      </c>
      <c r="K406" s="350">
        <f t="shared" si="267"/>
        <v>563</v>
      </c>
      <c r="L406" s="350">
        <f t="shared" si="267"/>
        <v>564</v>
      </c>
      <c r="M406" s="350">
        <f t="shared" si="267"/>
        <v>566</v>
      </c>
      <c r="N406" s="350">
        <f t="shared" si="267"/>
        <v>569</v>
      </c>
      <c r="O406" s="350">
        <f t="shared" si="267"/>
        <v>572</v>
      </c>
      <c r="P406" s="350">
        <f t="shared" si="267"/>
        <v>573</v>
      </c>
      <c r="Q406" s="350">
        <f t="shared" si="267"/>
        <v>575</v>
      </c>
      <c r="R406" s="350">
        <f t="shared" si="267"/>
        <v>577</v>
      </c>
      <c r="S406" s="350">
        <f t="shared" si="267"/>
        <v>582</v>
      </c>
      <c r="T406" s="350">
        <f t="shared" si="267"/>
        <v>588</v>
      </c>
      <c r="U406" s="350">
        <f t="shared" si="267"/>
        <v>592</v>
      </c>
      <c r="V406" s="350">
        <f t="shared" si="267"/>
        <v>595</v>
      </c>
      <c r="W406" s="351">
        <f t="shared" si="265"/>
        <v>52</v>
      </c>
      <c r="X406" s="352">
        <f t="shared" si="266"/>
        <v>9.5764272559852676E-2</v>
      </c>
      <c r="Y406" s="352">
        <f t="shared" si="268"/>
        <v>9.2799999999999994E-2</v>
      </c>
      <c r="Z406" s="94">
        <f t="shared" si="269"/>
        <v>593</v>
      </c>
    </row>
    <row r="407" spans="1:26">
      <c r="A407" s="344" t="s">
        <v>915</v>
      </c>
      <c r="B407" s="345" t="s">
        <v>919</v>
      </c>
      <c r="C407" s="345" t="s">
        <v>919</v>
      </c>
      <c r="D407" s="346" t="s">
        <v>108</v>
      </c>
      <c r="E407" s="347" t="s">
        <v>30</v>
      </c>
      <c r="F407" s="348">
        <f>IFERROR((VLOOKUP(E407,'MEMORANDOS E IPC 2023 Y 2024'!$A$1:$C$20,3,0)),"0")</f>
        <v>44939</v>
      </c>
      <c r="G407" s="349">
        <v>399</v>
      </c>
      <c r="H407" s="350">
        <f t="shared" si="267"/>
        <v>405</v>
      </c>
      <c r="I407" s="350">
        <f t="shared" si="267"/>
        <v>409</v>
      </c>
      <c r="J407" s="350">
        <f t="shared" si="267"/>
        <v>412</v>
      </c>
      <c r="K407" s="350">
        <f t="shared" si="267"/>
        <v>413</v>
      </c>
      <c r="L407" s="350">
        <f t="shared" si="267"/>
        <v>414</v>
      </c>
      <c r="M407" s="350">
        <f t="shared" si="267"/>
        <v>416</v>
      </c>
      <c r="N407" s="350">
        <f t="shared" si="267"/>
        <v>418</v>
      </c>
      <c r="O407" s="350">
        <f t="shared" si="267"/>
        <v>420</v>
      </c>
      <c r="P407" s="350">
        <f t="shared" si="267"/>
        <v>421</v>
      </c>
      <c r="Q407" s="350">
        <f t="shared" si="267"/>
        <v>422</v>
      </c>
      <c r="R407" s="350">
        <f t="shared" si="267"/>
        <v>423</v>
      </c>
      <c r="S407" s="350">
        <f t="shared" si="267"/>
        <v>426</v>
      </c>
      <c r="T407" s="350">
        <f t="shared" si="267"/>
        <v>430</v>
      </c>
      <c r="U407" s="350">
        <f t="shared" si="267"/>
        <v>433</v>
      </c>
      <c r="V407" s="350">
        <f t="shared" si="267"/>
        <v>435</v>
      </c>
      <c r="W407" s="351">
        <f t="shared" si="265"/>
        <v>36</v>
      </c>
      <c r="X407" s="352">
        <f t="shared" si="266"/>
        <v>9.0225563909774431E-2</v>
      </c>
      <c r="Y407" s="352">
        <f t="shared" si="268"/>
        <v>9.0225563909774431E-2</v>
      </c>
      <c r="Z407" s="94">
        <f t="shared" si="269"/>
        <v>435</v>
      </c>
    </row>
    <row r="408" spans="1:26">
      <c r="A408" s="344" t="s">
        <v>915</v>
      </c>
      <c r="B408" s="345" t="s">
        <v>920</v>
      </c>
      <c r="C408" s="345" t="s">
        <v>920</v>
      </c>
      <c r="D408" s="346" t="s">
        <v>108</v>
      </c>
      <c r="E408" s="347" t="s">
        <v>30</v>
      </c>
      <c r="F408" s="348">
        <f>IFERROR((VLOOKUP(E408,'MEMORANDOS E IPC 2023 Y 2024'!$A$1:$C$20,3,0)),"0")</f>
        <v>44939</v>
      </c>
      <c r="G408" s="349">
        <v>335</v>
      </c>
      <c r="H408" s="350">
        <f t="shared" si="267"/>
        <v>340</v>
      </c>
      <c r="I408" s="350">
        <f t="shared" si="267"/>
        <v>343</v>
      </c>
      <c r="J408" s="350">
        <f t="shared" si="267"/>
        <v>345</v>
      </c>
      <c r="K408" s="350">
        <f t="shared" si="267"/>
        <v>346</v>
      </c>
      <c r="L408" s="350">
        <f t="shared" si="267"/>
        <v>347</v>
      </c>
      <c r="M408" s="350">
        <f t="shared" si="267"/>
        <v>348</v>
      </c>
      <c r="N408" s="350">
        <f t="shared" si="267"/>
        <v>350</v>
      </c>
      <c r="O408" s="350">
        <f t="shared" si="267"/>
        <v>351</v>
      </c>
      <c r="P408" s="350">
        <f t="shared" si="267"/>
        <v>351</v>
      </c>
      <c r="Q408" s="350">
        <f t="shared" si="267"/>
        <v>352</v>
      </c>
      <c r="R408" s="350">
        <f t="shared" si="267"/>
        <v>353</v>
      </c>
      <c r="S408" s="350">
        <f t="shared" si="267"/>
        <v>356</v>
      </c>
      <c r="T408" s="350">
        <f t="shared" si="267"/>
        <v>359</v>
      </c>
      <c r="U408" s="350">
        <f t="shared" si="267"/>
        <v>361</v>
      </c>
      <c r="V408" s="350">
        <f t="shared" si="267"/>
        <v>363</v>
      </c>
      <c r="W408" s="351">
        <f t="shared" si="265"/>
        <v>28</v>
      </c>
      <c r="X408" s="352">
        <f t="shared" si="266"/>
        <v>8.3582089552238809E-2</v>
      </c>
      <c r="Y408" s="352">
        <f t="shared" si="268"/>
        <v>8.3582089552238809E-2</v>
      </c>
      <c r="Z408" s="94">
        <f t="shared" si="269"/>
        <v>363</v>
      </c>
    </row>
    <row r="409" spans="1:26">
      <c r="A409" s="344" t="s">
        <v>915</v>
      </c>
      <c r="B409" s="345" t="s">
        <v>921</v>
      </c>
      <c r="C409" s="345" t="s">
        <v>921</v>
      </c>
      <c r="D409" s="346" t="s">
        <v>108</v>
      </c>
      <c r="E409" s="347" t="s">
        <v>30</v>
      </c>
      <c r="F409" s="348">
        <f>IFERROR((VLOOKUP(E409,'MEMORANDOS E IPC 2023 Y 2024'!$A$1:$C$20,3,0)),"0")</f>
        <v>44939</v>
      </c>
      <c r="G409" s="349">
        <v>307</v>
      </c>
      <c r="H409" s="350">
        <f t="shared" si="267"/>
        <v>312</v>
      </c>
      <c r="I409" s="350">
        <f t="shared" si="267"/>
        <v>315</v>
      </c>
      <c r="J409" s="350">
        <f t="shared" si="267"/>
        <v>317</v>
      </c>
      <c r="K409" s="350">
        <f t="shared" si="267"/>
        <v>318</v>
      </c>
      <c r="L409" s="350">
        <f t="shared" si="267"/>
        <v>318</v>
      </c>
      <c r="M409" s="350">
        <f t="shared" si="267"/>
        <v>319</v>
      </c>
      <c r="N409" s="350">
        <f t="shared" si="267"/>
        <v>321</v>
      </c>
      <c r="O409" s="350">
        <f t="shared" si="267"/>
        <v>322</v>
      </c>
      <c r="P409" s="350">
        <f t="shared" si="267"/>
        <v>322</v>
      </c>
      <c r="Q409" s="350">
        <f t="shared" si="267"/>
        <v>323</v>
      </c>
      <c r="R409" s="350">
        <f t="shared" si="267"/>
        <v>324</v>
      </c>
      <c r="S409" s="350">
        <f t="shared" si="267"/>
        <v>326</v>
      </c>
      <c r="T409" s="350">
        <f t="shared" si="267"/>
        <v>329</v>
      </c>
      <c r="U409" s="350">
        <f t="shared" si="267"/>
        <v>331</v>
      </c>
      <c r="V409" s="350">
        <f t="shared" si="267"/>
        <v>332</v>
      </c>
      <c r="W409" s="351">
        <f t="shared" si="265"/>
        <v>25</v>
      </c>
      <c r="X409" s="352">
        <f t="shared" si="266"/>
        <v>8.143322475570032E-2</v>
      </c>
      <c r="Y409" s="352">
        <f t="shared" si="268"/>
        <v>8.143322475570032E-2</v>
      </c>
      <c r="Z409" s="94">
        <f t="shared" si="269"/>
        <v>332</v>
      </c>
    </row>
    <row r="410" spans="1:26">
      <c r="A410" s="344" t="s">
        <v>915</v>
      </c>
      <c r="B410" s="345" t="s">
        <v>922</v>
      </c>
      <c r="C410" s="345" t="s">
        <v>922</v>
      </c>
      <c r="D410" s="346" t="s">
        <v>108</v>
      </c>
      <c r="E410" s="347" t="s">
        <v>30</v>
      </c>
      <c r="F410" s="348">
        <f>IFERROR((VLOOKUP(E410,'MEMORANDOS E IPC 2023 Y 2024'!$A$1:$C$20,3,0)),"0")</f>
        <v>44939</v>
      </c>
      <c r="G410" s="349">
        <v>380</v>
      </c>
      <c r="H410" s="350">
        <f t="shared" si="267"/>
        <v>386</v>
      </c>
      <c r="I410" s="350">
        <f t="shared" si="267"/>
        <v>390</v>
      </c>
      <c r="J410" s="350">
        <f t="shared" si="267"/>
        <v>393</v>
      </c>
      <c r="K410" s="350">
        <f t="shared" si="267"/>
        <v>394</v>
      </c>
      <c r="L410" s="350">
        <f t="shared" si="267"/>
        <v>395</v>
      </c>
      <c r="M410" s="350">
        <f t="shared" si="267"/>
        <v>396</v>
      </c>
      <c r="N410" s="350">
        <f t="shared" si="267"/>
        <v>398</v>
      </c>
      <c r="O410" s="350">
        <f t="shared" si="267"/>
        <v>400</v>
      </c>
      <c r="P410" s="350">
        <f t="shared" si="267"/>
        <v>401</v>
      </c>
      <c r="Q410" s="350">
        <f t="shared" si="267"/>
        <v>402</v>
      </c>
      <c r="R410" s="350">
        <f t="shared" si="267"/>
        <v>403</v>
      </c>
      <c r="S410" s="350">
        <f t="shared" si="267"/>
        <v>406</v>
      </c>
      <c r="T410" s="350">
        <f t="shared" si="267"/>
        <v>410</v>
      </c>
      <c r="U410" s="350">
        <f t="shared" si="267"/>
        <v>412</v>
      </c>
      <c r="V410" s="350">
        <f t="shared" si="267"/>
        <v>414</v>
      </c>
      <c r="W410" s="351">
        <f t="shared" si="265"/>
        <v>34</v>
      </c>
      <c r="X410" s="352">
        <f t="shared" si="266"/>
        <v>8.9473684210526316E-2</v>
      </c>
      <c r="Y410" s="352">
        <f t="shared" si="268"/>
        <v>8.9473684210526316E-2</v>
      </c>
      <c r="Z410" s="94">
        <f t="shared" si="269"/>
        <v>414</v>
      </c>
    </row>
    <row r="411" spans="1:26">
      <c r="A411" s="344" t="s">
        <v>915</v>
      </c>
      <c r="B411" s="345" t="s">
        <v>923</v>
      </c>
      <c r="C411" s="345" t="s">
        <v>923</v>
      </c>
      <c r="D411" s="346" t="s">
        <v>108</v>
      </c>
      <c r="E411" s="347" t="s">
        <v>30</v>
      </c>
      <c r="F411" s="348">
        <f>IFERROR((VLOOKUP(E411,'MEMORANDOS E IPC 2023 Y 2024'!$A$1:$C$20,3,0)),"0")</f>
        <v>44939</v>
      </c>
      <c r="G411" s="349">
        <v>750</v>
      </c>
      <c r="H411" s="350">
        <f t="shared" si="267"/>
        <v>762</v>
      </c>
      <c r="I411" s="350">
        <f t="shared" si="267"/>
        <v>770</v>
      </c>
      <c r="J411" s="350">
        <f t="shared" si="267"/>
        <v>776</v>
      </c>
      <c r="K411" s="350">
        <f t="shared" si="267"/>
        <v>779</v>
      </c>
      <c r="L411" s="350">
        <f t="shared" si="267"/>
        <v>781</v>
      </c>
      <c r="M411" s="350">
        <f t="shared" si="267"/>
        <v>784</v>
      </c>
      <c r="N411" s="350">
        <f t="shared" si="267"/>
        <v>789</v>
      </c>
      <c r="O411" s="350">
        <f t="shared" si="267"/>
        <v>793</v>
      </c>
      <c r="P411" s="350">
        <f t="shared" si="267"/>
        <v>794</v>
      </c>
      <c r="Q411" s="350">
        <f t="shared" si="267"/>
        <v>797</v>
      </c>
      <c r="R411" s="350">
        <f t="shared" si="267"/>
        <v>800</v>
      </c>
      <c r="S411" s="350">
        <f t="shared" si="267"/>
        <v>807</v>
      </c>
      <c r="T411" s="350">
        <f t="shared" si="267"/>
        <v>815</v>
      </c>
      <c r="U411" s="350">
        <f t="shared" si="267"/>
        <v>820</v>
      </c>
      <c r="V411" s="350">
        <f t="shared" si="267"/>
        <v>824</v>
      </c>
      <c r="W411" s="351">
        <f t="shared" si="265"/>
        <v>74</v>
      </c>
      <c r="X411" s="352">
        <f t="shared" si="266"/>
        <v>9.8666666666666666E-2</v>
      </c>
      <c r="Y411" s="352">
        <f t="shared" si="268"/>
        <v>9.2799999999999994E-2</v>
      </c>
      <c r="Z411" s="94">
        <f t="shared" si="269"/>
        <v>820</v>
      </c>
    </row>
    <row r="412" spans="1:26">
      <c r="A412" s="344" t="s">
        <v>915</v>
      </c>
      <c r="B412" s="345" t="s">
        <v>924</v>
      </c>
      <c r="C412" s="345" t="s">
        <v>924</v>
      </c>
      <c r="D412" s="346" t="s">
        <v>108</v>
      </c>
      <c r="E412" s="347" t="s">
        <v>30</v>
      </c>
      <c r="F412" s="348">
        <f>IFERROR((VLOOKUP(E412,'MEMORANDOS E IPC 2023 Y 2024'!$A$1:$C$20,3,0)),"0")</f>
        <v>44939</v>
      </c>
      <c r="G412" s="349">
        <v>892</v>
      </c>
      <c r="H412" s="350">
        <f t="shared" si="267"/>
        <v>906</v>
      </c>
      <c r="I412" s="350">
        <f t="shared" si="267"/>
        <v>915</v>
      </c>
      <c r="J412" s="350">
        <f t="shared" si="267"/>
        <v>922</v>
      </c>
      <c r="K412" s="350">
        <f t="shared" si="267"/>
        <v>925</v>
      </c>
      <c r="L412" s="350">
        <f t="shared" si="267"/>
        <v>927</v>
      </c>
      <c r="M412" s="350">
        <f t="shared" si="267"/>
        <v>931</v>
      </c>
      <c r="N412" s="350">
        <f t="shared" si="267"/>
        <v>937</v>
      </c>
      <c r="O412" s="350">
        <f t="shared" si="267"/>
        <v>942</v>
      </c>
      <c r="P412" s="350">
        <f t="shared" si="267"/>
        <v>944</v>
      </c>
      <c r="Q412" s="350">
        <f t="shared" si="267"/>
        <v>948</v>
      </c>
      <c r="R412" s="350">
        <f t="shared" si="267"/>
        <v>952</v>
      </c>
      <c r="S412" s="350">
        <f t="shared" si="267"/>
        <v>960</v>
      </c>
      <c r="T412" s="350">
        <f t="shared" si="267"/>
        <v>970</v>
      </c>
      <c r="U412" s="350">
        <f t="shared" si="267"/>
        <v>976</v>
      </c>
      <c r="V412" s="350">
        <f t="shared" si="267"/>
        <v>981</v>
      </c>
      <c r="W412" s="351">
        <f t="shared" si="265"/>
        <v>89</v>
      </c>
      <c r="X412" s="352">
        <f t="shared" si="266"/>
        <v>9.9775784753363225E-2</v>
      </c>
      <c r="Y412" s="352">
        <f t="shared" si="268"/>
        <v>9.2799999999999994E-2</v>
      </c>
      <c r="Z412" s="94">
        <f t="shared" si="269"/>
        <v>975</v>
      </c>
    </row>
    <row r="413" spans="1:26">
      <c r="A413" s="344" t="s">
        <v>915</v>
      </c>
      <c r="B413" s="345" t="s">
        <v>925</v>
      </c>
      <c r="C413" s="345" t="s">
        <v>925</v>
      </c>
      <c r="D413" s="346" t="s">
        <v>108</v>
      </c>
      <c r="E413" s="347" t="s">
        <v>30</v>
      </c>
      <c r="F413" s="348">
        <f>IFERROR((VLOOKUP(E413,'MEMORANDOS E IPC 2023 Y 2024'!$A$1:$C$20,3,0)),"0")</f>
        <v>44939</v>
      </c>
      <c r="G413" s="349">
        <v>4520</v>
      </c>
      <c r="H413" s="350">
        <f t="shared" si="267"/>
        <v>4595</v>
      </c>
      <c r="I413" s="350">
        <f t="shared" si="267"/>
        <v>4643</v>
      </c>
      <c r="J413" s="350">
        <f t="shared" si="267"/>
        <v>4679</v>
      </c>
      <c r="K413" s="350">
        <f t="shared" si="267"/>
        <v>4699</v>
      </c>
      <c r="L413" s="350">
        <f t="shared" si="267"/>
        <v>4713</v>
      </c>
      <c r="M413" s="350">
        <f t="shared" si="267"/>
        <v>4736</v>
      </c>
      <c r="N413" s="350">
        <f t="shared" si="267"/>
        <v>4769</v>
      </c>
      <c r="O413" s="350">
        <f t="shared" si="267"/>
        <v>4794</v>
      </c>
      <c r="P413" s="350">
        <f t="shared" si="267"/>
        <v>4805</v>
      </c>
      <c r="Q413" s="350">
        <f t="shared" si="267"/>
        <v>4827</v>
      </c>
      <c r="R413" s="350">
        <f t="shared" si="267"/>
        <v>4848</v>
      </c>
      <c r="S413" s="350">
        <f t="shared" si="267"/>
        <v>4892</v>
      </c>
      <c r="T413" s="350">
        <f t="shared" si="267"/>
        <v>4945</v>
      </c>
      <c r="U413" s="350">
        <f t="shared" si="267"/>
        <v>4979</v>
      </c>
      <c r="V413" s="350">
        <f t="shared" si="267"/>
        <v>5008</v>
      </c>
      <c r="W413" s="351">
        <f t="shared" si="265"/>
        <v>488</v>
      </c>
      <c r="X413" s="352">
        <f t="shared" si="266"/>
        <v>0.1079646017699115</v>
      </c>
      <c r="Y413" s="352">
        <f t="shared" si="268"/>
        <v>9.2799999999999994E-2</v>
      </c>
      <c r="Z413" s="94">
        <f t="shared" si="269"/>
        <v>4939</v>
      </c>
    </row>
    <row r="414" spans="1:26">
      <c r="A414" s="344" t="s">
        <v>915</v>
      </c>
      <c r="B414" s="345" t="s">
        <v>926</v>
      </c>
      <c r="C414" s="345" t="s">
        <v>926</v>
      </c>
      <c r="D414" s="346" t="s">
        <v>108</v>
      </c>
      <c r="E414" s="347" t="s">
        <v>30</v>
      </c>
      <c r="F414" s="348">
        <f>IFERROR((VLOOKUP(E414,'MEMORANDOS E IPC 2023 Y 2024'!$A$1:$C$20,3,0)),"0")</f>
        <v>44939</v>
      </c>
      <c r="G414" s="349">
        <v>12220</v>
      </c>
      <c r="H414" s="350">
        <f t="shared" si="267"/>
        <v>12422</v>
      </c>
      <c r="I414" s="350">
        <f t="shared" si="267"/>
        <v>12552</v>
      </c>
      <c r="J414" s="350">
        <f t="shared" si="267"/>
        <v>12649</v>
      </c>
      <c r="K414" s="350">
        <f t="shared" si="267"/>
        <v>12703</v>
      </c>
      <c r="L414" s="350">
        <f t="shared" si="267"/>
        <v>12741</v>
      </c>
      <c r="M414" s="350">
        <f t="shared" si="267"/>
        <v>12804</v>
      </c>
      <c r="N414" s="350">
        <f t="shared" si="267"/>
        <v>12893</v>
      </c>
      <c r="O414" s="350">
        <f t="shared" si="267"/>
        <v>12962</v>
      </c>
      <c r="P414" s="350">
        <f t="shared" si="267"/>
        <v>12994</v>
      </c>
      <c r="Q414" s="350">
        <f t="shared" si="267"/>
        <v>13055</v>
      </c>
      <c r="R414" s="350">
        <f t="shared" si="267"/>
        <v>13113</v>
      </c>
      <c r="S414" s="350">
        <f t="shared" si="267"/>
        <v>13233</v>
      </c>
      <c r="T414" s="350">
        <f t="shared" si="267"/>
        <v>13377</v>
      </c>
      <c r="U414" s="350">
        <f t="shared" si="267"/>
        <v>13470</v>
      </c>
      <c r="V414" s="350">
        <f t="shared" si="267"/>
        <v>13549</v>
      </c>
      <c r="W414" s="351">
        <f t="shared" si="265"/>
        <v>1329</v>
      </c>
      <c r="X414" s="352">
        <f t="shared" si="266"/>
        <v>0.10875613747954173</v>
      </c>
      <c r="Y414" s="352">
        <f t="shared" si="268"/>
        <v>9.2799999999999994E-2</v>
      </c>
      <c r="Z414" s="94">
        <f t="shared" si="269"/>
        <v>13354</v>
      </c>
    </row>
  </sheetData>
  <autoFilter ref="A4:Z396" xr:uid="{00000000-0009-0000-0000-000001000000}"/>
  <mergeCells count="22">
    <mergeCell ref="F401:F403"/>
    <mergeCell ref="A2:A4"/>
    <mergeCell ref="B2:B4"/>
    <mergeCell ref="C2:C4"/>
    <mergeCell ref="D2:D4"/>
    <mergeCell ref="E2:E4"/>
    <mergeCell ref="F2:F4"/>
    <mergeCell ref="A401:A403"/>
    <mergeCell ref="B401:B403"/>
    <mergeCell ref="C401:C403"/>
    <mergeCell ref="D401:D403"/>
    <mergeCell ref="E401:E403"/>
    <mergeCell ref="Z402:Z403"/>
    <mergeCell ref="G2:G4"/>
    <mergeCell ref="H2:W2"/>
    <mergeCell ref="V3:V4"/>
    <mergeCell ref="W3:W4"/>
    <mergeCell ref="G401:G403"/>
    <mergeCell ref="H401:X401"/>
    <mergeCell ref="W402:W403"/>
    <mergeCell ref="X402:X403"/>
    <mergeCell ref="Y402:Y403"/>
  </mergeCells>
  <conditionalFormatting sqref="B352">
    <cfRule type="duplicateValues" dxfId="30" priority="5"/>
  </conditionalFormatting>
  <conditionalFormatting sqref="B259:C259 E353:E396">
    <cfRule type="containsBlanks" dxfId="29" priority="3">
      <formula>LEN(TRIM(B259))=0</formula>
    </cfRule>
  </conditionalFormatting>
  <conditionalFormatting sqref="E61">
    <cfRule type="containsBlanks" dxfId="28" priority="19">
      <formula>LEN(TRIM(E61))=0</formula>
    </cfRule>
  </conditionalFormatting>
  <conditionalFormatting sqref="E62">
    <cfRule type="containsBlanks" dxfId="27" priority="2">
      <formula>LEN(TRIM(E62))=0</formula>
    </cfRule>
  </conditionalFormatting>
  <conditionalFormatting sqref="E78">
    <cfRule type="containsBlanks" dxfId="26" priority="18">
      <formula>LEN(TRIM(E78))=0</formula>
    </cfRule>
  </conditionalFormatting>
  <conditionalFormatting sqref="E80">
    <cfRule type="containsBlanks" dxfId="25" priority="17">
      <formula>LEN(TRIM(E80))=0</formula>
    </cfRule>
  </conditionalFormatting>
  <conditionalFormatting sqref="E87">
    <cfRule type="containsBlanks" dxfId="24" priority="16">
      <formula>LEN(TRIM(E87))=0</formula>
    </cfRule>
  </conditionalFormatting>
  <conditionalFormatting sqref="E94">
    <cfRule type="containsBlanks" dxfId="23" priority="15">
      <formula>LEN(TRIM(E94))=0</formula>
    </cfRule>
  </conditionalFormatting>
  <conditionalFormatting sqref="E101">
    <cfRule type="containsBlanks" dxfId="22" priority="14">
      <formula>LEN(TRIM(E101))=0</formula>
    </cfRule>
  </conditionalFormatting>
  <conditionalFormatting sqref="E105">
    <cfRule type="containsBlanks" dxfId="21" priority="13">
      <formula>LEN(TRIM(E105))=0</formula>
    </cfRule>
  </conditionalFormatting>
  <conditionalFormatting sqref="E126">
    <cfRule type="containsBlanks" dxfId="20" priority="12">
      <formula>LEN(TRIM(E126))=0</formula>
    </cfRule>
  </conditionalFormatting>
  <conditionalFormatting sqref="E133">
    <cfRule type="containsBlanks" dxfId="19" priority="11">
      <formula>LEN(TRIM(E133))=0</formula>
    </cfRule>
  </conditionalFormatting>
  <conditionalFormatting sqref="E143:E144">
    <cfRule type="containsBlanks" dxfId="18" priority="10">
      <formula>LEN(TRIM(E143))=0</formula>
    </cfRule>
  </conditionalFormatting>
  <conditionalFormatting sqref="E148">
    <cfRule type="containsBlanks" dxfId="17" priority="9">
      <formula>LEN(TRIM(E148))=0</formula>
    </cfRule>
  </conditionalFormatting>
  <conditionalFormatting sqref="E263:E265">
    <cfRule type="containsBlanks" dxfId="16" priority="8">
      <formula>LEN(TRIM(E263))=0</formula>
    </cfRule>
  </conditionalFormatting>
  <conditionalFormatting sqref="E283">
    <cfRule type="containsBlanks" dxfId="15" priority="7">
      <formula>LEN(TRIM(E283))=0</formula>
    </cfRule>
  </conditionalFormatting>
  <conditionalFormatting sqref="E285:E338">
    <cfRule type="containsBlanks" dxfId="14" priority="6">
      <formula>LEN(TRIM(E285))=0</formula>
    </cfRule>
  </conditionalFormatting>
  <conditionalFormatting sqref="W5:W396">
    <cfRule type="cellIs" dxfId="13" priority="1" operator="lessThan">
      <formula>0.05</formula>
    </cfRule>
  </conditionalFormatting>
  <pageMargins left="0.7" right="0.7" top="0.75" bottom="0.75" header="0.3" footer="0.3"/>
  <drawing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5" tint="0.59999389629810485"/>
  </sheetPr>
  <dimension ref="A1:S94"/>
  <sheetViews>
    <sheetView showGridLines="0" topLeftCell="B29" zoomScale="85" zoomScaleNormal="85" zoomScalePageLayoutView="85" workbookViewId="0">
      <selection activeCell="B3" sqref="B3:N3"/>
    </sheetView>
  </sheetViews>
  <sheetFormatPr defaultColWidth="11.42578125" defaultRowHeight="12.75"/>
  <cols>
    <col min="1" max="1" width="3.7109375" style="129" customWidth="1"/>
    <col min="2" max="2" width="54.140625" style="129" customWidth="1"/>
    <col min="3" max="3" width="11.42578125" style="129"/>
    <col min="4" max="4" width="38.42578125" style="129" customWidth="1"/>
    <col min="5" max="5" width="15.7109375" style="129" customWidth="1"/>
    <col min="6" max="8" width="20.7109375" style="129" customWidth="1"/>
    <col min="9" max="9" width="3.28515625" style="129" customWidth="1"/>
    <col min="10" max="13" width="20.7109375" style="129" customWidth="1"/>
    <col min="14" max="14" width="3.140625" style="129" customWidth="1"/>
    <col min="15" max="17" width="23" style="129" customWidth="1"/>
    <col min="18" max="16384" width="11.42578125" style="129"/>
  </cols>
  <sheetData>
    <row r="1" spans="1:17">
      <c r="B1" s="683" t="s">
        <v>927</v>
      </c>
      <c r="C1" s="683"/>
      <c r="D1" s="683"/>
      <c r="E1" s="683"/>
      <c r="F1" s="683"/>
      <c r="G1" s="683"/>
      <c r="H1" s="683"/>
      <c r="I1" s="683"/>
      <c r="J1" s="683"/>
      <c r="K1" s="683"/>
      <c r="L1" s="683"/>
      <c r="M1" s="683"/>
      <c r="P1" s="129" t="s">
        <v>928</v>
      </c>
      <c r="Q1" s="621">
        <v>7.0400000000000004E-2</v>
      </c>
    </row>
    <row r="2" spans="1:17">
      <c r="B2" s="688" t="s">
        <v>929</v>
      </c>
      <c r="C2" s="689"/>
      <c r="D2" s="689"/>
      <c r="E2" s="689"/>
      <c r="F2" s="689"/>
      <c r="G2" s="689"/>
      <c r="H2" s="689"/>
      <c r="I2" s="689"/>
      <c r="J2" s="689"/>
      <c r="K2" s="689"/>
      <c r="L2" s="689"/>
      <c r="M2" s="689"/>
      <c r="P2" s="129" t="s">
        <v>930</v>
      </c>
      <c r="Q2" s="622">
        <v>0.03</v>
      </c>
    </row>
    <row r="3" spans="1:17">
      <c r="B3" s="684" t="s">
        <v>931</v>
      </c>
      <c r="C3" s="684"/>
      <c r="D3" s="684"/>
      <c r="E3" s="684"/>
      <c r="F3" s="684"/>
      <c r="G3" s="684"/>
      <c r="H3" s="684"/>
      <c r="I3" s="684"/>
      <c r="J3" s="684"/>
      <c r="K3" s="684"/>
      <c r="L3" s="684"/>
      <c r="M3" s="684"/>
    </row>
    <row r="4" spans="1:17">
      <c r="B4" s="684" t="s">
        <v>932</v>
      </c>
      <c r="C4" s="684"/>
      <c r="D4" s="684" t="s">
        <v>933</v>
      </c>
      <c r="E4" s="684"/>
      <c r="F4" s="684"/>
      <c r="G4" s="684"/>
      <c r="H4" s="684"/>
      <c r="I4" s="684"/>
      <c r="J4" s="684"/>
      <c r="K4" s="684"/>
      <c r="L4" s="684"/>
      <c r="M4" s="684"/>
    </row>
    <row r="5" spans="1:17">
      <c r="B5" s="683" t="s">
        <v>934</v>
      </c>
      <c r="C5" s="683"/>
      <c r="D5" s="683"/>
      <c r="E5" s="683"/>
      <c r="F5" s="683"/>
      <c r="G5" s="683"/>
      <c r="H5" s="683"/>
      <c r="I5" s="683"/>
      <c r="J5" s="683"/>
      <c r="K5" s="683"/>
      <c r="L5" s="683"/>
      <c r="M5" s="683"/>
    </row>
    <row r="6" spans="1:17">
      <c r="B6" s="683"/>
      <c r="C6" s="683"/>
      <c r="D6" s="683"/>
      <c r="E6" s="683"/>
      <c r="F6" s="683"/>
      <c r="G6" s="683"/>
      <c r="H6" s="683"/>
      <c r="I6" s="683"/>
      <c r="J6" s="683"/>
      <c r="K6" s="683"/>
      <c r="L6" s="683"/>
      <c r="M6" s="683"/>
    </row>
    <row r="8" spans="1:17" ht="13.5" thickBot="1"/>
    <row r="9" spans="1:17" ht="20.25" customHeight="1">
      <c r="B9" s="360" t="s">
        <v>935</v>
      </c>
      <c r="C9" s="685">
        <v>130</v>
      </c>
      <c r="D9" s="686"/>
      <c r="E9" s="686"/>
      <c r="F9" s="686"/>
      <c r="G9" s="686"/>
      <c r="H9" s="687"/>
      <c r="J9" s="685" t="s">
        <v>936</v>
      </c>
      <c r="K9" s="686"/>
      <c r="L9" s="686"/>
      <c r="M9" s="687"/>
      <c r="O9" s="693" t="s">
        <v>937</v>
      </c>
      <c r="P9" s="694"/>
      <c r="Q9" s="695"/>
    </row>
    <row r="10" spans="1:17" ht="15.75" thickBot="1">
      <c r="B10" s="361" t="s">
        <v>938</v>
      </c>
      <c r="C10" s="696" t="s">
        <v>939</v>
      </c>
      <c r="D10" s="697"/>
      <c r="E10" s="697"/>
      <c r="F10" s="697"/>
      <c r="G10" s="697"/>
      <c r="H10" s="698"/>
      <c r="J10" s="699" t="s">
        <v>940</v>
      </c>
      <c r="K10" s="700"/>
      <c r="L10" s="700"/>
      <c r="M10" s="701"/>
      <c r="O10" s="690" t="s">
        <v>941</v>
      </c>
      <c r="P10" s="691"/>
      <c r="Q10" s="692"/>
    </row>
    <row r="11" spans="1:17" ht="15.75" thickBot="1">
      <c r="B11" s="361"/>
      <c r="C11" s="361"/>
      <c r="H11" s="362"/>
      <c r="K11" s="622">
        <v>0.03</v>
      </c>
      <c r="O11"/>
      <c r="P11"/>
      <c r="Q11"/>
    </row>
    <row r="12" spans="1:17" ht="51.75" thickBot="1">
      <c r="B12" s="556" t="s">
        <v>86</v>
      </c>
      <c r="C12" s="557" t="s">
        <v>942</v>
      </c>
      <c r="D12" s="558" t="s">
        <v>943</v>
      </c>
      <c r="E12" s="559" t="s">
        <v>944</v>
      </c>
      <c r="F12" s="559" t="s">
        <v>945</v>
      </c>
      <c r="G12" s="560" t="s">
        <v>946</v>
      </c>
      <c r="H12" s="561" t="s">
        <v>947</v>
      </c>
      <c r="J12" s="559" t="s">
        <v>948</v>
      </c>
      <c r="K12" s="559" t="s">
        <v>949</v>
      </c>
      <c r="L12" s="432" t="s">
        <v>946</v>
      </c>
      <c r="M12" s="433" t="s">
        <v>950</v>
      </c>
      <c r="O12" s="582" t="s">
        <v>951</v>
      </c>
      <c r="P12" s="559" t="s">
        <v>952</v>
      </c>
      <c r="Q12" s="561" t="s">
        <v>953</v>
      </c>
    </row>
    <row r="13" spans="1:17">
      <c r="B13" s="666" t="s">
        <v>954</v>
      </c>
      <c r="C13" s="667"/>
      <c r="D13" s="667"/>
      <c r="E13" s="667"/>
      <c r="F13" s="667"/>
      <c r="G13" s="667"/>
      <c r="H13" s="668"/>
      <c r="J13" s="675" t="s">
        <v>954</v>
      </c>
      <c r="K13" s="676"/>
      <c r="L13" s="676"/>
      <c r="M13" s="677"/>
      <c r="O13" s="666" t="s">
        <v>954</v>
      </c>
      <c r="P13" s="667"/>
      <c r="Q13" s="668"/>
    </row>
    <row r="14" spans="1:17" ht="12.75" customHeight="1">
      <c r="B14" s="571" t="s">
        <v>955</v>
      </c>
      <c r="C14" s="562">
        <f>SUM(C15:C33)</f>
        <v>72</v>
      </c>
      <c r="D14" s="562"/>
      <c r="E14" s="563">
        <f>SUM(E15:E33)</f>
        <v>62130707</v>
      </c>
      <c r="F14" s="563">
        <f>SUM(F15:F33)</f>
        <v>220835356</v>
      </c>
      <c r="G14" s="563"/>
      <c r="H14" s="535">
        <f>SUM(H15:H33)</f>
        <v>662506068</v>
      </c>
      <c r="I14" s="363"/>
      <c r="J14" s="365">
        <f>SUM(J15:J33)</f>
        <v>66504713</v>
      </c>
      <c r="K14" s="365">
        <f>SUM(K15:K33)</f>
        <v>236382185</v>
      </c>
      <c r="L14" s="365"/>
      <c r="M14" s="425">
        <f>SUM(M15:M33)</f>
        <v>2836586220</v>
      </c>
      <c r="O14" s="534">
        <f>SUM(O15:O33)</f>
        <v>662506068</v>
      </c>
      <c r="P14" s="531">
        <f>SUM(P15:P33)</f>
        <v>2836586220</v>
      </c>
      <c r="Q14" s="535">
        <f>SUM(Q15:Q33)</f>
        <v>3499092288</v>
      </c>
    </row>
    <row r="15" spans="1:17" s="263" customFormat="1" ht="14.25" customHeight="1">
      <c r="A15" s="263">
        <v>1</v>
      </c>
      <c r="B15" s="572" t="s">
        <v>956</v>
      </c>
      <c r="C15" s="564">
        <f>IFERROR(VLOOKUP($B15,'REQUISTO MIN TH'!$A$2:$H$27,7,0),0)</f>
        <v>1</v>
      </c>
      <c r="D15" s="564" t="s">
        <v>957</v>
      </c>
      <c r="E15" s="565">
        <f>IFERROR((VLOOKUP($B15,'1. TABLA COSTOS REC HUMANO'!$B$7:$M$31,3,0)),0)</f>
        <v>5133210</v>
      </c>
      <c r="F15" s="565">
        <f>ROUND(E15*$C15,0)</f>
        <v>5133210</v>
      </c>
      <c r="G15" s="566">
        <v>3</v>
      </c>
      <c r="H15" s="573">
        <f>ROUND(F15*G15,0)</f>
        <v>15399630</v>
      </c>
      <c r="J15" s="431">
        <f t="shared" ref="J15:J33" si="0">ROUND(E15*(1+$Q$1),0)</f>
        <v>5494588</v>
      </c>
      <c r="K15" s="565">
        <f>ROUND(J15*$C15,0)</f>
        <v>5494588</v>
      </c>
      <c r="L15" s="566">
        <v>12</v>
      </c>
      <c r="M15" s="573">
        <f>ROUND(K15*L15,0)</f>
        <v>65935056</v>
      </c>
      <c r="O15" s="536">
        <f t="shared" ref="O15:O49" si="1">H15</f>
        <v>15399630</v>
      </c>
      <c r="P15" s="533">
        <f>M15</f>
        <v>65935056</v>
      </c>
      <c r="Q15" s="537">
        <f>O15+P15</f>
        <v>81334686</v>
      </c>
    </row>
    <row r="16" spans="1:17" s="263" customFormat="1" ht="14.25" customHeight="1">
      <c r="A16" s="263">
        <v>2</v>
      </c>
      <c r="B16" s="572" t="s">
        <v>958</v>
      </c>
      <c r="C16" s="564">
        <f>IFERROR(VLOOKUP($B16,'REQUISTO MIN TH'!$A$2:$H$27,7,0),0)</f>
        <v>2</v>
      </c>
      <c r="D16" s="564" t="s">
        <v>957</v>
      </c>
      <c r="E16" s="565">
        <f>IFERROR((VLOOKUP($B16,'1. TABLA COSTOS REC HUMANO'!$B$7:$M$31,3,0)),0)</f>
        <v>4399725</v>
      </c>
      <c r="F16" s="565">
        <f t="shared" ref="F16:F34" si="2">ROUND(E16*$C16,0)</f>
        <v>8799450</v>
      </c>
      <c r="G16" s="566">
        <v>3</v>
      </c>
      <c r="H16" s="573">
        <f t="shared" ref="H16:H34" si="3">ROUND(F16*G16,0)</f>
        <v>26398350</v>
      </c>
      <c r="J16" s="431">
        <f t="shared" si="0"/>
        <v>4709466</v>
      </c>
      <c r="K16" s="565">
        <f t="shared" ref="K16:K34" si="4">ROUND(J16*$C16,0)</f>
        <v>9418932</v>
      </c>
      <c r="L16" s="566">
        <v>12</v>
      </c>
      <c r="M16" s="573">
        <f t="shared" ref="M16:M34" si="5">ROUND(K16*L16,0)</f>
        <v>113027184</v>
      </c>
      <c r="O16" s="536">
        <f t="shared" si="1"/>
        <v>26398350</v>
      </c>
      <c r="P16" s="533">
        <f t="shared" ref="P16:P49" si="6">M16</f>
        <v>113027184</v>
      </c>
      <c r="Q16" s="537">
        <f t="shared" ref="Q16:Q49" si="7">O16+P16</f>
        <v>139425534</v>
      </c>
    </row>
    <row r="17" spans="1:17" s="263" customFormat="1" ht="24" customHeight="1">
      <c r="A17" s="263">
        <v>4</v>
      </c>
      <c r="B17" s="572" t="s">
        <v>959</v>
      </c>
      <c r="C17" s="564">
        <f>IFERROR(VLOOKUP($B17,'REQUISTO MIN TH'!$A$2:$H$27,7,0),0)</f>
        <v>2</v>
      </c>
      <c r="D17" s="564" t="s">
        <v>957</v>
      </c>
      <c r="E17" s="565">
        <f>IFERROR((VLOOKUP($B17,'1. TABLA COSTOS REC HUMANO'!$B$7:$M$31,3,0)),0)</f>
        <v>4399725</v>
      </c>
      <c r="F17" s="565">
        <f t="shared" si="2"/>
        <v>8799450</v>
      </c>
      <c r="G17" s="566">
        <v>3</v>
      </c>
      <c r="H17" s="573">
        <f t="shared" si="3"/>
        <v>26398350</v>
      </c>
      <c r="J17" s="431">
        <f t="shared" si="0"/>
        <v>4709466</v>
      </c>
      <c r="K17" s="565">
        <f t="shared" si="4"/>
        <v>9418932</v>
      </c>
      <c r="L17" s="566">
        <v>12</v>
      </c>
      <c r="M17" s="573">
        <f t="shared" si="5"/>
        <v>113027184</v>
      </c>
      <c r="O17" s="536">
        <f t="shared" si="1"/>
        <v>26398350</v>
      </c>
      <c r="P17" s="533">
        <f t="shared" si="6"/>
        <v>113027184</v>
      </c>
      <c r="Q17" s="537">
        <f t="shared" si="7"/>
        <v>139425534</v>
      </c>
    </row>
    <row r="18" spans="1:17" s="263" customFormat="1" ht="14.25" customHeight="1">
      <c r="A18" s="263">
        <v>5</v>
      </c>
      <c r="B18" s="572" t="s">
        <v>960</v>
      </c>
      <c r="C18" s="564">
        <f>IFERROR(VLOOKUP($B18,'REQUISTO MIN TH'!$A$2:$H$27,7,0),0)</f>
        <v>5</v>
      </c>
      <c r="D18" s="564" t="s">
        <v>957</v>
      </c>
      <c r="E18" s="565">
        <f>IFERROR((VLOOKUP($B18,'1. TABLA COSTOS REC HUMANO'!$B$7:$M$31,3,0)),0)</f>
        <v>4399725</v>
      </c>
      <c r="F18" s="565">
        <f t="shared" si="2"/>
        <v>21998625</v>
      </c>
      <c r="G18" s="566">
        <v>3</v>
      </c>
      <c r="H18" s="573">
        <f t="shared" si="3"/>
        <v>65995875</v>
      </c>
      <c r="J18" s="431">
        <f t="shared" si="0"/>
        <v>4709466</v>
      </c>
      <c r="K18" s="565">
        <f t="shared" si="4"/>
        <v>23547330</v>
      </c>
      <c r="L18" s="566">
        <v>12</v>
      </c>
      <c r="M18" s="573">
        <f t="shared" si="5"/>
        <v>282567960</v>
      </c>
      <c r="O18" s="536">
        <f t="shared" si="1"/>
        <v>65995875</v>
      </c>
      <c r="P18" s="533">
        <f t="shared" si="6"/>
        <v>282567960</v>
      </c>
      <c r="Q18" s="537">
        <f t="shared" si="7"/>
        <v>348563835</v>
      </c>
    </row>
    <row r="19" spans="1:17" s="263" customFormat="1" ht="14.25" customHeight="1">
      <c r="A19" s="263">
        <v>6</v>
      </c>
      <c r="B19" s="572" t="s">
        <v>961</v>
      </c>
      <c r="C19" s="564">
        <f>IFERROR(VLOOKUP($B19,'REQUISTO MIN TH'!$A$2:$H$27,7,0),0)</f>
        <v>5</v>
      </c>
      <c r="D19" s="564" t="s">
        <v>957</v>
      </c>
      <c r="E19" s="565">
        <f>IFERROR((VLOOKUP($B19,'1. TABLA COSTOS REC HUMANO'!$B$7:$M$31,3,0)),0)</f>
        <v>4399725</v>
      </c>
      <c r="F19" s="565">
        <f t="shared" si="2"/>
        <v>21998625</v>
      </c>
      <c r="G19" s="566">
        <v>3</v>
      </c>
      <c r="H19" s="573">
        <f t="shared" si="3"/>
        <v>65995875</v>
      </c>
      <c r="J19" s="431">
        <f t="shared" si="0"/>
        <v>4709466</v>
      </c>
      <c r="K19" s="565">
        <f t="shared" si="4"/>
        <v>23547330</v>
      </c>
      <c r="L19" s="566">
        <v>12</v>
      </c>
      <c r="M19" s="573">
        <f t="shared" si="5"/>
        <v>282567960</v>
      </c>
      <c r="O19" s="536">
        <f t="shared" si="1"/>
        <v>65995875</v>
      </c>
      <c r="P19" s="533">
        <f t="shared" si="6"/>
        <v>282567960</v>
      </c>
      <c r="Q19" s="537">
        <f t="shared" si="7"/>
        <v>348563835</v>
      </c>
    </row>
    <row r="20" spans="1:17" s="263" customFormat="1" ht="14.25" customHeight="1">
      <c r="A20" s="263">
        <v>8</v>
      </c>
      <c r="B20" s="572" t="s">
        <v>962</v>
      </c>
      <c r="C20" s="564">
        <f>IFERROR(VLOOKUP($B20,'REQUISTO MIN TH'!$A$2:$H$27,7,0),0)</f>
        <v>5</v>
      </c>
      <c r="D20" s="564" t="s">
        <v>957</v>
      </c>
      <c r="E20" s="565">
        <f>IFERROR((VLOOKUP($B20,'1. TABLA COSTOS REC HUMANO'!$B$7:$M$31,3,0)),0)</f>
        <v>4399725</v>
      </c>
      <c r="F20" s="565">
        <f t="shared" si="2"/>
        <v>21998625</v>
      </c>
      <c r="G20" s="566">
        <v>3</v>
      </c>
      <c r="H20" s="573">
        <f t="shared" si="3"/>
        <v>65995875</v>
      </c>
      <c r="J20" s="431">
        <f t="shared" si="0"/>
        <v>4709466</v>
      </c>
      <c r="K20" s="565">
        <f t="shared" si="4"/>
        <v>23547330</v>
      </c>
      <c r="L20" s="566">
        <v>12</v>
      </c>
      <c r="M20" s="573">
        <f t="shared" si="5"/>
        <v>282567960</v>
      </c>
      <c r="O20" s="536">
        <f t="shared" si="1"/>
        <v>65995875</v>
      </c>
      <c r="P20" s="533">
        <f t="shared" si="6"/>
        <v>282567960</v>
      </c>
      <c r="Q20" s="537">
        <f t="shared" si="7"/>
        <v>348563835</v>
      </c>
    </row>
    <row r="21" spans="1:17" s="263" customFormat="1" ht="14.25" customHeight="1">
      <c r="A21" s="263">
        <v>9</v>
      </c>
      <c r="B21" s="572" t="s">
        <v>963</v>
      </c>
      <c r="C21" s="564">
        <f>IFERROR(VLOOKUP($B21,'REQUISTO MIN TH'!$A$2:$H$27,7,0),0)</f>
        <v>2</v>
      </c>
      <c r="D21" s="564" t="s">
        <v>957</v>
      </c>
      <c r="E21" s="565">
        <f>IFERROR((VLOOKUP($B21,'1. TABLA COSTOS REC HUMANO'!$B$7:$M$31,3,0)),0)</f>
        <v>3666240</v>
      </c>
      <c r="F21" s="565">
        <f t="shared" si="2"/>
        <v>7332480</v>
      </c>
      <c r="G21" s="566">
        <v>3</v>
      </c>
      <c r="H21" s="573">
        <f t="shared" si="3"/>
        <v>21997440</v>
      </c>
      <c r="J21" s="431">
        <f t="shared" si="0"/>
        <v>3924343</v>
      </c>
      <c r="K21" s="565">
        <f t="shared" si="4"/>
        <v>7848686</v>
      </c>
      <c r="L21" s="566">
        <v>12</v>
      </c>
      <c r="M21" s="573">
        <f t="shared" si="5"/>
        <v>94184232</v>
      </c>
      <c r="O21" s="536">
        <f t="shared" si="1"/>
        <v>21997440</v>
      </c>
      <c r="P21" s="533">
        <f t="shared" si="6"/>
        <v>94184232</v>
      </c>
      <c r="Q21" s="537">
        <f t="shared" si="7"/>
        <v>116181672</v>
      </c>
    </row>
    <row r="22" spans="1:17" s="263" customFormat="1" ht="14.25" customHeight="1">
      <c r="A22" s="263">
        <v>10</v>
      </c>
      <c r="B22" s="572" t="s">
        <v>964</v>
      </c>
      <c r="C22" s="564">
        <f>IFERROR(VLOOKUP($B22,'REQUISTO MIN TH'!$A$2:$H$27,7,0),0)</f>
        <v>20</v>
      </c>
      <c r="D22" s="564" t="s">
        <v>957</v>
      </c>
      <c r="E22" s="565">
        <f>IFERROR((VLOOKUP($B22,'1. TABLA COSTOS REC HUMANO'!$B$7:$M$31,3,0)),0)</f>
        <v>2445690</v>
      </c>
      <c r="F22" s="565">
        <f t="shared" si="2"/>
        <v>48913800</v>
      </c>
      <c r="G22" s="566">
        <v>3</v>
      </c>
      <c r="H22" s="573">
        <f t="shared" si="3"/>
        <v>146741400</v>
      </c>
      <c r="J22" s="431">
        <f t="shared" si="0"/>
        <v>2617867</v>
      </c>
      <c r="K22" s="565">
        <f t="shared" si="4"/>
        <v>52357340</v>
      </c>
      <c r="L22" s="566">
        <v>12</v>
      </c>
      <c r="M22" s="573">
        <f t="shared" si="5"/>
        <v>628288080</v>
      </c>
      <c r="O22" s="536">
        <f t="shared" si="1"/>
        <v>146741400</v>
      </c>
      <c r="P22" s="533">
        <f t="shared" si="6"/>
        <v>628288080</v>
      </c>
      <c r="Q22" s="537">
        <f t="shared" si="7"/>
        <v>775029480</v>
      </c>
    </row>
    <row r="23" spans="1:17" s="263" customFormat="1" ht="14.25" customHeight="1">
      <c r="A23" s="263">
        <v>3</v>
      </c>
      <c r="B23" s="572" t="s">
        <v>965</v>
      </c>
      <c r="C23" s="564">
        <f>IFERROR(VLOOKUP($B23,'REQUISTO MIN TH'!$A$2:$H$27,7,0),0)</f>
        <v>1</v>
      </c>
      <c r="D23" s="564" t="s">
        <v>957</v>
      </c>
      <c r="E23" s="565">
        <f>IFERROR((VLOOKUP($B23,'1. TABLA COSTOS REC HUMANO'!$B$7:$M$31,3,0)),0)</f>
        <v>2885920</v>
      </c>
      <c r="F23" s="565">
        <f t="shared" si="2"/>
        <v>2885920</v>
      </c>
      <c r="G23" s="566">
        <v>3</v>
      </c>
      <c r="H23" s="573">
        <f t="shared" si="3"/>
        <v>8657760</v>
      </c>
      <c r="J23" s="431">
        <f t="shared" si="0"/>
        <v>3089089</v>
      </c>
      <c r="K23" s="565">
        <f t="shared" si="4"/>
        <v>3089089</v>
      </c>
      <c r="L23" s="566">
        <v>12</v>
      </c>
      <c r="M23" s="573">
        <f t="shared" si="5"/>
        <v>37069068</v>
      </c>
      <c r="O23" s="536">
        <f t="shared" si="1"/>
        <v>8657760</v>
      </c>
      <c r="P23" s="533">
        <f t="shared" si="6"/>
        <v>37069068</v>
      </c>
      <c r="Q23" s="537">
        <f t="shared" si="7"/>
        <v>45726828</v>
      </c>
    </row>
    <row r="24" spans="1:17" s="263" customFormat="1" ht="14.25" customHeight="1">
      <c r="A24" s="263">
        <v>11</v>
      </c>
      <c r="B24" s="572" t="s">
        <v>966</v>
      </c>
      <c r="C24" s="564">
        <f>IFERROR(VLOOKUP($B24,'REQUISTO MIN TH'!$A$2:$H$27,7,0),0)</f>
        <v>1</v>
      </c>
      <c r="D24" s="564" t="s">
        <v>957</v>
      </c>
      <c r="E24" s="565">
        <f>IFERROR((VLOOKUP($B24,'1. TABLA COSTOS REC HUMANO'!$B$7:$M$31,3,0)),0)</f>
        <v>2885920</v>
      </c>
      <c r="F24" s="565">
        <f t="shared" si="2"/>
        <v>2885920</v>
      </c>
      <c r="G24" s="566">
        <v>3</v>
      </c>
      <c r="H24" s="573">
        <f t="shared" si="3"/>
        <v>8657760</v>
      </c>
      <c r="J24" s="431">
        <f t="shared" si="0"/>
        <v>3089089</v>
      </c>
      <c r="K24" s="565">
        <f t="shared" si="4"/>
        <v>3089089</v>
      </c>
      <c r="L24" s="566">
        <v>12</v>
      </c>
      <c r="M24" s="573">
        <f t="shared" si="5"/>
        <v>37069068</v>
      </c>
      <c r="O24" s="536">
        <f t="shared" si="1"/>
        <v>8657760</v>
      </c>
      <c r="P24" s="533">
        <f t="shared" si="6"/>
        <v>37069068</v>
      </c>
      <c r="Q24" s="537">
        <f t="shared" si="7"/>
        <v>45726828</v>
      </c>
    </row>
    <row r="25" spans="1:17" s="263" customFormat="1" ht="14.25" customHeight="1">
      <c r="A25" s="263">
        <v>12</v>
      </c>
      <c r="B25" s="572" t="s">
        <v>967</v>
      </c>
      <c r="C25" s="564">
        <f>IFERROR(VLOOKUP($B25,'REQUISTO MIN TH'!$A$2:$H$27,7,0),0)</f>
        <v>1</v>
      </c>
      <c r="D25" s="564" t="s">
        <v>957</v>
      </c>
      <c r="E25" s="565">
        <f>IFERROR((VLOOKUP($B25,'1. TABLA COSTOS REC HUMANO'!$B$7:$M$31,3,0)),0)</f>
        <v>2885920</v>
      </c>
      <c r="F25" s="565">
        <f t="shared" si="2"/>
        <v>2885920</v>
      </c>
      <c r="G25" s="566">
        <v>3</v>
      </c>
      <c r="H25" s="573">
        <f t="shared" si="3"/>
        <v>8657760</v>
      </c>
      <c r="J25" s="431">
        <f t="shared" si="0"/>
        <v>3089089</v>
      </c>
      <c r="K25" s="565">
        <f t="shared" si="4"/>
        <v>3089089</v>
      </c>
      <c r="L25" s="566">
        <v>12</v>
      </c>
      <c r="M25" s="573">
        <f t="shared" si="5"/>
        <v>37069068</v>
      </c>
      <c r="O25" s="536">
        <f t="shared" si="1"/>
        <v>8657760</v>
      </c>
      <c r="P25" s="533">
        <f t="shared" si="6"/>
        <v>37069068</v>
      </c>
      <c r="Q25" s="537">
        <f t="shared" si="7"/>
        <v>45726828</v>
      </c>
    </row>
    <row r="26" spans="1:17" s="263" customFormat="1" ht="14.25" customHeight="1">
      <c r="A26" s="263">
        <v>13</v>
      </c>
      <c r="B26" s="572" t="s">
        <v>968</v>
      </c>
      <c r="C26" s="564">
        <f>IFERROR(VLOOKUP($B26,'REQUISTO MIN TH'!$A$2:$H$27,7,0),0)</f>
        <v>1</v>
      </c>
      <c r="D26" s="564" t="s">
        <v>957</v>
      </c>
      <c r="E26" s="565">
        <f>IFERROR((VLOOKUP($B26,'1. TABLA COSTOS REC HUMANO'!$B$7:$M$31,3,0)),0)</f>
        <v>2885920</v>
      </c>
      <c r="F26" s="565">
        <f t="shared" si="2"/>
        <v>2885920</v>
      </c>
      <c r="G26" s="566">
        <v>3</v>
      </c>
      <c r="H26" s="573">
        <f t="shared" si="3"/>
        <v>8657760</v>
      </c>
      <c r="J26" s="431">
        <f t="shared" si="0"/>
        <v>3089089</v>
      </c>
      <c r="K26" s="565">
        <f t="shared" si="4"/>
        <v>3089089</v>
      </c>
      <c r="L26" s="566">
        <v>12</v>
      </c>
      <c r="M26" s="573">
        <f t="shared" si="5"/>
        <v>37069068</v>
      </c>
      <c r="O26" s="536">
        <f t="shared" si="1"/>
        <v>8657760</v>
      </c>
      <c r="P26" s="533">
        <f t="shared" si="6"/>
        <v>37069068</v>
      </c>
      <c r="Q26" s="537">
        <f t="shared" si="7"/>
        <v>45726828</v>
      </c>
    </row>
    <row r="27" spans="1:17" s="263" customFormat="1" ht="14.25" customHeight="1">
      <c r="A27" s="263">
        <v>14</v>
      </c>
      <c r="B27" s="572" t="s">
        <v>969</v>
      </c>
      <c r="C27" s="564">
        <f>IFERROR(VLOOKUP($B27,'REQUISTO MIN TH'!$A$2:$H$27,7,0),0)</f>
        <v>4</v>
      </c>
      <c r="D27" s="564" t="s">
        <v>957</v>
      </c>
      <c r="E27" s="565">
        <f>IFERROR((VLOOKUP($B27,'1. TABLA COSTOS REC HUMANO'!$B$7:$M$31,3,0)),0)</f>
        <v>2885920</v>
      </c>
      <c r="F27" s="565">
        <f t="shared" si="2"/>
        <v>11543680</v>
      </c>
      <c r="G27" s="566">
        <v>3</v>
      </c>
      <c r="H27" s="573">
        <f t="shared" si="3"/>
        <v>34631040</v>
      </c>
      <c r="J27" s="431">
        <f t="shared" si="0"/>
        <v>3089089</v>
      </c>
      <c r="K27" s="565">
        <f t="shared" si="4"/>
        <v>12356356</v>
      </c>
      <c r="L27" s="566">
        <v>12</v>
      </c>
      <c r="M27" s="573">
        <f t="shared" si="5"/>
        <v>148276272</v>
      </c>
      <c r="O27" s="536">
        <f t="shared" si="1"/>
        <v>34631040</v>
      </c>
      <c r="P27" s="533">
        <f t="shared" si="6"/>
        <v>148276272</v>
      </c>
      <c r="Q27" s="537">
        <f t="shared" si="7"/>
        <v>182907312</v>
      </c>
    </row>
    <row r="28" spans="1:17" s="263" customFormat="1" ht="14.25" customHeight="1">
      <c r="A28" s="263">
        <v>15</v>
      </c>
      <c r="B28" s="572" t="s">
        <v>970</v>
      </c>
      <c r="C28" s="564">
        <f>IFERROR(VLOOKUP($B28,'REQUISTO MIN TH'!$A$2:$H$27,7,0),0)</f>
        <v>4</v>
      </c>
      <c r="D28" s="564" t="s">
        <v>957</v>
      </c>
      <c r="E28" s="565">
        <f>IFERROR((VLOOKUP($B28,'1. TABLA COSTOS REC HUMANO'!$B$7:$M$31,3,0)),0)</f>
        <v>2885920</v>
      </c>
      <c r="F28" s="565">
        <f t="shared" si="2"/>
        <v>11543680</v>
      </c>
      <c r="G28" s="566">
        <v>3</v>
      </c>
      <c r="H28" s="573">
        <f t="shared" si="3"/>
        <v>34631040</v>
      </c>
      <c r="J28" s="431">
        <f t="shared" si="0"/>
        <v>3089089</v>
      </c>
      <c r="K28" s="565">
        <f t="shared" si="4"/>
        <v>12356356</v>
      </c>
      <c r="L28" s="566">
        <v>12</v>
      </c>
      <c r="M28" s="573">
        <f t="shared" si="5"/>
        <v>148276272</v>
      </c>
      <c r="O28" s="536">
        <f t="shared" si="1"/>
        <v>34631040</v>
      </c>
      <c r="P28" s="533">
        <f t="shared" si="6"/>
        <v>148276272</v>
      </c>
      <c r="Q28" s="537">
        <f t="shared" si="7"/>
        <v>182907312</v>
      </c>
    </row>
    <row r="29" spans="1:17" s="263" customFormat="1" ht="14.25" customHeight="1">
      <c r="A29" s="263">
        <v>7</v>
      </c>
      <c r="B29" s="572" t="s">
        <v>971</v>
      </c>
      <c r="C29" s="564">
        <f>IFERROR(VLOOKUP($B29,'REQUISTO MIN TH'!$A$2:$H$27,7,0),0)</f>
        <v>1</v>
      </c>
      <c r="D29" s="564" t="s">
        <v>957</v>
      </c>
      <c r="E29" s="565">
        <f>IFERROR((VLOOKUP($B29,'1. TABLA COSTOS REC HUMANO'!$B$7:$M$31,3,0)),0)</f>
        <v>2445690</v>
      </c>
      <c r="F29" s="565">
        <f t="shared" si="2"/>
        <v>2445690</v>
      </c>
      <c r="G29" s="566">
        <v>3</v>
      </c>
      <c r="H29" s="573">
        <f t="shared" si="3"/>
        <v>7337070</v>
      </c>
      <c r="J29" s="431">
        <f t="shared" si="0"/>
        <v>2617867</v>
      </c>
      <c r="K29" s="565">
        <f t="shared" si="4"/>
        <v>2617867</v>
      </c>
      <c r="L29" s="566">
        <v>12</v>
      </c>
      <c r="M29" s="573">
        <f t="shared" si="5"/>
        <v>31414404</v>
      </c>
      <c r="O29" s="536">
        <f t="shared" si="1"/>
        <v>7337070</v>
      </c>
      <c r="P29" s="533">
        <f t="shared" si="6"/>
        <v>31414404</v>
      </c>
      <c r="Q29" s="537">
        <f t="shared" si="7"/>
        <v>38751474</v>
      </c>
    </row>
    <row r="30" spans="1:17" s="263" customFormat="1" ht="14.25" customHeight="1">
      <c r="A30" s="263">
        <v>16</v>
      </c>
      <c r="B30" s="572" t="s">
        <v>972</v>
      </c>
      <c r="C30" s="564">
        <f>IFERROR(VLOOKUP($B30,'REQUISTO MIN TH'!$A$2:$H$27,7,0),0)</f>
        <v>2</v>
      </c>
      <c r="D30" s="564" t="s">
        <v>957</v>
      </c>
      <c r="E30" s="565">
        <f>IFERROR((VLOOKUP($B30,'1. TABLA COSTOS REC HUMANO'!$B$7:$M$31,3,0)),0)</f>
        <v>2281433</v>
      </c>
      <c r="F30" s="565">
        <f t="shared" si="2"/>
        <v>4562866</v>
      </c>
      <c r="G30" s="566">
        <v>3</v>
      </c>
      <c r="H30" s="573">
        <f t="shared" si="3"/>
        <v>13688598</v>
      </c>
      <c r="J30" s="431">
        <f t="shared" si="0"/>
        <v>2442046</v>
      </c>
      <c r="K30" s="565">
        <f t="shared" si="4"/>
        <v>4884092</v>
      </c>
      <c r="L30" s="566">
        <v>12</v>
      </c>
      <c r="M30" s="573">
        <f t="shared" si="5"/>
        <v>58609104</v>
      </c>
      <c r="O30" s="536">
        <f t="shared" si="1"/>
        <v>13688598</v>
      </c>
      <c r="P30" s="533">
        <f t="shared" si="6"/>
        <v>58609104</v>
      </c>
      <c r="Q30" s="537">
        <f t="shared" si="7"/>
        <v>72297702</v>
      </c>
    </row>
    <row r="31" spans="1:17" s="263" customFormat="1" ht="14.25" customHeight="1">
      <c r="A31" s="263">
        <v>17</v>
      </c>
      <c r="B31" s="572" t="s">
        <v>973</v>
      </c>
      <c r="C31" s="564">
        <f>IFERROR(VLOOKUP($B31,'REQUISTO MIN TH'!$A$2:$H$27,7,0),0)</f>
        <v>1</v>
      </c>
      <c r="D31" s="564" t="s">
        <v>957</v>
      </c>
      <c r="E31" s="565">
        <f>IFERROR((VLOOKUP($B31,'1. TABLA COSTOS REC HUMANO'!$B$7:$M$31,3,0)),0)</f>
        <v>2281433</v>
      </c>
      <c r="F31" s="565">
        <f t="shared" si="2"/>
        <v>2281433</v>
      </c>
      <c r="G31" s="566">
        <v>3</v>
      </c>
      <c r="H31" s="573">
        <f t="shared" si="3"/>
        <v>6844299</v>
      </c>
      <c r="J31" s="431">
        <f t="shared" si="0"/>
        <v>2442046</v>
      </c>
      <c r="K31" s="565">
        <f t="shared" si="4"/>
        <v>2442046</v>
      </c>
      <c r="L31" s="566">
        <v>12</v>
      </c>
      <c r="M31" s="573">
        <f t="shared" si="5"/>
        <v>29304552</v>
      </c>
      <c r="O31" s="536">
        <f t="shared" si="1"/>
        <v>6844299</v>
      </c>
      <c r="P31" s="533">
        <f t="shared" si="6"/>
        <v>29304552</v>
      </c>
      <c r="Q31" s="537">
        <f t="shared" si="7"/>
        <v>36148851</v>
      </c>
    </row>
    <row r="32" spans="1:17" s="263" customFormat="1" ht="14.25" customHeight="1">
      <c r="A32" s="263">
        <v>18</v>
      </c>
      <c r="B32" s="572" t="s">
        <v>974</v>
      </c>
      <c r="C32" s="564">
        <f>IFERROR(VLOOKUP($B32,'REQUISTO MIN TH'!$A$2:$H$27,7,0),0)</f>
        <v>8</v>
      </c>
      <c r="D32" s="564" t="s">
        <v>957</v>
      </c>
      <c r="E32" s="565">
        <f>IFERROR((VLOOKUP($B32,'1. TABLA COSTOS REC HUMANO'!$B$7:$M$31,3,0)),0)</f>
        <v>2281433</v>
      </c>
      <c r="F32" s="565">
        <f t="shared" si="2"/>
        <v>18251464</v>
      </c>
      <c r="G32" s="566">
        <v>3</v>
      </c>
      <c r="H32" s="573">
        <f t="shared" si="3"/>
        <v>54754392</v>
      </c>
      <c r="J32" s="431">
        <f t="shared" si="0"/>
        <v>2442046</v>
      </c>
      <c r="K32" s="565">
        <f t="shared" si="4"/>
        <v>19536368</v>
      </c>
      <c r="L32" s="566">
        <v>12</v>
      </c>
      <c r="M32" s="573">
        <f t="shared" si="5"/>
        <v>234436416</v>
      </c>
      <c r="O32" s="536">
        <f t="shared" si="1"/>
        <v>54754392</v>
      </c>
      <c r="P32" s="533">
        <f t="shared" si="6"/>
        <v>234436416</v>
      </c>
      <c r="Q32" s="537">
        <f t="shared" si="7"/>
        <v>289190808</v>
      </c>
    </row>
    <row r="33" spans="1:17" s="263" customFormat="1">
      <c r="A33" s="263">
        <v>19</v>
      </c>
      <c r="B33" s="572" t="s">
        <v>975</v>
      </c>
      <c r="C33" s="564">
        <f>IFERROR(VLOOKUP($B33,'REQUISTO MIN TH'!$A$2:$H$27,7,0),0)</f>
        <v>6</v>
      </c>
      <c r="D33" s="564" t="s">
        <v>957</v>
      </c>
      <c r="E33" s="565">
        <f>IFERROR((VLOOKUP($B33,'1. TABLA COSTOS REC HUMANO'!$B$7:$M$31,3,0)),0)</f>
        <v>2281433</v>
      </c>
      <c r="F33" s="565">
        <f t="shared" si="2"/>
        <v>13688598</v>
      </c>
      <c r="G33" s="566">
        <v>3</v>
      </c>
      <c r="H33" s="573">
        <f t="shared" si="3"/>
        <v>41065794</v>
      </c>
      <c r="J33" s="431">
        <f t="shared" si="0"/>
        <v>2442046</v>
      </c>
      <c r="K33" s="565">
        <f t="shared" si="4"/>
        <v>14652276</v>
      </c>
      <c r="L33" s="566">
        <v>12</v>
      </c>
      <c r="M33" s="573">
        <f t="shared" si="5"/>
        <v>175827312</v>
      </c>
      <c r="O33" s="536">
        <f t="shared" si="1"/>
        <v>41065794</v>
      </c>
      <c r="P33" s="533">
        <f t="shared" si="6"/>
        <v>175827312</v>
      </c>
      <c r="Q33" s="537">
        <f t="shared" si="7"/>
        <v>216893106</v>
      </c>
    </row>
    <row r="34" spans="1:17" s="363" customFormat="1">
      <c r="B34" s="574" t="s">
        <v>976</v>
      </c>
      <c r="C34" s="567">
        <v>1</v>
      </c>
      <c r="D34" s="567" t="s">
        <v>957</v>
      </c>
      <c r="E34" s="568">
        <f>'2. DOTACION PARA TALENTO HUMANO'!O19</f>
        <v>4126120</v>
      </c>
      <c r="F34" s="565">
        <f t="shared" si="2"/>
        <v>4126120</v>
      </c>
      <c r="G34" s="566">
        <v>3</v>
      </c>
      <c r="H34" s="573">
        <f t="shared" si="3"/>
        <v>12378360</v>
      </c>
      <c r="I34" s="129"/>
      <c r="J34" s="431">
        <f>ROUND(E34*(1+$Q$2),0)</f>
        <v>4249904</v>
      </c>
      <c r="K34" s="565">
        <f t="shared" si="4"/>
        <v>4249904</v>
      </c>
      <c r="L34" s="566">
        <v>12</v>
      </c>
      <c r="M34" s="573">
        <f t="shared" si="5"/>
        <v>50998848</v>
      </c>
      <c r="O34" s="536">
        <f t="shared" si="1"/>
        <v>12378360</v>
      </c>
      <c r="P34" s="533">
        <f t="shared" si="6"/>
        <v>50998848</v>
      </c>
      <c r="Q34" s="537">
        <f t="shared" si="7"/>
        <v>63377208</v>
      </c>
    </row>
    <row r="35" spans="1:17" s="429" customFormat="1" ht="38.25">
      <c r="B35" s="574" t="s">
        <v>977</v>
      </c>
      <c r="C35" s="567">
        <v>2</v>
      </c>
      <c r="D35" s="567" t="s">
        <v>978</v>
      </c>
      <c r="E35" s="532">
        <f>'3. VIGILANCIA'!O7</f>
        <v>864353</v>
      </c>
      <c r="F35" s="565">
        <f>E35</f>
        <v>864353</v>
      </c>
      <c r="G35" s="567">
        <v>0</v>
      </c>
      <c r="H35" s="573">
        <f t="shared" ref="H35:H36" si="8">ROUND(E35*G35,0)</f>
        <v>0</v>
      </c>
      <c r="I35" s="263"/>
      <c r="J35" s="431">
        <f>ROUND(($E35*$Q$2)+$E35,0)</f>
        <v>890284</v>
      </c>
      <c r="K35" s="565">
        <f>J35</f>
        <v>890284</v>
      </c>
      <c r="L35" s="424">
        <v>194</v>
      </c>
      <c r="M35" s="573">
        <f t="shared" ref="M35:M36" si="9">ROUND(J35*L35,0)</f>
        <v>172715096</v>
      </c>
      <c r="O35" s="536">
        <f t="shared" si="1"/>
        <v>0</v>
      </c>
      <c r="P35" s="533">
        <f t="shared" si="6"/>
        <v>172715096</v>
      </c>
      <c r="Q35" s="537">
        <f t="shared" si="7"/>
        <v>172715096</v>
      </c>
    </row>
    <row r="36" spans="1:17" s="429" customFormat="1" ht="38.25">
      <c r="B36" s="574" t="s">
        <v>979</v>
      </c>
      <c r="C36" s="567">
        <v>2</v>
      </c>
      <c r="D36" s="567" t="s">
        <v>978</v>
      </c>
      <c r="E36" s="532">
        <f>'3. VIGILANCIA'!O8</f>
        <v>871983</v>
      </c>
      <c r="F36" s="565">
        <f>E36</f>
        <v>871983</v>
      </c>
      <c r="G36" s="567">
        <v>90</v>
      </c>
      <c r="H36" s="573">
        <f t="shared" si="8"/>
        <v>78478470</v>
      </c>
      <c r="I36" s="263"/>
      <c r="J36" s="431">
        <f>ROUND(($E36*$Q$2)+$E36,0)</f>
        <v>898142</v>
      </c>
      <c r="K36" s="565">
        <f>J36</f>
        <v>898142</v>
      </c>
      <c r="L36" s="424">
        <v>166</v>
      </c>
      <c r="M36" s="573">
        <f t="shared" si="9"/>
        <v>149091572</v>
      </c>
      <c r="O36" s="536">
        <f t="shared" si="1"/>
        <v>78478470</v>
      </c>
      <c r="P36" s="533">
        <f t="shared" si="6"/>
        <v>149091572</v>
      </c>
      <c r="Q36" s="537">
        <f t="shared" si="7"/>
        <v>227570042</v>
      </c>
    </row>
    <row r="37" spans="1:17" s="363" customFormat="1">
      <c r="B37" s="574" t="s">
        <v>980</v>
      </c>
      <c r="C37" s="567">
        <v>1</v>
      </c>
      <c r="D37" s="567" t="s">
        <v>957</v>
      </c>
      <c r="E37" s="568">
        <f>'3. VIGILANCIA'!P13</f>
        <v>1820680</v>
      </c>
      <c r="F37" s="565">
        <f t="shared" ref="F37:F49" si="10">ROUND(E37*C37,0)</f>
        <v>1820680</v>
      </c>
      <c r="G37" s="567">
        <v>3</v>
      </c>
      <c r="H37" s="573">
        <f t="shared" ref="H37:H49" si="11">ROUND(F37*G37,0)</f>
        <v>5462040</v>
      </c>
      <c r="I37" s="129"/>
      <c r="J37" s="431">
        <f>ROUND(E37*(1+$Q$2),0)</f>
        <v>1875300</v>
      </c>
      <c r="K37" s="565">
        <f t="shared" ref="K37:K41" si="12">ROUND(J37*$C37,0)</f>
        <v>1875300</v>
      </c>
      <c r="L37" s="566">
        <v>12</v>
      </c>
      <c r="M37" s="573">
        <f t="shared" ref="M37:M49" si="13">ROUND(K37*L37,0)</f>
        <v>22503600</v>
      </c>
      <c r="O37" s="536">
        <f t="shared" si="1"/>
        <v>5462040</v>
      </c>
      <c r="P37" s="533">
        <f t="shared" si="6"/>
        <v>22503600</v>
      </c>
      <c r="Q37" s="537">
        <f t="shared" si="7"/>
        <v>27965640</v>
      </c>
    </row>
    <row r="38" spans="1:17" s="363" customFormat="1">
      <c r="B38" s="574" t="s">
        <v>981</v>
      </c>
      <c r="C38" s="567">
        <v>1</v>
      </c>
      <c r="D38" s="567" t="s">
        <v>957</v>
      </c>
      <c r="E38" s="568">
        <f>'4. TRANSPORTE'!L10</f>
        <v>32759584</v>
      </c>
      <c r="F38" s="565">
        <f t="shared" si="10"/>
        <v>32759584</v>
      </c>
      <c r="G38" s="567">
        <v>3</v>
      </c>
      <c r="H38" s="573">
        <f t="shared" si="11"/>
        <v>98278752</v>
      </c>
      <c r="I38" s="129"/>
      <c r="J38" s="431">
        <f>ROUND(E38*(1+$Q$2),0)</f>
        <v>33742372</v>
      </c>
      <c r="K38" s="565">
        <f t="shared" si="12"/>
        <v>33742372</v>
      </c>
      <c r="L38" s="566">
        <v>12</v>
      </c>
      <c r="M38" s="573">
        <f t="shared" si="13"/>
        <v>404908464</v>
      </c>
      <c r="O38" s="536">
        <f t="shared" si="1"/>
        <v>98278752</v>
      </c>
      <c r="P38" s="533">
        <f t="shared" si="6"/>
        <v>404908464</v>
      </c>
      <c r="Q38" s="537">
        <f t="shared" si="7"/>
        <v>503187216</v>
      </c>
    </row>
    <row r="39" spans="1:17" s="363" customFormat="1">
      <c r="B39" s="574" t="s">
        <v>132</v>
      </c>
      <c r="C39" s="567">
        <v>1</v>
      </c>
      <c r="D39" s="567" t="s">
        <v>957</v>
      </c>
      <c r="E39" s="568">
        <f>'5. BIENES NO CONSUMIBLES'!N113</f>
        <v>19253061</v>
      </c>
      <c r="F39" s="565">
        <f t="shared" si="10"/>
        <v>19253061</v>
      </c>
      <c r="G39" s="567">
        <v>3</v>
      </c>
      <c r="H39" s="573">
        <f t="shared" si="11"/>
        <v>57759183</v>
      </c>
      <c r="I39" s="129"/>
      <c r="J39" s="431">
        <f>ROUND(E39*(1+$Q$2),0)</f>
        <v>19830653</v>
      </c>
      <c r="K39" s="565">
        <f t="shared" si="12"/>
        <v>19830653</v>
      </c>
      <c r="L39" s="566">
        <v>12</v>
      </c>
      <c r="M39" s="573">
        <f t="shared" si="13"/>
        <v>237967836</v>
      </c>
      <c r="O39" s="536">
        <f t="shared" si="1"/>
        <v>57759183</v>
      </c>
      <c r="P39" s="533">
        <f t="shared" si="6"/>
        <v>237967836</v>
      </c>
      <c r="Q39" s="537">
        <f t="shared" si="7"/>
        <v>295727019</v>
      </c>
    </row>
    <row r="40" spans="1:17" s="363" customFormat="1">
      <c r="B40" s="574" t="s">
        <v>422</v>
      </c>
      <c r="C40" s="567">
        <v>1</v>
      </c>
      <c r="D40" s="567" t="s">
        <v>957</v>
      </c>
      <c r="E40" s="568">
        <f>'14. LAVANDERIA'!N12</f>
        <v>714526</v>
      </c>
      <c r="F40" s="565">
        <f t="shared" si="10"/>
        <v>714526</v>
      </c>
      <c r="G40" s="567">
        <v>3</v>
      </c>
      <c r="H40" s="573">
        <f t="shared" si="11"/>
        <v>2143578</v>
      </c>
      <c r="I40" s="129"/>
      <c r="J40" s="431">
        <f>ROUND(E40*(1+$Q$2),0)</f>
        <v>735962</v>
      </c>
      <c r="K40" s="565">
        <f t="shared" si="12"/>
        <v>735962</v>
      </c>
      <c r="L40" s="566">
        <v>12</v>
      </c>
      <c r="M40" s="573">
        <f t="shared" si="13"/>
        <v>8831544</v>
      </c>
      <c r="O40" s="536">
        <f t="shared" si="1"/>
        <v>2143578</v>
      </c>
      <c r="P40" s="533">
        <f t="shared" si="6"/>
        <v>8831544</v>
      </c>
      <c r="Q40" s="537">
        <f t="shared" si="7"/>
        <v>10975122</v>
      </c>
    </row>
    <row r="41" spans="1:17" s="363" customFormat="1">
      <c r="B41" s="574" t="s">
        <v>434</v>
      </c>
      <c r="C41" s="567">
        <v>1</v>
      </c>
      <c r="D41" s="567" t="s">
        <v>957</v>
      </c>
      <c r="E41" s="568">
        <f>'13. ASEO INSTITUCIONAL'!N35</f>
        <v>2831700</v>
      </c>
      <c r="F41" s="565">
        <f t="shared" si="10"/>
        <v>2831700</v>
      </c>
      <c r="G41" s="567">
        <v>3</v>
      </c>
      <c r="H41" s="573">
        <f t="shared" si="11"/>
        <v>8495100</v>
      </c>
      <c r="I41" s="129"/>
      <c r="J41" s="431">
        <f>ROUND(E41*(1+$Q$2),0)</f>
        <v>2916651</v>
      </c>
      <c r="K41" s="565">
        <f t="shared" si="12"/>
        <v>2916651</v>
      </c>
      <c r="L41" s="566">
        <v>12</v>
      </c>
      <c r="M41" s="573">
        <f t="shared" si="13"/>
        <v>34999812</v>
      </c>
      <c r="O41" s="536">
        <f t="shared" si="1"/>
        <v>8495100</v>
      </c>
      <c r="P41" s="533">
        <f t="shared" si="6"/>
        <v>34999812</v>
      </c>
      <c r="Q41" s="537">
        <f t="shared" si="7"/>
        <v>43494912</v>
      </c>
    </row>
    <row r="42" spans="1:17" s="364" customFormat="1" ht="25.5">
      <c r="B42" s="575" t="s">
        <v>982</v>
      </c>
      <c r="C42" s="569">
        <v>1</v>
      </c>
      <c r="D42" s="191" t="s">
        <v>983</v>
      </c>
      <c r="E42" s="570">
        <f>SUM(E43:E45)</f>
        <v>34602594</v>
      </c>
      <c r="F42" s="570">
        <f>SUM(F43:F45)</f>
        <v>34602594</v>
      </c>
      <c r="G42" s="567"/>
      <c r="H42" s="576">
        <f>SUM(H43:H45)</f>
        <v>103807782</v>
      </c>
      <c r="I42" s="545"/>
      <c r="J42" s="546">
        <f>SUM(J43:J45)</f>
        <v>35640672</v>
      </c>
      <c r="K42" s="544">
        <f t="shared" ref="K42:M42" si="14">SUM(K43:K45)</f>
        <v>35640672</v>
      </c>
      <c r="L42" s="424"/>
      <c r="M42" s="547">
        <f t="shared" si="14"/>
        <v>427688064</v>
      </c>
      <c r="O42" s="541">
        <f t="shared" si="1"/>
        <v>103807782</v>
      </c>
      <c r="P42" s="547">
        <f t="shared" ref="P42" si="15">SUM(P43:P45)</f>
        <v>427688064</v>
      </c>
      <c r="Q42" s="543">
        <f t="shared" si="7"/>
        <v>531495846</v>
      </c>
    </row>
    <row r="43" spans="1:17">
      <c r="B43" s="577" t="s">
        <v>493</v>
      </c>
      <c r="C43" s="430">
        <v>1</v>
      </c>
      <c r="D43" s="564" t="s">
        <v>957</v>
      </c>
      <c r="E43" s="568">
        <f>'7. TALLERES Y PAPELERIA'!N43</f>
        <v>5911115</v>
      </c>
      <c r="F43" s="565">
        <f t="shared" si="10"/>
        <v>5911115</v>
      </c>
      <c r="G43" s="567">
        <v>3</v>
      </c>
      <c r="H43" s="573">
        <f t="shared" si="11"/>
        <v>17733345</v>
      </c>
      <c r="J43" s="431">
        <f t="shared" ref="J43:J49" si="16">ROUND(E43*(1+$Q$2),0)</f>
        <v>6088448</v>
      </c>
      <c r="K43" s="565">
        <f t="shared" ref="K43:K49" si="17">ROUND(J43*$C43,0)</f>
        <v>6088448</v>
      </c>
      <c r="L43" s="566">
        <v>12</v>
      </c>
      <c r="M43" s="573">
        <f t="shared" si="13"/>
        <v>73061376</v>
      </c>
      <c r="O43" s="536">
        <f t="shared" si="1"/>
        <v>17733345</v>
      </c>
      <c r="P43" s="533">
        <f t="shared" si="6"/>
        <v>73061376</v>
      </c>
      <c r="Q43" s="537">
        <f t="shared" si="7"/>
        <v>90794721</v>
      </c>
    </row>
    <row r="44" spans="1:17">
      <c r="B44" s="577" t="s">
        <v>623</v>
      </c>
      <c r="C44" s="430">
        <v>1</v>
      </c>
      <c r="D44" s="564" t="s">
        <v>957</v>
      </c>
      <c r="E44" s="568">
        <f>'8. RECREO DEPORTIVAS'!N32</f>
        <v>953923</v>
      </c>
      <c r="F44" s="565">
        <f t="shared" si="10"/>
        <v>953923</v>
      </c>
      <c r="G44" s="567">
        <v>3</v>
      </c>
      <c r="H44" s="573">
        <f t="shared" si="11"/>
        <v>2861769</v>
      </c>
      <c r="J44" s="431">
        <f t="shared" si="16"/>
        <v>982541</v>
      </c>
      <c r="K44" s="565">
        <f t="shared" si="17"/>
        <v>982541</v>
      </c>
      <c r="L44" s="566">
        <v>12</v>
      </c>
      <c r="M44" s="573">
        <f t="shared" si="13"/>
        <v>11790492</v>
      </c>
      <c r="O44" s="536">
        <f t="shared" si="1"/>
        <v>2861769</v>
      </c>
      <c r="P44" s="533">
        <f t="shared" si="6"/>
        <v>11790492</v>
      </c>
      <c r="Q44" s="537">
        <f t="shared" si="7"/>
        <v>14652261</v>
      </c>
    </row>
    <row r="45" spans="1:17">
      <c r="B45" s="577" t="s">
        <v>984</v>
      </c>
      <c r="C45" s="430">
        <v>1</v>
      </c>
      <c r="D45" s="564" t="s">
        <v>957</v>
      </c>
      <c r="E45" s="568">
        <f>'9. TALLER AGRICOLA'!O64</f>
        <v>27737556</v>
      </c>
      <c r="F45" s="565">
        <f t="shared" si="10"/>
        <v>27737556</v>
      </c>
      <c r="G45" s="567">
        <v>3</v>
      </c>
      <c r="H45" s="573">
        <f t="shared" si="11"/>
        <v>83212668</v>
      </c>
      <c r="J45" s="431">
        <f t="shared" si="16"/>
        <v>28569683</v>
      </c>
      <c r="K45" s="565">
        <f t="shared" si="17"/>
        <v>28569683</v>
      </c>
      <c r="L45" s="566">
        <v>12</v>
      </c>
      <c r="M45" s="573">
        <f t="shared" si="13"/>
        <v>342836196</v>
      </c>
      <c r="O45" s="536">
        <f t="shared" si="1"/>
        <v>83212668</v>
      </c>
      <c r="P45" s="533">
        <f t="shared" si="6"/>
        <v>342836196</v>
      </c>
      <c r="Q45" s="537">
        <f t="shared" si="7"/>
        <v>426048864</v>
      </c>
    </row>
    <row r="46" spans="1:17" s="363" customFormat="1">
      <c r="B46" s="574" t="s">
        <v>985</v>
      </c>
      <c r="C46" s="567">
        <v>1</v>
      </c>
      <c r="D46" s="567" t="s">
        <v>957</v>
      </c>
      <c r="E46" s="568">
        <f>'12. Comp Gestion Documental'!N20</f>
        <v>1132607</v>
      </c>
      <c r="F46" s="565">
        <f t="shared" si="10"/>
        <v>1132607</v>
      </c>
      <c r="G46" s="567">
        <v>3</v>
      </c>
      <c r="H46" s="573">
        <f t="shared" si="11"/>
        <v>3397821</v>
      </c>
      <c r="I46" s="129"/>
      <c r="J46" s="431">
        <f t="shared" si="16"/>
        <v>1166585</v>
      </c>
      <c r="K46" s="565">
        <f t="shared" si="17"/>
        <v>1166585</v>
      </c>
      <c r="L46" s="566">
        <v>12</v>
      </c>
      <c r="M46" s="573">
        <f t="shared" si="13"/>
        <v>13999020</v>
      </c>
      <c r="O46" s="536">
        <f t="shared" si="1"/>
        <v>3397821</v>
      </c>
      <c r="P46" s="533">
        <f t="shared" si="6"/>
        <v>13999020</v>
      </c>
      <c r="Q46" s="537">
        <f t="shared" si="7"/>
        <v>17396841</v>
      </c>
    </row>
    <row r="47" spans="1:17" s="363" customFormat="1">
      <c r="B47" s="574" t="s">
        <v>986</v>
      </c>
      <c r="C47" s="567">
        <v>1</v>
      </c>
      <c r="D47" s="567" t="s">
        <v>957</v>
      </c>
      <c r="E47" s="568">
        <f>'16, Piezas comunic. y de difus'!M7</f>
        <v>21560</v>
      </c>
      <c r="F47" s="565">
        <f t="shared" si="10"/>
        <v>21560</v>
      </c>
      <c r="G47" s="567">
        <v>3</v>
      </c>
      <c r="H47" s="573">
        <f t="shared" si="11"/>
        <v>64680</v>
      </c>
      <c r="I47" s="129"/>
      <c r="J47" s="431">
        <f t="shared" si="16"/>
        <v>22207</v>
      </c>
      <c r="K47" s="565">
        <f t="shared" si="17"/>
        <v>22207</v>
      </c>
      <c r="L47" s="566">
        <v>12</v>
      </c>
      <c r="M47" s="573">
        <f t="shared" si="13"/>
        <v>266484</v>
      </c>
      <c r="O47" s="536">
        <f t="shared" si="1"/>
        <v>64680</v>
      </c>
      <c r="P47" s="533">
        <f t="shared" si="6"/>
        <v>266484</v>
      </c>
      <c r="Q47" s="537">
        <f t="shared" si="7"/>
        <v>331164</v>
      </c>
    </row>
    <row r="48" spans="1:17" s="363" customFormat="1">
      <c r="B48" s="578" t="s">
        <v>987</v>
      </c>
      <c r="C48" s="225">
        <v>1</v>
      </c>
      <c r="D48" s="567" t="s">
        <v>957</v>
      </c>
      <c r="E48" s="568">
        <f>'15. Rec, mant y serv Publicos'!E7</f>
        <v>64260000</v>
      </c>
      <c r="F48" s="565">
        <f t="shared" si="10"/>
        <v>64260000</v>
      </c>
      <c r="G48" s="567">
        <v>3</v>
      </c>
      <c r="H48" s="573">
        <f t="shared" si="11"/>
        <v>192780000</v>
      </c>
      <c r="I48" s="129"/>
      <c r="J48" s="431">
        <f t="shared" si="16"/>
        <v>66187800</v>
      </c>
      <c r="K48" s="565">
        <f t="shared" si="17"/>
        <v>66187800</v>
      </c>
      <c r="L48" s="566">
        <v>12</v>
      </c>
      <c r="M48" s="573">
        <f t="shared" si="13"/>
        <v>794253600</v>
      </c>
      <c r="O48" s="536">
        <f t="shared" si="1"/>
        <v>192780000</v>
      </c>
      <c r="P48" s="533">
        <f t="shared" si="6"/>
        <v>794253600</v>
      </c>
      <c r="Q48" s="537">
        <f t="shared" si="7"/>
        <v>987033600</v>
      </c>
    </row>
    <row r="49" spans="2:19" s="363" customFormat="1">
      <c r="B49" s="578" t="s">
        <v>988</v>
      </c>
      <c r="C49" s="225">
        <v>1</v>
      </c>
      <c r="D49" s="567" t="s">
        <v>957</v>
      </c>
      <c r="E49" s="568">
        <f>'15. Rec, mant y serv Publicos'!E9</f>
        <v>13637684</v>
      </c>
      <c r="F49" s="565">
        <f t="shared" si="10"/>
        <v>13637684</v>
      </c>
      <c r="G49" s="567">
        <v>3</v>
      </c>
      <c r="H49" s="573">
        <f t="shared" si="11"/>
        <v>40913052</v>
      </c>
      <c r="I49" s="129"/>
      <c r="J49" s="431">
        <f t="shared" si="16"/>
        <v>14046815</v>
      </c>
      <c r="K49" s="565">
        <f t="shared" si="17"/>
        <v>14046815</v>
      </c>
      <c r="L49" s="566">
        <v>12</v>
      </c>
      <c r="M49" s="573">
        <f t="shared" si="13"/>
        <v>168561780</v>
      </c>
      <c r="O49" s="536">
        <f t="shared" si="1"/>
        <v>40913052</v>
      </c>
      <c r="P49" s="533">
        <f t="shared" si="6"/>
        <v>168561780</v>
      </c>
      <c r="Q49" s="537">
        <f t="shared" si="7"/>
        <v>209474832</v>
      </c>
    </row>
    <row r="50" spans="2:19" ht="13.5" thickBot="1">
      <c r="B50" s="579" t="s">
        <v>989</v>
      </c>
      <c r="C50" s="580"/>
      <c r="D50" s="581"/>
      <c r="E50" s="540">
        <f>E14+E34+E35+E36+E37+E38+E39+E40+E41+E42+E46+E47+E48+E49</f>
        <v>239027159</v>
      </c>
      <c r="F50" s="539"/>
      <c r="G50" s="539"/>
      <c r="H50" s="540">
        <f>H14+H34+H35+H36+H37+H38+H39+H40+H41+H42+H46+H47+H48+H49</f>
        <v>1266464886</v>
      </c>
      <c r="I50" s="363"/>
      <c r="J50" s="540">
        <f>J14+J34+J35+J36+J37+J38+J39+J40+J41+J42+J46+J47+J48+J49</f>
        <v>248708060</v>
      </c>
      <c r="K50" s="427"/>
      <c r="L50" s="427"/>
      <c r="M50" s="426">
        <f>M14+M34+M35+M36+M37+M38+M39+M40+M41+M42+M46+M47+M48+M49</f>
        <v>5323371940</v>
      </c>
      <c r="O50" s="538">
        <f>O14+O34+O35+O36+O37+O38+O39+O40+O41+O42+O46+O47+O48+O49</f>
        <v>1266464886</v>
      </c>
      <c r="P50" s="539">
        <f>P14+P34+P35+P36+P37+P38+P39+P40+P41+P42+P46+P47+P48+P49</f>
        <v>5323371940</v>
      </c>
      <c r="Q50" s="540">
        <f>Q14+Q34+Q35+Q36+Q37+Q38+Q39+Q40+Q41+Q42+Q46+Q47+Q48+Q49</f>
        <v>6589836826</v>
      </c>
    </row>
    <row r="51" spans="2:19">
      <c r="B51" s="672" t="s">
        <v>990</v>
      </c>
      <c r="C51" s="673"/>
      <c r="D51" s="673"/>
      <c r="E51" s="673"/>
      <c r="F51" s="673"/>
      <c r="G51" s="673"/>
      <c r="H51" s="674"/>
      <c r="J51" s="680" t="s">
        <v>990</v>
      </c>
      <c r="K51" s="681"/>
      <c r="L51" s="681"/>
      <c r="M51" s="682"/>
      <c r="O51" s="666" t="s">
        <v>990</v>
      </c>
      <c r="P51" s="667"/>
      <c r="Q51" s="668"/>
    </row>
    <row r="52" spans="2:19" s="363" customFormat="1">
      <c r="B52" s="553" t="s">
        <v>991</v>
      </c>
      <c r="C52" s="428">
        <v>1</v>
      </c>
      <c r="D52" s="634" t="s">
        <v>992</v>
      </c>
      <c r="E52" s="650">
        <f>'15. Rec, mant y serv Publicos'!F22</f>
        <v>554904</v>
      </c>
      <c r="F52" s="565">
        <f>E52</f>
        <v>554904</v>
      </c>
      <c r="G52" s="567">
        <v>92</v>
      </c>
      <c r="H52" s="573">
        <f>ROUND(E52*G52,0)</f>
        <v>51051168</v>
      </c>
      <c r="I52" s="618"/>
      <c r="J52" s="431">
        <f>ROUND(E52*(1+$Q$2),0)</f>
        <v>571551</v>
      </c>
      <c r="K52" s="565">
        <f>J52</f>
        <v>571551</v>
      </c>
      <c r="L52" s="567">
        <v>365</v>
      </c>
      <c r="M52" s="573">
        <f>ROUND(J52*L52,0)</f>
        <v>208616115</v>
      </c>
      <c r="N52" s="619"/>
      <c r="O52" s="637">
        <f>H52</f>
        <v>51051168</v>
      </c>
      <c r="P52" s="636">
        <f t="shared" ref="P52:P55" si="18">M52</f>
        <v>208616115</v>
      </c>
      <c r="Q52" s="635">
        <f t="shared" ref="Q52:Q55" si="19">O52+P52</f>
        <v>259667283</v>
      </c>
    </row>
    <row r="53" spans="2:19">
      <c r="B53" s="554" t="s">
        <v>993</v>
      </c>
      <c r="C53" s="428">
        <v>1</v>
      </c>
      <c r="D53" s="634" t="s">
        <v>992</v>
      </c>
      <c r="E53" s="650">
        <f>'11. ASEO PARTICIPANTES'!O30</f>
        <v>1116478</v>
      </c>
      <c r="F53" s="565">
        <f t="shared" ref="F53:F55" si="20">E53</f>
        <v>1116478</v>
      </c>
      <c r="G53" s="567">
        <v>92</v>
      </c>
      <c r="H53" s="573">
        <f t="shared" ref="H53:H55" si="21">ROUND(E53*G53,0)</f>
        <v>102715976</v>
      </c>
      <c r="I53" s="618"/>
      <c r="J53" s="431">
        <f>ROUND(E53*(1+$Q$2),0)</f>
        <v>1149972</v>
      </c>
      <c r="K53" s="565">
        <f t="shared" ref="K53:K55" si="22">J53</f>
        <v>1149972</v>
      </c>
      <c r="L53" s="567">
        <v>365</v>
      </c>
      <c r="M53" s="573">
        <f t="shared" ref="M53:M55" si="23">ROUND(J53*L53,0)</f>
        <v>419739780</v>
      </c>
      <c r="N53" s="618"/>
      <c r="O53" s="637">
        <f>H53</f>
        <v>102715976</v>
      </c>
      <c r="P53" s="636">
        <f>M53</f>
        <v>419739780</v>
      </c>
      <c r="Q53" s="635">
        <f t="shared" si="19"/>
        <v>522455756</v>
      </c>
    </row>
    <row r="54" spans="2:19">
      <c r="B54" s="554" t="s">
        <v>994</v>
      </c>
      <c r="C54" s="428">
        <v>1</v>
      </c>
      <c r="D54" s="634" t="s">
        <v>992</v>
      </c>
      <c r="E54" s="650">
        <f>'10. VESTUARIO PARTICIPANTES'!O26</f>
        <v>1507202</v>
      </c>
      <c r="F54" s="565">
        <f t="shared" si="20"/>
        <v>1507202</v>
      </c>
      <c r="G54" s="567">
        <v>92</v>
      </c>
      <c r="H54" s="573">
        <f t="shared" si="21"/>
        <v>138662584</v>
      </c>
      <c r="I54" s="618"/>
      <c r="J54" s="431">
        <f>ROUND(E54*(1+$Q$2),0)</f>
        <v>1552418</v>
      </c>
      <c r="K54" s="565">
        <f t="shared" si="22"/>
        <v>1552418</v>
      </c>
      <c r="L54" s="567">
        <v>365</v>
      </c>
      <c r="M54" s="573">
        <f t="shared" si="23"/>
        <v>566632570</v>
      </c>
      <c r="N54" s="618"/>
      <c r="O54" s="637">
        <f>H54</f>
        <v>138662584</v>
      </c>
      <c r="P54" s="636">
        <f t="shared" si="18"/>
        <v>566632570</v>
      </c>
      <c r="Q54" s="635">
        <f t="shared" si="19"/>
        <v>705295154</v>
      </c>
    </row>
    <row r="55" spans="2:19">
      <c r="B55" s="554" t="s">
        <v>915</v>
      </c>
      <c r="C55" s="428">
        <v>1</v>
      </c>
      <c r="D55" s="634" t="s">
        <v>992</v>
      </c>
      <c r="E55" s="650">
        <f>'17. ALIMENTACION PARTICIPANTES'!I128</f>
        <v>4585681</v>
      </c>
      <c r="F55" s="565">
        <f t="shared" si="20"/>
        <v>4585681</v>
      </c>
      <c r="G55" s="567">
        <v>92</v>
      </c>
      <c r="H55" s="573">
        <f t="shared" si="21"/>
        <v>421882652</v>
      </c>
      <c r="I55" s="618"/>
      <c r="J55" s="431">
        <f>ROUND(E55*(1+$Q$2),0)</f>
        <v>4723251</v>
      </c>
      <c r="K55" s="565">
        <f t="shared" si="22"/>
        <v>4723251</v>
      </c>
      <c r="L55" s="567">
        <v>365</v>
      </c>
      <c r="M55" s="573">
        <f t="shared" si="23"/>
        <v>1723986615</v>
      </c>
      <c r="N55" s="618"/>
      <c r="O55" s="637">
        <f>H55</f>
        <v>421882652</v>
      </c>
      <c r="P55" s="636">
        <f t="shared" si="18"/>
        <v>1723986615</v>
      </c>
      <c r="Q55" s="635">
        <f t="shared" si="19"/>
        <v>2145869267</v>
      </c>
    </row>
    <row r="56" spans="2:19" ht="13.5" thickBot="1">
      <c r="B56" s="678" t="s">
        <v>995</v>
      </c>
      <c r="C56" s="679"/>
      <c r="D56" s="555"/>
      <c r="E56" s="426">
        <f>SUM(E52:E55)</f>
        <v>7764265</v>
      </c>
      <c r="F56" s="427"/>
      <c r="G56" s="427"/>
      <c r="H56" s="426">
        <f>SUM(H52:H55)</f>
        <v>714312380</v>
      </c>
      <c r="I56" s="363"/>
      <c r="J56" s="426">
        <f>SUM(J52:J55)</f>
        <v>7997192</v>
      </c>
      <c r="K56" s="427"/>
      <c r="L56" s="427"/>
      <c r="M56" s="426">
        <f>SUM(M52:M55)</f>
        <v>2918975080</v>
      </c>
      <c r="O56" s="538">
        <f>SUM(O52:O55)</f>
        <v>714312380</v>
      </c>
      <c r="P56" s="539">
        <f t="shared" ref="P56:Q56" si="24">SUM(P52:P55)</f>
        <v>2918975080</v>
      </c>
      <c r="Q56" s="540">
        <f t="shared" si="24"/>
        <v>3633287460</v>
      </c>
    </row>
    <row r="57" spans="2:19" ht="13.5" thickBot="1">
      <c r="B57" s="552"/>
      <c r="C57" s="552"/>
      <c r="D57" s="552"/>
      <c r="E57" s="586"/>
      <c r="F57" s="586"/>
      <c r="G57" s="586"/>
      <c r="H57" s="586"/>
      <c r="J57" s="586"/>
      <c r="K57" s="589"/>
      <c r="L57" s="589"/>
      <c r="M57" s="590"/>
    </row>
    <row r="58" spans="2:19" ht="13.5" thickBot="1">
      <c r="B58" s="669" t="s">
        <v>996</v>
      </c>
      <c r="C58" s="670"/>
      <c r="D58" s="671"/>
      <c r="E58" s="588">
        <f>E50+E56</f>
        <v>246791424</v>
      </c>
      <c r="F58" s="587"/>
      <c r="G58" s="587"/>
      <c r="H58" s="588">
        <f>H50+H56</f>
        <v>1980777266</v>
      </c>
      <c r="J58" s="588">
        <f>J50+J56</f>
        <v>256705252</v>
      </c>
      <c r="K58" s="587"/>
      <c r="L58" s="587"/>
      <c r="M58" s="588">
        <f t="shared" ref="M58" si="25">M50+M56</f>
        <v>8242347020</v>
      </c>
      <c r="O58" s="583">
        <f t="shared" ref="O58:Q58" si="26">O50+O56</f>
        <v>1980777266</v>
      </c>
      <c r="P58" s="584">
        <f t="shared" si="26"/>
        <v>8242347020</v>
      </c>
      <c r="Q58" s="585">
        <f t="shared" si="26"/>
        <v>10223124286</v>
      </c>
    </row>
    <row r="63" spans="2:19">
      <c r="S63" s="631"/>
    </row>
    <row r="64" spans="2:19" ht="15.75">
      <c r="B64" s="664" t="s">
        <v>997</v>
      </c>
      <c r="C64" s="664"/>
      <c r="D64" s="664"/>
      <c r="E64" s="664"/>
      <c r="F64" s="664"/>
      <c r="G64" s="664"/>
      <c r="H64" s="664"/>
      <c r="I64" s="664"/>
      <c r="J64" s="664"/>
      <c r="K64" s="664"/>
      <c r="L64" s="664"/>
      <c r="M64" s="664"/>
    </row>
    <row r="65" spans="2:17" ht="51" customHeight="1">
      <c r="B65" s="665" t="s">
        <v>998</v>
      </c>
      <c r="C65" s="665"/>
      <c r="D65" s="665"/>
      <c r="E65" s="665"/>
      <c r="F65" s="665"/>
      <c r="G65" s="665"/>
      <c r="H65" s="665"/>
      <c r="I65" s="665"/>
      <c r="J65" s="665"/>
      <c r="K65" s="665"/>
      <c r="L65" s="665"/>
      <c r="M65" s="665"/>
      <c r="Q65" s="367"/>
    </row>
    <row r="66" spans="2:17" ht="60.75" customHeight="1">
      <c r="B66" s="664" t="s">
        <v>999</v>
      </c>
      <c r="C66" s="664"/>
      <c r="D66" s="664"/>
      <c r="E66" s="664"/>
      <c r="F66" s="664"/>
      <c r="G66" s="664"/>
      <c r="H66" s="664"/>
      <c r="I66" s="664"/>
      <c r="J66" s="664"/>
      <c r="K66" s="664"/>
      <c r="L66" s="664"/>
      <c r="M66" s="664"/>
      <c r="Q66" s="620"/>
    </row>
    <row r="67" spans="2:17" ht="60.75" customHeight="1">
      <c r="B67" s="664" t="s">
        <v>1000</v>
      </c>
      <c r="C67" s="664"/>
      <c r="D67" s="664"/>
      <c r="E67" s="664"/>
      <c r="F67" s="664"/>
      <c r="G67" s="664"/>
      <c r="H67" s="664"/>
      <c r="I67" s="664"/>
      <c r="J67" s="664"/>
      <c r="K67" s="664"/>
      <c r="L67" s="664"/>
      <c r="M67" s="664"/>
      <c r="Q67" s="367"/>
    </row>
    <row r="68" spans="2:17" ht="60.75" customHeight="1">
      <c r="B68" s="664" t="s">
        <v>1001</v>
      </c>
      <c r="C68" s="664"/>
      <c r="D68" s="664"/>
      <c r="E68" s="664"/>
      <c r="F68" s="664"/>
      <c r="G68" s="664"/>
      <c r="H68" s="664"/>
      <c r="I68" s="664"/>
      <c r="J68" s="664"/>
      <c r="K68" s="664"/>
      <c r="L68" s="664"/>
      <c r="M68" s="664"/>
      <c r="Q68" s="620"/>
    </row>
    <row r="69" spans="2:17" ht="78.75" customHeight="1">
      <c r="B69" s="664" t="s">
        <v>1002</v>
      </c>
      <c r="C69" s="664"/>
      <c r="D69" s="664"/>
      <c r="E69" s="664"/>
      <c r="F69" s="664"/>
      <c r="G69" s="664"/>
      <c r="H69" s="664"/>
      <c r="I69" s="664"/>
      <c r="J69" s="664"/>
      <c r="K69" s="664"/>
      <c r="L69" s="664"/>
      <c r="M69" s="664"/>
    </row>
    <row r="70" spans="2:17" ht="60.75" customHeight="1">
      <c r="B70" s="665" t="s">
        <v>1003</v>
      </c>
      <c r="C70" s="665"/>
      <c r="D70" s="665"/>
      <c r="E70" s="665"/>
      <c r="F70" s="665"/>
      <c r="G70" s="665"/>
      <c r="H70" s="665"/>
      <c r="I70" s="665"/>
      <c r="J70" s="665"/>
      <c r="K70" s="665"/>
      <c r="L70" s="665"/>
      <c r="M70" s="665"/>
    </row>
    <row r="71" spans="2:17" ht="60.75" customHeight="1">
      <c r="B71" s="664" t="s">
        <v>1004</v>
      </c>
      <c r="C71" s="664"/>
      <c r="D71" s="664"/>
      <c r="E71" s="664"/>
      <c r="F71" s="664"/>
      <c r="G71" s="664"/>
      <c r="H71" s="664"/>
      <c r="I71" s="664"/>
      <c r="J71" s="664"/>
      <c r="K71" s="664"/>
      <c r="L71" s="664"/>
      <c r="M71" s="664"/>
    </row>
    <row r="72" spans="2:17" ht="60.75" customHeight="1">
      <c r="B72" s="664" t="s">
        <v>1005</v>
      </c>
      <c r="C72" s="664"/>
      <c r="D72" s="664"/>
      <c r="E72" s="664"/>
      <c r="F72" s="664"/>
      <c r="G72" s="664"/>
      <c r="H72" s="664"/>
      <c r="I72" s="664"/>
      <c r="J72" s="664"/>
      <c r="K72" s="664"/>
      <c r="L72" s="664"/>
      <c r="M72" s="664"/>
    </row>
    <row r="73" spans="2:17" ht="60.75" customHeight="1">
      <c r="B73" s="664" t="s">
        <v>1006</v>
      </c>
      <c r="C73" s="664"/>
      <c r="D73" s="664"/>
      <c r="E73" s="664"/>
      <c r="F73" s="664"/>
      <c r="G73" s="664"/>
      <c r="H73" s="664"/>
      <c r="I73" s="664"/>
      <c r="J73" s="664"/>
      <c r="K73" s="664"/>
      <c r="L73" s="664"/>
      <c r="M73" s="664"/>
    </row>
    <row r="74" spans="2:17" ht="60.75" customHeight="1">
      <c r="B74" s="664" t="s">
        <v>1007</v>
      </c>
      <c r="C74" s="664"/>
      <c r="D74" s="664"/>
      <c r="E74" s="664"/>
      <c r="F74" s="664"/>
      <c r="G74" s="664"/>
      <c r="H74" s="664"/>
      <c r="I74" s="664"/>
      <c r="J74" s="664"/>
      <c r="K74" s="664"/>
      <c r="L74" s="664"/>
      <c r="M74" s="664"/>
    </row>
    <row r="75" spans="2:17" ht="60.75" customHeight="1">
      <c r="B75" s="664" t="s">
        <v>1008</v>
      </c>
      <c r="C75" s="664"/>
      <c r="D75" s="664"/>
      <c r="E75" s="664"/>
      <c r="F75" s="664"/>
      <c r="G75" s="664"/>
      <c r="H75" s="664"/>
      <c r="I75" s="664"/>
      <c r="J75" s="664"/>
      <c r="K75" s="664"/>
      <c r="L75" s="664"/>
      <c r="M75" s="664"/>
    </row>
    <row r="76" spans="2:17" ht="60.75" customHeight="1">
      <c r="B76" s="664" t="s">
        <v>1009</v>
      </c>
      <c r="C76" s="664"/>
      <c r="D76" s="664"/>
      <c r="E76" s="664"/>
      <c r="F76" s="664"/>
      <c r="G76" s="664"/>
      <c r="H76" s="664"/>
      <c r="I76" s="664"/>
      <c r="J76" s="664"/>
      <c r="K76" s="664"/>
      <c r="L76" s="664"/>
      <c r="M76" s="664"/>
    </row>
    <row r="77" spans="2:17" ht="60.75" customHeight="1">
      <c r="B77" s="664" t="s">
        <v>1010</v>
      </c>
      <c r="C77" s="664" t="s">
        <v>1011</v>
      </c>
      <c r="D77" s="664"/>
      <c r="E77" s="664"/>
      <c r="F77" s="664"/>
      <c r="G77" s="664"/>
      <c r="H77" s="664"/>
      <c r="I77" s="664"/>
      <c r="J77" s="664"/>
      <c r="K77" s="664"/>
      <c r="L77" s="664"/>
      <c r="M77" s="664"/>
    </row>
    <row r="78" spans="2:17" ht="60.75" customHeight="1">
      <c r="B78" s="664" t="s">
        <v>1012</v>
      </c>
      <c r="C78" s="664"/>
      <c r="D78" s="664"/>
      <c r="E78" s="664"/>
      <c r="F78" s="664"/>
      <c r="G78" s="664"/>
      <c r="H78" s="664"/>
      <c r="I78" s="664"/>
      <c r="J78" s="664"/>
      <c r="K78" s="664"/>
      <c r="L78" s="664"/>
      <c r="M78" s="664"/>
    </row>
    <row r="79" spans="2:17" ht="60.75" customHeight="1">
      <c r="B79" s="664" t="s">
        <v>1013</v>
      </c>
      <c r="C79" s="664"/>
      <c r="D79" s="664"/>
      <c r="E79" s="664"/>
      <c r="F79" s="664"/>
      <c r="G79" s="664"/>
      <c r="H79" s="664"/>
      <c r="I79" s="664"/>
      <c r="J79" s="664"/>
      <c r="K79" s="664"/>
      <c r="L79" s="664"/>
      <c r="M79" s="664"/>
    </row>
    <row r="80" spans="2:17" ht="60.75" customHeight="1">
      <c r="B80" s="664" t="s">
        <v>1014</v>
      </c>
      <c r="C80" s="664"/>
      <c r="D80" s="664"/>
      <c r="E80" s="664"/>
      <c r="F80" s="664"/>
      <c r="G80" s="664"/>
      <c r="H80" s="664"/>
      <c r="I80" s="664"/>
      <c r="J80" s="664"/>
      <c r="K80" s="664"/>
      <c r="L80" s="664"/>
      <c r="M80" s="664"/>
    </row>
    <row r="81" spans="2:13" ht="60.75" customHeight="1">
      <c r="B81" s="664" t="s">
        <v>1015</v>
      </c>
      <c r="C81" s="664"/>
      <c r="D81" s="664"/>
      <c r="E81" s="664"/>
      <c r="F81" s="664"/>
      <c r="G81" s="664"/>
      <c r="H81" s="664"/>
      <c r="I81" s="664"/>
      <c r="J81" s="664"/>
      <c r="K81" s="664"/>
      <c r="L81" s="664"/>
      <c r="M81" s="664"/>
    </row>
    <row r="82" spans="2:13" ht="51" customHeight="1">
      <c r="B82" s="664" t="s">
        <v>1016</v>
      </c>
      <c r="C82" s="664"/>
      <c r="D82" s="664"/>
      <c r="E82" s="664"/>
      <c r="F82" s="664"/>
      <c r="G82" s="664"/>
      <c r="H82" s="664"/>
      <c r="I82" s="664"/>
      <c r="J82" s="664"/>
      <c r="K82" s="664"/>
      <c r="L82" s="664"/>
      <c r="M82" s="664"/>
    </row>
    <row r="83" spans="2:13" ht="51" customHeight="1">
      <c r="B83" s="664" t="s">
        <v>1017</v>
      </c>
      <c r="C83" s="664"/>
      <c r="D83" s="664"/>
      <c r="E83" s="664"/>
      <c r="F83" s="664"/>
      <c r="G83" s="664"/>
      <c r="H83" s="664"/>
      <c r="I83" s="664"/>
      <c r="J83" s="664"/>
      <c r="K83" s="664"/>
      <c r="L83" s="664"/>
      <c r="M83" s="664"/>
    </row>
    <row r="84" spans="2:13" ht="51" customHeight="1">
      <c r="B84" s="664" t="s">
        <v>1018</v>
      </c>
      <c r="C84" s="664"/>
      <c r="D84" s="664"/>
      <c r="E84" s="664"/>
      <c r="F84" s="664"/>
      <c r="G84" s="664"/>
      <c r="H84" s="664"/>
      <c r="I84" s="664"/>
      <c r="J84" s="664"/>
      <c r="K84" s="664"/>
      <c r="L84" s="664"/>
      <c r="M84" s="664"/>
    </row>
    <row r="85" spans="2:13" ht="51" customHeight="1">
      <c r="B85" s="664" t="s">
        <v>1019</v>
      </c>
      <c r="C85" s="664"/>
      <c r="D85" s="664"/>
      <c r="E85" s="664"/>
      <c r="F85" s="664"/>
      <c r="G85" s="664"/>
      <c r="H85" s="664"/>
      <c r="I85" s="664"/>
      <c r="J85" s="664"/>
      <c r="K85" s="664"/>
      <c r="L85" s="664"/>
      <c r="M85" s="664"/>
    </row>
    <row r="86" spans="2:13" ht="51" customHeight="1">
      <c r="B86" s="664" t="s">
        <v>1020</v>
      </c>
      <c r="C86" s="664"/>
      <c r="D86" s="664"/>
      <c r="E86" s="664"/>
      <c r="F86" s="664"/>
      <c r="G86" s="664"/>
      <c r="H86" s="664"/>
      <c r="I86" s="664"/>
      <c r="J86" s="664"/>
      <c r="K86" s="664"/>
      <c r="L86" s="664"/>
      <c r="M86" s="664"/>
    </row>
    <row r="87" spans="2:13" ht="51" customHeight="1">
      <c r="B87" s="664" t="s">
        <v>1021</v>
      </c>
      <c r="C87" s="664"/>
      <c r="D87" s="664"/>
      <c r="E87" s="664"/>
      <c r="F87" s="664"/>
      <c r="G87" s="664"/>
      <c r="H87" s="664"/>
      <c r="I87" s="664"/>
      <c r="J87" s="664"/>
      <c r="K87" s="664"/>
      <c r="L87" s="664"/>
      <c r="M87" s="664"/>
    </row>
    <row r="88" spans="2:13" ht="51" customHeight="1">
      <c r="B88" s="664" t="s">
        <v>1022</v>
      </c>
      <c r="C88" s="664"/>
      <c r="D88" s="664"/>
      <c r="E88" s="664"/>
      <c r="F88" s="664"/>
      <c r="G88" s="664"/>
      <c r="H88" s="664"/>
      <c r="I88" s="664"/>
      <c r="J88" s="664"/>
      <c r="K88" s="664"/>
      <c r="L88" s="664"/>
      <c r="M88" s="664"/>
    </row>
    <row r="89" spans="2:13" ht="51" customHeight="1">
      <c r="B89" s="664" t="s">
        <v>1023</v>
      </c>
      <c r="C89" s="664"/>
      <c r="D89" s="664"/>
      <c r="E89" s="664"/>
      <c r="F89" s="664"/>
      <c r="G89" s="664"/>
      <c r="H89" s="664"/>
      <c r="I89" s="664"/>
      <c r="J89" s="664"/>
      <c r="K89" s="664"/>
      <c r="L89" s="664"/>
      <c r="M89" s="664"/>
    </row>
    <row r="90" spans="2:13" ht="27" customHeight="1">
      <c r="B90" s="664" t="s">
        <v>1024</v>
      </c>
      <c r="C90" s="664"/>
      <c r="D90" s="664"/>
      <c r="E90" s="664"/>
      <c r="F90" s="664"/>
      <c r="G90" s="664"/>
      <c r="H90" s="664"/>
      <c r="I90" s="664"/>
      <c r="J90" s="664"/>
      <c r="K90" s="664"/>
      <c r="L90" s="664"/>
      <c r="M90" s="664"/>
    </row>
    <row r="91" spans="2:13" ht="36.75" customHeight="1">
      <c r="B91" s="664" t="s">
        <v>1025</v>
      </c>
      <c r="C91" s="664"/>
      <c r="D91" s="664"/>
      <c r="E91" s="664"/>
      <c r="F91" s="664"/>
      <c r="G91" s="664"/>
      <c r="H91" s="664"/>
      <c r="I91" s="664"/>
      <c r="J91" s="664"/>
      <c r="K91" s="664"/>
      <c r="L91" s="664"/>
      <c r="M91" s="664"/>
    </row>
    <row r="92" spans="2:13" ht="36.75" customHeight="1">
      <c r="B92" s="664" t="s">
        <v>1026</v>
      </c>
      <c r="C92" s="664"/>
      <c r="D92" s="664"/>
      <c r="E92" s="664"/>
      <c r="F92" s="664"/>
      <c r="G92" s="664"/>
      <c r="H92" s="664"/>
      <c r="I92" s="664"/>
      <c r="J92" s="664"/>
      <c r="K92" s="664"/>
      <c r="L92" s="664"/>
      <c r="M92" s="664"/>
    </row>
    <row r="93" spans="2:13" ht="36.75" customHeight="1">
      <c r="B93" s="664" t="s">
        <v>1027</v>
      </c>
      <c r="C93" s="664"/>
      <c r="D93" s="664"/>
      <c r="E93" s="664"/>
      <c r="F93" s="664"/>
      <c r="G93" s="664"/>
      <c r="H93" s="664"/>
      <c r="I93" s="664"/>
      <c r="J93" s="664"/>
      <c r="K93" s="664"/>
      <c r="L93" s="664"/>
      <c r="M93" s="664"/>
    </row>
    <row r="94" spans="2:13" ht="15.75">
      <c r="B94" s="630"/>
      <c r="C94"/>
    </row>
  </sheetData>
  <mergeCells count="49">
    <mergeCell ref="O10:Q10"/>
    <mergeCell ref="O9:Q9"/>
    <mergeCell ref="C10:H10"/>
    <mergeCell ref="J9:M9"/>
    <mergeCell ref="J10:M10"/>
    <mergeCell ref="B1:M1"/>
    <mergeCell ref="B3:M3"/>
    <mergeCell ref="B5:M6"/>
    <mergeCell ref="C9:H9"/>
    <mergeCell ref="B2:M2"/>
    <mergeCell ref="B4:M4"/>
    <mergeCell ref="B77:M77"/>
    <mergeCell ref="B79:M79"/>
    <mergeCell ref="B64:M64"/>
    <mergeCell ref="B65:M65"/>
    <mergeCell ref="O13:Q13"/>
    <mergeCell ref="O51:Q51"/>
    <mergeCell ref="B58:D58"/>
    <mergeCell ref="B51:H51"/>
    <mergeCell ref="B13:H13"/>
    <mergeCell ref="J13:M13"/>
    <mergeCell ref="B56:C56"/>
    <mergeCell ref="J51:M51"/>
    <mergeCell ref="B82:M82"/>
    <mergeCell ref="B83:M83"/>
    <mergeCell ref="B81:M81"/>
    <mergeCell ref="B66:M66"/>
    <mergeCell ref="B68:M68"/>
    <mergeCell ref="B69:M69"/>
    <mergeCell ref="B70:M70"/>
    <mergeCell ref="B74:M74"/>
    <mergeCell ref="B67:M67"/>
    <mergeCell ref="B71:M71"/>
    <mergeCell ref="B72:M72"/>
    <mergeCell ref="B73:M73"/>
    <mergeCell ref="B80:M80"/>
    <mergeCell ref="B75:M75"/>
    <mergeCell ref="B76:M76"/>
    <mergeCell ref="B78:M78"/>
    <mergeCell ref="B84:M84"/>
    <mergeCell ref="B85:M85"/>
    <mergeCell ref="B86:M86"/>
    <mergeCell ref="B87:M87"/>
    <mergeCell ref="B88:M88"/>
    <mergeCell ref="B93:M93"/>
    <mergeCell ref="B89:M89"/>
    <mergeCell ref="B90:M90"/>
    <mergeCell ref="B91:M91"/>
    <mergeCell ref="B92:M92"/>
  </mergeCells>
  <pageMargins left="0.7" right="0.7" top="0.75" bottom="0.75" header="0.3" footer="0.3"/>
  <pageSetup orientation="portrait"/>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59999389629810485"/>
  </sheetPr>
  <dimension ref="A1:S94"/>
  <sheetViews>
    <sheetView showGridLines="0" topLeftCell="A10" zoomScale="85" zoomScaleNormal="85" zoomScalePageLayoutView="85" workbookViewId="0">
      <selection activeCell="B3" sqref="B3:N3"/>
    </sheetView>
  </sheetViews>
  <sheetFormatPr defaultColWidth="11.42578125" defaultRowHeight="12.75"/>
  <cols>
    <col min="1" max="1" width="3.7109375" style="129" customWidth="1"/>
    <col min="2" max="2" width="54.140625" style="129" customWidth="1"/>
    <col min="3" max="3" width="11.42578125" style="129"/>
    <col min="4" max="4" width="38.42578125" style="129" customWidth="1"/>
    <col min="5" max="5" width="15.7109375" style="129" customWidth="1"/>
    <col min="6" max="8" width="20.7109375" style="129" customWidth="1"/>
    <col min="9" max="9" width="3.28515625" style="129" customWidth="1"/>
    <col min="10" max="13" width="20.7109375" style="129" customWidth="1"/>
    <col min="14" max="14" width="3.140625" style="129" customWidth="1"/>
    <col min="15" max="17" width="23" style="129" customWidth="1"/>
    <col min="18" max="16384" width="11.42578125" style="129"/>
  </cols>
  <sheetData>
    <row r="1" spans="1:17">
      <c r="B1" s="683" t="s">
        <v>927</v>
      </c>
      <c r="C1" s="683"/>
      <c r="D1" s="683"/>
      <c r="E1" s="683"/>
      <c r="F1" s="683"/>
      <c r="G1" s="683"/>
      <c r="H1" s="683"/>
      <c r="I1" s="683"/>
      <c r="J1" s="683"/>
      <c r="K1" s="683"/>
      <c r="L1" s="683"/>
      <c r="M1" s="683"/>
      <c r="P1" s="129" t="s">
        <v>928</v>
      </c>
      <c r="Q1" s="621">
        <v>7.0400000000000004E-2</v>
      </c>
    </row>
    <row r="2" spans="1:17">
      <c r="B2" s="688" t="s">
        <v>929</v>
      </c>
      <c r="C2" s="689"/>
      <c r="D2" s="689"/>
      <c r="E2" s="689"/>
      <c r="F2" s="689"/>
      <c r="G2" s="689"/>
      <c r="H2" s="689"/>
      <c r="I2" s="689"/>
      <c r="J2" s="689"/>
      <c r="K2" s="689"/>
      <c r="L2" s="689"/>
      <c r="M2" s="689"/>
      <c r="P2" s="129" t="s">
        <v>930</v>
      </c>
      <c r="Q2" s="622">
        <v>0.03</v>
      </c>
    </row>
    <row r="3" spans="1:17">
      <c r="B3" s="684" t="s">
        <v>931</v>
      </c>
      <c r="C3" s="684"/>
      <c r="D3" s="684"/>
      <c r="E3" s="684"/>
      <c r="F3" s="684"/>
      <c r="G3" s="684"/>
      <c r="H3" s="684"/>
      <c r="I3" s="684"/>
      <c r="J3" s="684"/>
      <c r="K3" s="684"/>
      <c r="L3" s="684"/>
      <c r="M3" s="684"/>
    </row>
    <row r="4" spans="1:17">
      <c r="B4" s="684" t="s">
        <v>932</v>
      </c>
      <c r="C4" s="684"/>
      <c r="D4" s="684" t="s">
        <v>933</v>
      </c>
      <c r="E4" s="684"/>
      <c r="F4" s="684"/>
      <c r="G4" s="684"/>
      <c r="H4" s="684"/>
      <c r="I4" s="684"/>
      <c r="J4" s="684"/>
      <c r="K4" s="684"/>
      <c r="L4" s="684"/>
      <c r="M4" s="684"/>
    </row>
    <row r="5" spans="1:17">
      <c r="B5" s="683" t="s">
        <v>934</v>
      </c>
      <c r="C5" s="683"/>
      <c r="D5" s="683"/>
      <c r="E5" s="683"/>
      <c r="F5" s="683"/>
      <c r="G5" s="683"/>
      <c r="H5" s="683"/>
      <c r="I5" s="683"/>
      <c r="J5" s="683"/>
      <c r="K5" s="683"/>
      <c r="L5" s="683"/>
      <c r="M5" s="683"/>
    </row>
    <row r="6" spans="1:17">
      <c r="B6" s="683"/>
      <c r="C6" s="683"/>
      <c r="D6" s="683"/>
      <c r="E6" s="683"/>
      <c r="F6" s="683"/>
      <c r="G6" s="683"/>
      <c r="H6" s="683"/>
      <c r="I6" s="683"/>
      <c r="J6" s="683"/>
      <c r="K6" s="683"/>
      <c r="L6" s="683"/>
      <c r="M6" s="683"/>
    </row>
    <row r="8" spans="1:17" ht="13.5" thickBot="1"/>
    <row r="9" spans="1:17" ht="20.25" customHeight="1">
      <c r="B9" s="360" t="s">
        <v>935</v>
      </c>
      <c r="C9" s="685">
        <v>130</v>
      </c>
      <c r="D9" s="686"/>
      <c r="E9" s="686"/>
      <c r="F9" s="686"/>
      <c r="G9" s="686"/>
      <c r="H9" s="687"/>
      <c r="J9" s="685" t="s">
        <v>936</v>
      </c>
      <c r="K9" s="686"/>
      <c r="L9" s="686"/>
      <c r="M9" s="687"/>
      <c r="O9" s="693" t="s">
        <v>937</v>
      </c>
      <c r="P9" s="694"/>
      <c r="Q9" s="695"/>
    </row>
    <row r="10" spans="1:17" ht="15.75" thickBot="1">
      <c r="B10" s="361" t="s">
        <v>938</v>
      </c>
      <c r="C10" s="696" t="s">
        <v>939</v>
      </c>
      <c r="D10" s="697"/>
      <c r="E10" s="697"/>
      <c r="F10" s="697"/>
      <c r="G10" s="697"/>
      <c r="H10" s="698"/>
      <c r="J10" s="699" t="s">
        <v>940</v>
      </c>
      <c r="K10" s="700"/>
      <c r="L10" s="700"/>
      <c r="M10" s="701"/>
      <c r="O10" s="690" t="s">
        <v>941</v>
      </c>
      <c r="P10" s="691"/>
      <c r="Q10" s="692"/>
    </row>
    <row r="11" spans="1:17" ht="15.75" thickBot="1">
      <c r="B11" s="361"/>
      <c r="C11" s="361"/>
      <c r="H11" s="362"/>
      <c r="K11" s="622">
        <v>0.03</v>
      </c>
      <c r="O11"/>
      <c r="P11"/>
      <c r="Q11"/>
    </row>
    <row r="12" spans="1:17" ht="51.75" thickBot="1">
      <c r="B12" s="556" t="s">
        <v>86</v>
      </c>
      <c r="C12" s="557" t="s">
        <v>942</v>
      </c>
      <c r="D12" s="558" t="s">
        <v>943</v>
      </c>
      <c r="E12" s="559" t="s">
        <v>944</v>
      </c>
      <c r="F12" s="559" t="s">
        <v>945</v>
      </c>
      <c r="G12" s="560" t="s">
        <v>946</v>
      </c>
      <c r="H12" s="561" t="s">
        <v>947</v>
      </c>
      <c r="J12" s="559" t="s">
        <v>948</v>
      </c>
      <c r="K12" s="559" t="s">
        <v>949</v>
      </c>
      <c r="L12" s="432" t="s">
        <v>946</v>
      </c>
      <c r="M12" s="433" t="s">
        <v>950</v>
      </c>
      <c r="O12" s="582" t="s">
        <v>951</v>
      </c>
      <c r="P12" s="559" t="s">
        <v>952</v>
      </c>
      <c r="Q12" s="561" t="s">
        <v>953</v>
      </c>
    </row>
    <row r="13" spans="1:17">
      <c r="B13" s="666" t="s">
        <v>954</v>
      </c>
      <c r="C13" s="667"/>
      <c r="D13" s="667"/>
      <c r="E13" s="667"/>
      <c r="F13" s="667"/>
      <c r="G13" s="667"/>
      <c r="H13" s="668"/>
      <c r="J13" s="675" t="s">
        <v>954</v>
      </c>
      <c r="K13" s="676"/>
      <c r="L13" s="676"/>
      <c r="M13" s="677"/>
      <c r="O13" s="666" t="s">
        <v>954</v>
      </c>
      <c r="P13" s="667"/>
      <c r="Q13" s="668"/>
    </row>
    <row r="14" spans="1:17" ht="12.75" customHeight="1">
      <c r="B14" s="571" t="s">
        <v>955</v>
      </c>
      <c r="C14" s="562">
        <f>SUM(C15:C33)</f>
        <v>72</v>
      </c>
      <c r="D14" s="562"/>
      <c r="E14" s="563">
        <f>SUM(E15:E33)</f>
        <v>62130707</v>
      </c>
      <c r="F14" s="563">
        <f>SUM(F15:F33)</f>
        <v>220835356</v>
      </c>
      <c r="G14" s="563"/>
      <c r="H14" s="535">
        <f>SUM(H15:H33)</f>
        <v>662506068</v>
      </c>
      <c r="I14" s="363"/>
      <c r="J14" s="365">
        <f>SUM(J15:J33)</f>
        <v>66504713</v>
      </c>
      <c r="K14" s="365">
        <f>SUM(K15:K33)</f>
        <v>236382185</v>
      </c>
      <c r="L14" s="365"/>
      <c r="M14" s="425">
        <f>SUM(M15:M33)</f>
        <v>2836586220</v>
      </c>
      <c r="O14" s="534">
        <f>SUM(O15:O33)</f>
        <v>662506068</v>
      </c>
      <c r="P14" s="531">
        <f>SUM(P15:P33)</f>
        <v>2836586220</v>
      </c>
      <c r="Q14" s="535">
        <f>SUM(Q15:Q33)</f>
        <v>3499092288</v>
      </c>
    </row>
    <row r="15" spans="1:17" s="263" customFormat="1" ht="14.25" customHeight="1">
      <c r="A15" s="263">
        <v>1</v>
      </c>
      <c r="B15" s="572" t="s">
        <v>956</v>
      </c>
      <c r="C15" s="564">
        <f>IFERROR(VLOOKUP($B15,'REQUISTO MIN TH'!$A$2:$H$27,7,0),0)</f>
        <v>1</v>
      </c>
      <c r="D15" s="564" t="s">
        <v>957</v>
      </c>
      <c r="E15" s="653">
        <f>IFERROR((VLOOKUP($B15,'1. TABLA COSTOS REC HUMANO'!$B$7:$M$31,3,0)),0)</f>
        <v>5133210</v>
      </c>
      <c r="F15" s="565">
        <f>ROUND(E15*$C15,0)</f>
        <v>5133210</v>
      </c>
      <c r="G15" s="566">
        <v>3</v>
      </c>
      <c r="H15" s="573">
        <f>ROUND(F15*G15,0)</f>
        <v>15399630</v>
      </c>
      <c r="J15" s="431">
        <f t="shared" ref="J15:J33" si="0">ROUND(E15*(1+$Q$1),0)</f>
        <v>5494588</v>
      </c>
      <c r="K15" s="565">
        <f>ROUND(J15*$C15,0)</f>
        <v>5494588</v>
      </c>
      <c r="L15" s="566">
        <v>12</v>
      </c>
      <c r="M15" s="573">
        <f>ROUND(K15*L15,0)</f>
        <v>65935056</v>
      </c>
      <c r="O15" s="536">
        <f t="shared" ref="O15:O49" si="1">H15</f>
        <v>15399630</v>
      </c>
      <c r="P15" s="533">
        <f>M15</f>
        <v>65935056</v>
      </c>
      <c r="Q15" s="537">
        <f>O15+P15</f>
        <v>81334686</v>
      </c>
    </row>
    <row r="16" spans="1:17" s="263" customFormat="1" ht="14.25" customHeight="1">
      <c r="A16" s="263">
        <v>2</v>
      </c>
      <c r="B16" s="572" t="s">
        <v>958</v>
      </c>
      <c r="C16" s="564">
        <f>IFERROR(VLOOKUP($B16,'REQUISTO MIN TH'!$A$2:$H$27,7,0),0)</f>
        <v>2</v>
      </c>
      <c r="D16" s="564" t="s">
        <v>957</v>
      </c>
      <c r="E16" s="653">
        <f>IFERROR((VLOOKUP($B16,'1. TABLA COSTOS REC HUMANO'!$B$7:$M$31,3,0)),0)</f>
        <v>4399725</v>
      </c>
      <c r="F16" s="565">
        <f t="shared" ref="F16:F34" si="2">ROUND(E16*$C16,0)</f>
        <v>8799450</v>
      </c>
      <c r="G16" s="566">
        <v>3</v>
      </c>
      <c r="H16" s="573">
        <f t="shared" ref="H16:H34" si="3">ROUND(F16*G16,0)</f>
        <v>26398350</v>
      </c>
      <c r="J16" s="431">
        <f t="shared" si="0"/>
        <v>4709466</v>
      </c>
      <c r="K16" s="565">
        <f t="shared" ref="K16:K34" si="4">ROUND(J16*$C16,0)</f>
        <v>9418932</v>
      </c>
      <c r="L16" s="566">
        <v>12</v>
      </c>
      <c r="M16" s="573">
        <f t="shared" ref="M16:M34" si="5">ROUND(K16*L16,0)</f>
        <v>113027184</v>
      </c>
      <c r="O16" s="536">
        <f t="shared" si="1"/>
        <v>26398350</v>
      </c>
      <c r="P16" s="533">
        <f t="shared" ref="P16:P49" si="6">M16</f>
        <v>113027184</v>
      </c>
      <c r="Q16" s="537">
        <f t="shared" ref="Q16:Q49" si="7">O16+P16</f>
        <v>139425534</v>
      </c>
    </row>
    <row r="17" spans="1:17" s="263" customFormat="1" ht="24" customHeight="1">
      <c r="A17" s="263">
        <v>4</v>
      </c>
      <c r="B17" s="572" t="s">
        <v>959</v>
      </c>
      <c r="C17" s="564">
        <f>IFERROR(VLOOKUP($B17,'REQUISTO MIN TH'!$A$2:$H$27,7,0),0)</f>
        <v>2</v>
      </c>
      <c r="D17" s="564" t="s">
        <v>957</v>
      </c>
      <c r="E17" s="653">
        <f>IFERROR((VLOOKUP($B17,'1. TABLA COSTOS REC HUMANO'!$B$7:$M$31,3,0)),0)</f>
        <v>4399725</v>
      </c>
      <c r="F17" s="565">
        <f t="shared" si="2"/>
        <v>8799450</v>
      </c>
      <c r="G17" s="566">
        <v>3</v>
      </c>
      <c r="H17" s="573">
        <f t="shared" si="3"/>
        <v>26398350</v>
      </c>
      <c r="J17" s="431">
        <f t="shared" si="0"/>
        <v>4709466</v>
      </c>
      <c r="K17" s="565">
        <f t="shared" si="4"/>
        <v>9418932</v>
      </c>
      <c r="L17" s="566">
        <v>12</v>
      </c>
      <c r="M17" s="573">
        <f t="shared" si="5"/>
        <v>113027184</v>
      </c>
      <c r="O17" s="536">
        <f t="shared" si="1"/>
        <v>26398350</v>
      </c>
      <c r="P17" s="533">
        <f t="shared" si="6"/>
        <v>113027184</v>
      </c>
      <c r="Q17" s="537">
        <f t="shared" si="7"/>
        <v>139425534</v>
      </c>
    </row>
    <row r="18" spans="1:17" s="263" customFormat="1" ht="14.25" customHeight="1">
      <c r="A18" s="263">
        <v>5</v>
      </c>
      <c r="B18" s="572" t="s">
        <v>960</v>
      </c>
      <c r="C18" s="564">
        <f>IFERROR(VLOOKUP($B18,'REQUISTO MIN TH'!$A$2:$H$27,7,0),0)</f>
        <v>5</v>
      </c>
      <c r="D18" s="564" t="s">
        <v>957</v>
      </c>
      <c r="E18" s="653">
        <f>IFERROR((VLOOKUP($B18,'1. TABLA COSTOS REC HUMANO'!$B$7:$M$31,3,0)),0)</f>
        <v>4399725</v>
      </c>
      <c r="F18" s="565">
        <f t="shared" si="2"/>
        <v>21998625</v>
      </c>
      <c r="G18" s="566">
        <v>3</v>
      </c>
      <c r="H18" s="573">
        <f t="shared" si="3"/>
        <v>65995875</v>
      </c>
      <c r="J18" s="431">
        <f t="shared" si="0"/>
        <v>4709466</v>
      </c>
      <c r="K18" s="565">
        <f t="shared" si="4"/>
        <v>23547330</v>
      </c>
      <c r="L18" s="566">
        <v>12</v>
      </c>
      <c r="M18" s="573">
        <f t="shared" si="5"/>
        <v>282567960</v>
      </c>
      <c r="O18" s="536">
        <f t="shared" si="1"/>
        <v>65995875</v>
      </c>
      <c r="P18" s="533">
        <f t="shared" si="6"/>
        <v>282567960</v>
      </c>
      <c r="Q18" s="537">
        <f t="shared" si="7"/>
        <v>348563835</v>
      </c>
    </row>
    <row r="19" spans="1:17" s="263" customFormat="1" ht="14.25" customHeight="1">
      <c r="A19" s="263">
        <v>6</v>
      </c>
      <c r="B19" s="572" t="s">
        <v>961</v>
      </c>
      <c r="C19" s="564">
        <f>IFERROR(VLOOKUP($B19,'REQUISTO MIN TH'!$A$2:$H$27,7,0),0)</f>
        <v>5</v>
      </c>
      <c r="D19" s="564" t="s">
        <v>957</v>
      </c>
      <c r="E19" s="653">
        <f>IFERROR((VLOOKUP($B19,'1. TABLA COSTOS REC HUMANO'!$B$7:$M$31,3,0)),0)</f>
        <v>4399725</v>
      </c>
      <c r="F19" s="565">
        <f t="shared" si="2"/>
        <v>21998625</v>
      </c>
      <c r="G19" s="566">
        <v>3</v>
      </c>
      <c r="H19" s="573">
        <f t="shared" si="3"/>
        <v>65995875</v>
      </c>
      <c r="J19" s="431">
        <f t="shared" si="0"/>
        <v>4709466</v>
      </c>
      <c r="K19" s="565">
        <f t="shared" si="4"/>
        <v>23547330</v>
      </c>
      <c r="L19" s="566">
        <v>12</v>
      </c>
      <c r="M19" s="573">
        <f t="shared" si="5"/>
        <v>282567960</v>
      </c>
      <c r="O19" s="536">
        <f t="shared" si="1"/>
        <v>65995875</v>
      </c>
      <c r="P19" s="533">
        <f t="shared" si="6"/>
        <v>282567960</v>
      </c>
      <c r="Q19" s="537">
        <f t="shared" si="7"/>
        <v>348563835</v>
      </c>
    </row>
    <row r="20" spans="1:17" s="263" customFormat="1" ht="14.25" customHeight="1">
      <c r="A20" s="263">
        <v>8</v>
      </c>
      <c r="B20" s="572" t="s">
        <v>962</v>
      </c>
      <c r="C20" s="564">
        <f>IFERROR(VLOOKUP($B20,'REQUISTO MIN TH'!$A$2:$H$27,7,0),0)</f>
        <v>5</v>
      </c>
      <c r="D20" s="564" t="s">
        <v>957</v>
      </c>
      <c r="E20" s="653">
        <f>IFERROR((VLOOKUP($B20,'1. TABLA COSTOS REC HUMANO'!$B$7:$M$31,3,0)),0)</f>
        <v>4399725</v>
      </c>
      <c r="F20" s="565">
        <f t="shared" si="2"/>
        <v>21998625</v>
      </c>
      <c r="G20" s="566">
        <v>3</v>
      </c>
      <c r="H20" s="573">
        <f t="shared" si="3"/>
        <v>65995875</v>
      </c>
      <c r="J20" s="431">
        <f t="shared" si="0"/>
        <v>4709466</v>
      </c>
      <c r="K20" s="565">
        <f t="shared" si="4"/>
        <v>23547330</v>
      </c>
      <c r="L20" s="566">
        <v>12</v>
      </c>
      <c r="M20" s="573">
        <f t="shared" si="5"/>
        <v>282567960</v>
      </c>
      <c r="O20" s="536">
        <f t="shared" si="1"/>
        <v>65995875</v>
      </c>
      <c r="P20" s="533">
        <f t="shared" si="6"/>
        <v>282567960</v>
      </c>
      <c r="Q20" s="537">
        <f t="shared" si="7"/>
        <v>348563835</v>
      </c>
    </row>
    <row r="21" spans="1:17" s="263" customFormat="1" ht="14.25" customHeight="1">
      <c r="A21" s="263">
        <v>9</v>
      </c>
      <c r="B21" s="572" t="s">
        <v>963</v>
      </c>
      <c r="C21" s="564">
        <f>IFERROR(VLOOKUP($B21,'REQUISTO MIN TH'!$A$2:$H$27,7,0),0)</f>
        <v>2</v>
      </c>
      <c r="D21" s="564" t="s">
        <v>957</v>
      </c>
      <c r="E21" s="653">
        <f>IFERROR((VLOOKUP($B21,'1. TABLA COSTOS REC HUMANO'!$B$7:$M$31,3,0)),0)</f>
        <v>3666240</v>
      </c>
      <c r="F21" s="565">
        <f t="shared" si="2"/>
        <v>7332480</v>
      </c>
      <c r="G21" s="566">
        <v>3</v>
      </c>
      <c r="H21" s="573">
        <f t="shared" si="3"/>
        <v>21997440</v>
      </c>
      <c r="J21" s="431">
        <f t="shared" si="0"/>
        <v>3924343</v>
      </c>
      <c r="K21" s="565">
        <f t="shared" si="4"/>
        <v>7848686</v>
      </c>
      <c r="L21" s="566">
        <v>12</v>
      </c>
      <c r="M21" s="573">
        <f t="shared" si="5"/>
        <v>94184232</v>
      </c>
      <c r="O21" s="536">
        <f t="shared" si="1"/>
        <v>21997440</v>
      </c>
      <c r="P21" s="533">
        <f t="shared" si="6"/>
        <v>94184232</v>
      </c>
      <c r="Q21" s="537">
        <f t="shared" si="7"/>
        <v>116181672</v>
      </c>
    </row>
    <row r="22" spans="1:17" s="263" customFormat="1" ht="14.25" customHeight="1">
      <c r="A22" s="263">
        <v>10</v>
      </c>
      <c r="B22" s="572" t="s">
        <v>964</v>
      </c>
      <c r="C22" s="564">
        <f>IFERROR(VLOOKUP($B22,'REQUISTO MIN TH'!$A$2:$H$27,7,0),0)</f>
        <v>20</v>
      </c>
      <c r="D22" s="564" t="s">
        <v>957</v>
      </c>
      <c r="E22" s="653">
        <f>IFERROR((VLOOKUP($B22,'1. TABLA COSTOS REC HUMANO'!$B$7:$M$31,3,0)),0)</f>
        <v>2445690</v>
      </c>
      <c r="F22" s="565">
        <f t="shared" si="2"/>
        <v>48913800</v>
      </c>
      <c r="G22" s="566">
        <v>3</v>
      </c>
      <c r="H22" s="573">
        <f t="shared" si="3"/>
        <v>146741400</v>
      </c>
      <c r="J22" s="431">
        <f t="shared" si="0"/>
        <v>2617867</v>
      </c>
      <c r="K22" s="565">
        <f t="shared" si="4"/>
        <v>52357340</v>
      </c>
      <c r="L22" s="566">
        <v>12</v>
      </c>
      <c r="M22" s="573">
        <f t="shared" si="5"/>
        <v>628288080</v>
      </c>
      <c r="O22" s="536">
        <f t="shared" si="1"/>
        <v>146741400</v>
      </c>
      <c r="P22" s="533">
        <f t="shared" si="6"/>
        <v>628288080</v>
      </c>
      <c r="Q22" s="537">
        <f t="shared" si="7"/>
        <v>775029480</v>
      </c>
    </row>
    <row r="23" spans="1:17" s="263" customFormat="1" ht="14.25" customHeight="1">
      <c r="A23" s="263">
        <v>3</v>
      </c>
      <c r="B23" s="572" t="s">
        <v>965</v>
      </c>
      <c r="C23" s="564">
        <f>IFERROR(VLOOKUP($B23,'REQUISTO MIN TH'!$A$2:$H$27,7,0),0)</f>
        <v>1</v>
      </c>
      <c r="D23" s="564" t="s">
        <v>957</v>
      </c>
      <c r="E23" s="653">
        <f>IFERROR((VLOOKUP($B23,'1. TABLA COSTOS REC HUMANO'!$B$7:$M$31,3,0)),0)</f>
        <v>2885920</v>
      </c>
      <c r="F23" s="565">
        <f t="shared" si="2"/>
        <v>2885920</v>
      </c>
      <c r="G23" s="566">
        <v>3</v>
      </c>
      <c r="H23" s="573">
        <f t="shared" si="3"/>
        <v>8657760</v>
      </c>
      <c r="J23" s="431">
        <f t="shared" si="0"/>
        <v>3089089</v>
      </c>
      <c r="K23" s="565">
        <f t="shared" si="4"/>
        <v>3089089</v>
      </c>
      <c r="L23" s="566">
        <v>12</v>
      </c>
      <c r="M23" s="573">
        <f t="shared" si="5"/>
        <v>37069068</v>
      </c>
      <c r="O23" s="536">
        <f t="shared" si="1"/>
        <v>8657760</v>
      </c>
      <c r="P23" s="533">
        <f t="shared" si="6"/>
        <v>37069068</v>
      </c>
      <c r="Q23" s="537">
        <f t="shared" si="7"/>
        <v>45726828</v>
      </c>
    </row>
    <row r="24" spans="1:17" s="263" customFormat="1" ht="14.25" customHeight="1">
      <c r="A24" s="263">
        <v>11</v>
      </c>
      <c r="B24" s="572" t="s">
        <v>966</v>
      </c>
      <c r="C24" s="564">
        <f>IFERROR(VLOOKUP($B24,'REQUISTO MIN TH'!$A$2:$H$27,7,0),0)</f>
        <v>1</v>
      </c>
      <c r="D24" s="564" t="s">
        <v>957</v>
      </c>
      <c r="E24" s="653">
        <f>IFERROR((VLOOKUP($B24,'1. TABLA COSTOS REC HUMANO'!$B$7:$M$31,3,0)),0)</f>
        <v>2885920</v>
      </c>
      <c r="F24" s="565">
        <f t="shared" si="2"/>
        <v>2885920</v>
      </c>
      <c r="G24" s="566">
        <v>3</v>
      </c>
      <c r="H24" s="573">
        <f t="shared" si="3"/>
        <v>8657760</v>
      </c>
      <c r="J24" s="431">
        <f t="shared" si="0"/>
        <v>3089089</v>
      </c>
      <c r="K24" s="565">
        <f t="shared" si="4"/>
        <v>3089089</v>
      </c>
      <c r="L24" s="566">
        <v>12</v>
      </c>
      <c r="M24" s="573">
        <f t="shared" si="5"/>
        <v>37069068</v>
      </c>
      <c r="O24" s="536">
        <f t="shared" si="1"/>
        <v>8657760</v>
      </c>
      <c r="P24" s="533">
        <f t="shared" si="6"/>
        <v>37069068</v>
      </c>
      <c r="Q24" s="537">
        <f t="shared" si="7"/>
        <v>45726828</v>
      </c>
    </row>
    <row r="25" spans="1:17" s="263" customFormat="1" ht="14.25" customHeight="1">
      <c r="A25" s="263">
        <v>12</v>
      </c>
      <c r="B25" s="572" t="s">
        <v>967</v>
      </c>
      <c r="C25" s="564">
        <f>IFERROR(VLOOKUP($B25,'REQUISTO MIN TH'!$A$2:$H$27,7,0),0)</f>
        <v>1</v>
      </c>
      <c r="D25" s="564" t="s">
        <v>957</v>
      </c>
      <c r="E25" s="653">
        <f>IFERROR((VLOOKUP($B25,'1. TABLA COSTOS REC HUMANO'!$B$7:$M$31,3,0)),0)</f>
        <v>2885920</v>
      </c>
      <c r="F25" s="565">
        <f t="shared" si="2"/>
        <v>2885920</v>
      </c>
      <c r="G25" s="566">
        <v>3</v>
      </c>
      <c r="H25" s="573">
        <f t="shared" si="3"/>
        <v>8657760</v>
      </c>
      <c r="J25" s="431">
        <f t="shared" si="0"/>
        <v>3089089</v>
      </c>
      <c r="K25" s="565">
        <f t="shared" si="4"/>
        <v>3089089</v>
      </c>
      <c r="L25" s="566">
        <v>12</v>
      </c>
      <c r="M25" s="573">
        <f t="shared" si="5"/>
        <v>37069068</v>
      </c>
      <c r="O25" s="536">
        <f t="shared" si="1"/>
        <v>8657760</v>
      </c>
      <c r="P25" s="533">
        <f t="shared" si="6"/>
        <v>37069068</v>
      </c>
      <c r="Q25" s="537">
        <f t="shared" si="7"/>
        <v>45726828</v>
      </c>
    </row>
    <row r="26" spans="1:17" s="263" customFormat="1" ht="14.25" customHeight="1">
      <c r="A26" s="263">
        <v>13</v>
      </c>
      <c r="B26" s="572" t="s">
        <v>968</v>
      </c>
      <c r="C26" s="564">
        <f>IFERROR(VLOOKUP($B26,'REQUISTO MIN TH'!$A$2:$H$27,7,0),0)</f>
        <v>1</v>
      </c>
      <c r="D26" s="564" t="s">
        <v>957</v>
      </c>
      <c r="E26" s="653">
        <f>IFERROR((VLOOKUP($B26,'1. TABLA COSTOS REC HUMANO'!$B$7:$M$31,3,0)),0)</f>
        <v>2885920</v>
      </c>
      <c r="F26" s="565">
        <f t="shared" si="2"/>
        <v>2885920</v>
      </c>
      <c r="G26" s="566">
        <v>3</v>
      </c>
      <c r="H26" s="573">
        <f t="shared" si="3"/>
        <v>8657760</v>
      </c>
      <c r="J26" s="431">
        <f t="shared" si="0"/>
        <v>3089089</v>
      </c>
      <c r="K26" s="565">
        <f t="shared" si="4"/>
        <v>3089089</v>
      </c>
      <c r="L26" s="566">
        <v>12</v>
      </c>
      <c r="M26" s="573">
        <f t="shared" si="5"/>
        <v>37069068</v>
      </c>
      <c r="O26" s="536">
        <f t="shared" si="1"/>
        <v>8657760</v>
      </c>
      <c r="P26" s="533">
        <f t="shared" si="6"/>
        <v>37069068</v>
      </c>
      <c r="Q26" s="537">
        <f t="shared" si="7"/>
        <v>45726828</v>
      </c>
    </row>
    <row r="27" spans="1:17" s="263" customFormat="1" ht="14.25" customHeight="1">
      <c r="A27" s="263">
        <v>14</v>
      </c>
      <c r="B27" s="572" t="s">
        <v>969</v>
      </c>
      <c r="C27" s="564">
        <f>IFERROR(VLOOKUP($B27,'REQUISTO MIN TH'!$A$2:$H$27,7,0),0)</f>
        <v>4</v>
      </c>
      <c r="D27" s="564" t="s">
        <v>957</v>
      </c>
      <c r="E27" s="653">
        <f>IFERROR((VLOOKUP($B27,'1. TABLA COSTOS REC HUMANO'!$B$7:$M$31,3,0)),0)</f>
        <v>2885920</v>
      </c>
      <c r="F27" s="565">
        <f t="shared" si="2"/>
        <v>11543680</v>
      </c>
      <c r="G27" s="566">
        <v>3</v>
      </c>
      <c r="H27" s="573">
        <f t="shared" si="3"/>
        <v>34631040</v>
      </c>
      <c r="J27" s="431">
        <f t="shared" si="0"/>
        <v>3089089</v>
      </c>
      <c r="K27" s="565">
        <f t="shared" si="4"/>
        <v>12356356</v>
      </c>
      <c r="L27" s="566">
        <v>12</v>
      </c>
      <c r="M27" s="573">
        <f t="shared" si="5"/>
        <v>148276272</v>
      </c>
      <c r="O27" s="536">
        <f t="shared" si="1"/>
        <v>34631040</v>
      </c>
      <c r="P27" s="533">
        <f t="shared" si="6"/>
        <v>148276272</v>
      </c>
      <c r="Q27" s="537">
        <f t="shared" si="7"/>
        <v>182907312</v>
      </c>
    </row>
    <row r="28" spans="1:17" s="263" customFormat="1" ht="14.25" customHeight="1">
      <c r="A28" s="263">
        <v>15</v>
      </c>
      <c r="B28" s="572" t="s">
        <v>970</v>
      </c>
      <c r="C28" s="564">
        <f>IFERROR(VLOOKUP($B28,'REQUISTO MIN TH'!$A$2:$H$27,7,0),0)</f>
        <v>4</v>
      </c>
      <c r="D28" s="564" t="s">
        <v>957</v>
      </c>
      <c r="E28" s="653">
        <f>IFERROR((VLOOKUP($B28,'1. TABLA COSTOS REC HUMANO'!$B$7:$M$31,3,0)),0)</f>
        <v>2885920</v>
      </c>
      <c r="F28" s="565">
        <f t="shared" si="2"/>
        <v>11543680</v>
      </c>
      <c r="G28" s="566">
        <v>3</v>
      </c>
      <c r="H28" s="573">
        <f t="shared" si="3"/>
        <v>34631040</v>
      </c>
      <c r="J28" s="431">
        <f t="shared" si="0"/>
        <v>3089089</v>
      </c>
      <c r="K28" s="565">
        <f t="shared" si="4"/>
        <v>12356356</v>
      </c>
      <c r="L28" s="566">
        <v>12</v>
      </c>
      <c r="M28" s="573">
        <f t="shared" si="5"/>
        <v>148276272</v>
      </c>
      <c r="O28" s="536">
        <f t="shared" si="1"/>
        <v>34631040</v>
      </c>
      <c r="P28" s="533">
        <f t="shared" si="6"/>
        <v>148276272</v>
      </c>
      <c r="Q28" s="537">
        <f t="shared" si="7"/>
        <v>182907312</v>
      </c>
    </row>
    <row r="29" spans="1:17" s="263" customFormat="1" ht="14.25" customHeight="1">
      <c r="A29" s="263">
        <v>7</v>
      </c>
      <c r="B29" s="572" t="s">
        <v>971</v>
      </c>
      <c r="C29" s="564">
        <f>IFERROR(VLOOKUP($B29,'REQUISTO MIN TH'!$A$2:$H$27,7,0),0)</f>
        <v>1</v>
      </c>
      <c r="D29" s="564" t="s">
        <v>957</v>
      </c>
      <c r="E29" s="653">
        <f>IFERROR((VLOOKUP($B29,'1. TABLA COSTOS REC HUMANO'!$B$7:$M$31,3,0)),0)</f>
        <v>2445690</v>
      </c>
      <c r="F29" s="565">
        <f t="shared" si="2"/>
        <v>2445690</v>
      </c>
      <c r="G29" s="566">
        <v>3</v>
      </c>
      <c r="H29" s="573">
        <f t="shared" si="3"/>
        <v>7337070</v>
      </c>
      <c r="J29" s="431">
        <f t="shared" si="0"/>
        <v>2617867</v>
      </c>
      <c r="K29" s="565">
        <f t="shared" si="4"/>
        <v>2617867</v>
      </c>
      <c r="L29" s="566">
        <v>12</v>
      </c>
      <c r="M29" s="573">
        <f t="shared" si="5"/>
        <v>31414404</v>
      </c>
      <c r="O29" s="536">
        <f t="shared" si="1"/>
        <v>7337070</v>
      </c>
      <c r="P29" s="533">
        <f t="shared" si="6"/>
        <v>31414404</v>
      </c>
      <c r="Q29" s="537">
        <f t="shared" si="7"/>
        <v>38751474</v>
      </c>
    </row>
    <row r="30" spans="1:17" s="263" customFormat="1" ht="14.25" customHeight="1">
      <c r="A30" s="263">
        <v>16</v>
      </c>
      <c r="B30" s="572" t="s">
        <v>972</v>
      </c>
      <c r="C30" s="564">
        <f>IFERROR(VLOOKUP($B30,'REQUISTO MIN TH'!$A$2:$H$27,7,0),0)</f>
        <v>2</v>
      </c>
      <c r="D30" s="564" t="s">
        <v>957</v>
      </c>
      <c r="E30" s="653">
        <f>IFERROR((VLOOKUP($B30,'1. TABLA COSTOS REC HUMANO'!$B$7:$M$31,3,0)),0)</f>
        <v>2281433</v>
      </c>
      <c r="F30" s="565">
        <f t="shared" si="2"/>
        <v>4562866</v>
      </c>
      <c r="G30" s="566">
        <v>3</v>
      </c>
      <c r="H30" s="573">
        <f t="shared" si="3"/>
        <v>13688598</v>
      </c>
      <c r="J30" s="431">
        <f t="shared" si="0"/>
        <v>2442046</v>
      </c>
      <c r="K30" s="565">
        <f t="shared" si="4"/>
        <v>4884092</v>
      </c>
      <c r="L30" s="566">
        <v>12</v>
      </c>
      <c r="M30" s="573">
        <f t="shared" si="5"/>
        <v>58609104</v>
      </c>
      <c r="O30" s="536">
        <f t="shared" si="1"/>
        <v>13688598</v>
      </c>
      <c r="P30" s="533">
        <f t="shared" si="6"/>
        <v>58609104</v>
      </c>
      <c r="Q30" s="537">
        <f t="shared" si="7"/>
        <v>72297702</v>
      </c>
    </row>
    <row r="31" spans="1:17" s="263" customFormat="1" ht="14.25" customHeight="1">
      <c r="A31" s="263">
        <v>17</v>
      </c>
      <c r="B31" s="572" t="s">
        <v>973</v>
      </c>
      <c r="C31" s="564">
        <f>IFERROR(VLOOKUP($B31,'REQUISTO MIN TH'!$A$2:$H$27,7,0),0)</f>
        <v>1</v>
      </c>
      <c r="D31" s="564" t="s">
        <v>957</v>
      </c>
      <c r="E31" s="653">
        <f>IFERROR((VLOOKUP($B31,'1. TABLA COSTOS REC HUMANO'!$B$7:$M$31,3,0)),0)</f>
        <v>2281433</v>
      </c>
      <c r="F31" s="565">
        <f t="shared" si="2"/>
        <v>2281433</v>
      </c>
      <c r="G31" s="566">
        <v>3</v>
      </c>
      <c r="H31" s="573">
        <f t="shared" si="3"/>
        <v>6844299</v>
      </c>
      <c r="J31" s="431">
        <f t="shared" si="0"/>
        <v>2442046</v>
      </c>
      <c r="K31" s="565">
        <f t="shared" si="4"/>
        <v>2442046</v>
      </c>
      <c r="L31" s="566">
        <v>12</v>
      </c>
      <c r="M31" s="573">
        <f t="shared" si="5"/>
        <v>29304552</v>
      </c>
      <c r="O31" s="536">
        <f t="shared" si="1"/>
        <v>6844299</v>
      </c>
      <c r="P31" s="533">
        <f t="shared" si="6"/>
        <v>29304552</v>
      </c>
      <c r="Q31" s="537">
        <f t="shared" si="7"/>
        <v>36148851</v>
      </c>
    </row>
    <row r="32" spans="1:17" s="263" customFormat="1" ht="14.25" customHeight="1">
      <c r="A32" s="263">
        <v>18</v>
      </c>
      <c r="B32" s="572" t="s">
        <v>974</v>
      </c>
      <c r="C32" s="564">
        <f>IFERROR(VLOOKUP($B32,'REQUISTO MIN TH'!$A$2:$H$27,7,0),0)</f>
        <v>8</v>
      </c>
      <c r="D32" s="564" t="s">
        <v>957</v>
      </c>
      <c r="E32" s="653">
        <f>IFERROR((VLOOKUP($B32,'1. TABLA COSTOS REC HUMANO'!$B$7:$M$31,3,0)),0)</f>
        <v>2281433</v>
      </c>
      <c r="F32" s="565">
        <f t="shared" si="2"/>
        <v>18251464</v>
      </c>
      <c r="G32" s="566">
        <v>3</v>
      </c>
      <c r="H32" s="573">
        <f t="shared" si="3"/>
        <v>54754392</v>
      </c>
      <c r="J32" s="431">
        <f t="shared" si="0"/>
        <v>2442046</v>
      </c>
      <c r="K32" s="565">
        <f t="shared" si="4"/>
        <v>19536368</v>
      </c>
      <c r="L32" s="566">
        <v>12</v>
      </c>
      <c r="M32" s="573">
        <f t="shared" si="5"/>
        <v>234436416</v>
      </c>
      <c r="O32" s="536">
        <f t="shared" si="1"/>
        <v>54754392</v>
      </c>
      <c r="P32" s="533">
        <f t="shared" si="6"/>
        <v>234436416</v>
      </c>
      <c r="Q32" s="537">
        <f t="shared" si="7"/>
        <v>289190808</v>
      </c>
    </row>
    <row r="33" spans="1:17" s="263" customFormat="1">
      <c r="A33" s="263">
        <v>19</v>
      </c>
      <c r="B33" s="572" t="s">
        <v>975</v>
      </c>
      <c r="C33" s="564">
        <f>IFERROR(VLOOKUP($B33,'REQUISTO MIN TH'!$A$2:$H$27,7,0),0)</f>
        <v>6</v>
      </c>
      <c r="D33" s="564" t="s">
        <v>957</v>
      </c>
      <c r="E33" s="653">
        <f>IFERROR((VLOOKUP($B33,'1. TABLA COSTOS REC HUMANO'!$B$7:$M$31,3,0)),0)</f>
        <v>2281433</v>
      </c>
      <c r="F33" s="565">
        <f t="shared" si="2"/>
        <v>13688598</v>
      </c>
      <c r="G33" s="566">
        <v>3</v>
      </c>
      <c r="H33" s="573">
        <f t="shared" si="3"/>
        <v>41065794</v>
      </c>
      <c r="J33" s="431">
        <f t="shared" si="0"/>
        <v>2442046</v>
      </c>
      <c r="K33" s="565">
        <f t="shared" si="4"/>
        <v>14652276</v>
      </c>
      <c r="L33" s="566">
        <v>12</v>
      </c>
      <c r="M33" s="573">
        <f t="shared" si="5"/>
        <v>175827312</v>
      </c>
      <c r="O33" s="536">
        <f t="shared" si="1"/>
        <v>41065794</v>
      </c>
      <c r="P33" s="533">
        <f t="shared" si="6"/>
        <v>175827312</v>
      </c>
      <c r="Q33" s="537">
        <f t="shared" si="7"/>
        <v>216893106</v>
      </c>
    </row>
    <row r="34" spans="1:17" s="363" customFormat="1">
      <c r="B34" s="574" t="s">
        <v>976</v>
      </c>
      <c r="C34" s="567">
        <v>1</v>
      </c>
      <c r="D34" s="567" t="s">
        <v>957</v>
      </c>
      <c r="E34" s="652">
        <f>'2. DOTACION PARA TALENTO HUMANO'!O19</f>
        <v>4126120</v>
      </c>
      <c r="F34" s="565">
        <f t="shared" si="2"/>
        <v>4126120</v>
      </c>
      <c r="G34" s="566">
        <v>3</v>
      </c>
      <c r="H34" s="573">
        <f t="shared" si="3"/>
        <v>12378360</v>
      </c>
      <c r="I34" s="129"/>
      <c r="J34" s="431">
        <f>ROUND(E34*(1+$Q$2),0)</f>
        <v>4249904</v>
      </c>
      <c r="K34" s="565">
        <f t="shared" si="4"/>
        <v>4249904</v>
      </c>
      <c r="L34" s="566">
        <v>12</v>
      </c>
      <c r="M34" s="573">
        <f t="shared" si="5"/>
        <v>50998848</v>
      </c>
      <c r="O34" s="536">
        <f t="shared" si="1"/>
        <v>12378360</v>
      </c>
      <c r="P34" s="533">
        <f t="shared" si="6"/>
        <v>50998848</v>
      </c>
      <c r="Q34" s="537">
        <f t="shared" si="7"/>
        <v>63377208</v>
      </c>
    </row>
    <row r="35" spans="1:17" s="429" customFormat="1" ht="38.25">
      <c r="B35" s="574" t="s">
        <v>977</v>
      </c>
      <c r="C35" s="567">
        <v>2</v>
      </c>
      <c r="D35" s="567" t="s">
        <v>978</v>
      </c>
      <c r="E35" s="654">
        <f>'3. VIGILANCIA'!O7</f>
        <v>864353</v>
      </c>
      <c r="F35" s="565">
        <f>E35</f>
        <v>864353</v>
      </c>
      <c r="G35" s="567">
        <v>0</v>
      </c>
      <c r="H35" s="573">
        <f t="shared" ref="H35:H36" si="8">ROUND(E35*G35,0)</f>
        <v>0</v>
      </c>
      <c r="I35" s="263"/>
      <c r="J35" s="431">
        <f>ROUND(($E35*$Q$2)+$E35,0)</f>
        <v>890284</v>
      </c>
      <c r="K35" s="565">
        <f>J35</f>
        <v>890284</v>
      </c>
      <c r="L35" s="424">
        <v>194</v>
      </c>
      <c r="M35" s="573">
        <f t="shared" ref="M35:M36" si="9">ROUND(J35*L35,0)</f>
        <v>172715096</v>
      </c>
      <c r="O35" s="536">
        <f t="shared" si="1"/>
        <v>0</v>
      </c>
      <c r="P35" s="533">
        <f t="shared" si="6"/>
        <v>172715096</v>
      </c>
      <c r="Q35" s="537">
        <f t="shared" si="7"/>
        <v>172715096</v>
      </c>
    </row>
    <row r="36" spans="1:17" s="429" customFormat="1" ht="38.25">
      <c r="B36" s="574" t="s">
        <v>979</v>
      </c>
      <c r="C36" s="567">
        <v>2</v>
      </c>
      <c r="D36" s="567" t="s">
        <v>978</v>
      </c>
      <c r="E36" s="654">
        <f>'3. VIGILANCIA'!O8</f>
        <v>871983</v>
      </c>
      <c r="F36" s="565">
        <f>E36</f>
        <v>871983</v>
      </c>
      <c r="G36" s="567">
        <v>90</v>
      </c>
      <c r="H36" s="573">
        <f t="shared" si="8"/>
        <v>78478470</v>
      </c>
      <c r="I36" s="263"/>
      <c r="J36" s="431">
        <f>ROUND(($E36*$Q$2)+$E36,0)</f>
        <v>898142</v>
      </c>
      <c r="K36" s="565">
        <f>J36</f>
        <v>898142</v>
      </c>
      <c r="L36" s="424">
        <v>166</v>
      </c>
      <c r="M36" s="573">
        <f t="shared" si="9"/>
        <v>149091572</v>
      </c>
      <c r="O36" s="536">
        <f t="shared" si="1"/>
        <v>78478470</v>
      </c>
      <c r="P36" s="533">
        <f t="shared" si="6"/>
        <v>149091572</v>
      </c>
      <c r="Q36" s="537">
        <f t="shared" si="7"/>
        <v>227570042</v>
      </c>
    </row>
    <row r="37" spans="1:17" s="363" customFormat="1">
      <c r="B37" s="574" t="s">
        <v>980</v>
      </c>
      <c r="C37" s="567">
        <v>1</v>
      </c>
      <c r="D37" s="567" t="s">
        <v>957</v>
      </c>
      <c r="E37" s="652">
        <f>'3. VIGILANCIA'!P13</f>
        <v>1820680</v>
      </c>
      <c r="F37" s="565">
        <f t="shared" ref="F37:F49" si="10">ROUND(E37*C37,0)</f>
        <v>1820680</v>
      </c>
      <c r="G37" s="567">
        <v>3</v>
      </c>
      <c r="H37" s="573">
        <f t="shared" ref="H37:H49" si="11">ROUND(F37*G37,0)</f>
        <v>5462040</v>
      </c>
      <c r="I37" s="129"/>
      <c r="J37" s="431">
        <f>ROUND(E37*(1+$Q$2),0)</f>
        <v>1875300</v>
      </c>
      <c r="K37" s="565">
        <f t="shared" ref="K37:K41" si="12">ROUND(J37*$C37,0)</f>
        <v>1875300</v>
      </c>
      <c r="L37" s="566">
        <v>12</v>
      </c>
      <c r="M37" s="573">
        <f t="shared" ref="M37:M49" si="13">ROUND(K37*L37,0)</f>
        <v>22503600</v>
      </c>
      <c r="O37" s="536">
        <f t="shared" si="1"/>
        <v>5462040</v>
      </c>
      <c r="P37" s="533">
        <f t="shared" si="6"/>
        <v>22503600</v>
      </c>
      <c r="Q37" s="537">
        <f t="shared" si="7"/>
        <v>27965640</v>
      </c>
    </row>
    <row r="38" spans="1:17" s="363" customFormat="1">
      <c r="B38" s="574" t="s">
        <v>981</v>
      </c>
      <c r="C38" s="567">
        <v>1</v>
      </c>
      <c r="D38" s="567" t="s">
        <v>957</v>
      </c>
      <c r="E38" s="652">
        <f>'4. TRANSPORTE'!L10</f>
        <v>32759584</v>
      </c>
      <c r="F38" s="565">
        <f t="shared" si="10"/>
        <v>32759584</v>
      </c>
      <c r="G38" s="567">
        <v>3</v>
      </c>
      <c r="H38" s="573">
        <f t="shared" si="11"/>
        <v>98278752</v>
      </c>
      <c r="I38" s="129"/>
      <c r="J38" s="431">
        <f>ROUND(E38*(1+$Q$2),0)</f>
        <v>33742372</v>
      </c>
      <c r="K38" s="565">
        <f t="shared" si="12"/>
        <v>33742372</v>
      </c>
      <c r="L38" s="566">
        <v>12</v>
      </c>
      <c r="M38" s="573">
        <f t="shared" si="13"/>
        <v>404908464</v>
      </c>
      <c r="O38" s="536">
        <f t="shared" si="1"/>
        <v>98278752</v>
      </c>
      <c r="P38" s="533">
        <f t="shared" si="6"/>
        <v>404908464</v>
      </c>
      <c r="Q38" s="537">
        <f t="shared" si="7"/>
        <v>503187216</v>
      </c>
    </row>
    <row r="39" spans="1:17" s="363" customFormat="1">
      <c r="B39" s="574" t="s">
        <v>132</v>
      </c>
      <c r="C39" s="567">
        <v>1</v>
      </c>
      <c r="D39" s="567" t="s">
        <v>957</v>
      </c>
      <c r="E39" s="652">
        <f>'5. BIENES NO CONSUMIBLES'!N113</f>
        <v>19253061</v>
      </c>
      <c r="F39" s="565">
        <f t="shared" si="10"/>
        <v>19253061</v>
      </c>
      <c r="G39" s="567">
        <v>3</v>
      </c>
      <c r="H39" s="573">
        <f t="shared" si="11"/>
        <v>57759183</v>
      </c>
      <c r="I39" s="129"/>
      <c r="J39" s="431">
        <f>ROUND(E39*(1+$Q$2),0)</f>
        <v>19830653</v>
      </c>
      <c r="K39" s="565">
        <f t="shared" si="12"/>
        <v>19830653</v>
      </c>
      <c r="L39" s="566">
        <v>12</v>
      </c>
      <c r="M39" s="573">
        <f t="shared" si="13"/>
        <v>237967836</v>
      </c>
      <c r="O39" s="536">
        <f t="shared" si="1"/>
        <v>57759183</v>
      </c>
      <c r="P39" s="533">
        <f t="shared" si="6"/>
        <v>237967836</v>
      </c>
      <c r="Q39" s="537">
        <f t="shared" si="7"/>
        <v>295727019</v>
      </c>
    </row>
    <row r="40" spans="1:17" s="363" customFormat="1">
      <c r="B40" s="574" t="s">
        <v>422</v>
      </c>
      <c r="C40" s="567">
        <v>1</v>
      </c>
      <c r="D40" s="567" t="s">
        <v>957</v>
      </c>
      <c r="E40" s="652">
        <f>'14. LAVANDERIA'!N12</f>
        <v>714526</v>
      </c>
      <c r="F40" s="565">
        <f t="shared" si="10"/>
        <v>714526</v>
      </c>
      <c r="G40" s="567">
        <v>3</v>
      </c>
      <c r="H40" s="573">
        <f t="shared" si="11"/>
        <v>2143578</v>
      </c>
      <c r="I40" s="129"/>
      <c r="J40" s="431">
        <f>ROUND(E40*(1+$Q$2),0)</f>
        <v>735962</v>
      </c>
      <c r="K40" s="565">
        <f t="shared" si="12"/>
        <v>735962</v>
      </c>
      <c r="L40" s="566">
        <v>12</v>
      </c>
      <c r="M40" s="573">
        <f t="shared" si="13"/>
        <v>8831544</v>
      </c>
      <c r="O40" s="536">
        <f t="shared" si="1"/>
        <v>2143578</v>
      </c>
      <c r="P40" s="533">
        <f t="shared" si="6"/>
        <v>8831544</v>
      </c>
      <c r="Q40" s="537">
        <f t="shared" si="7"/>
        <v>10975122</v>
      </c>
    </row>
    <row r="41" spans="1:17" s="363" customFormat="1">
      <c r="B41" s="574" t="s">
        <v>434</v>
      </c>
      <c r="C41" s="567">
        <v>1</v>
      </c>
      <c r="D41" s="567" t="s">
        <v>957</v>
      </c>
      <c r="E41" s="652">
        <f>'13. ASEO INSTITUCIONAL'!N35</f>
        <v>2831700</v>
      </c>
      <c r="F41" s="565">
        <f t="shared" si="10"/>
        <v>2831700</v>
      </c>
      <c r="G41" s="567">
        <v>3</v>
      </c>
      <c r="H41" s="573">
        <f t="shared" si="11"/>
        <v>8495100</v>
      </c>
      <c r="I41" s="129"/>
      <c r="J41" s="431">
        <f>ROUND(E41*(1+$Q$2),0)</f>
        <v>2916651</v>
      </c>
      <c r="K41" s="565">
        <f t="shared" si="12"/>
        <v>2916651</v>
      </c>
      <c r="L41" s="566">
        <v>12</v>
      </c>
      <c r="M41" s="573">
        <f t="shared" si="13"/>
        <v>34999812</v>
      </c>
      <c r="O41" s="536">
        <f t="shared" si="1"/>
        <v>8495100</v>
      </c>
      <c r="P41" s="533">
        <f t="shared" si="6"/>
        <v>34999812</v>
      </c>
      <c r="Q41" s="537">
        <f t="shared" si="7"/>
        <v>43494912</v>
      </c>
    </row>
    <row r="42" spans="1:17" s="364" customFormat="1" ht="25.5">
      <c r="B42" s="575" t="s">
        <v>982</v>
      </c>
      <c r="C42" s="569">
        <v>1</v>
      </c>
      <c r="D42" s="191" t="s">
        <v>983</v>
      </c>
      <c r="E42" s="570">
        <f>SUM(E43:E45)</f>
        <v>34602594</v>
      </c>
      <c r="F42" s="570">
        <f>SUM(F43:F45)</f>
        <v>34602594</v>
      </c>
      <c r="G42" s="567"/>
      <c r="H42" s="576">
        <f>SUM(H43:H45)</f>
        <v>103807782</v>
      </c>
      <c r="I42" s="545"/>
      <c r="J42" s="546">
        <f>SUM(J43:J45)</f>
        <v>35640672</v>
      </c>
      <c r="K42" s="544">
        <f t="shared" ref="K42:M42" si="14">SUM(K43:K45)</f>
        <v>35640672</v>
      </c>
      <c r="L42" s="424"/>
      <c r="M42" s="547">
        <f t="shared" si="14"/>
        <v>427688064</v>
      </c>
      <c r="O42" s="541">
        <f t="shared" si="1"/>
        <v>103807782</v>
      </c>
      <c r="P42" s="547">
        <f t="shared" ref="P42" si="15">SUM(P43:P45)</f>
        <v>427688064</v>
      </c>
      <c r="Q42" s="543">
        <f t="shared" si="7"/>
        <v>531495846</v>
      </c>
    </row>
    <row r="43" spans="1:17">
      <c r="B43" s="577" t="s">
        <v>493</v>
      </c>
      <c r="C43" s="430">
        <v>1</v>
      </c>
      <c r="D43" s="564" t="s">
        <v>957</v>
      </c>
      <c r="E43" s="652">
        <f>'7. TALLERES Y PAPELERIA'!N43</f>
        <v>5911115</v>
      </c>
      <c r="F43" s="565">
        <f t="shared" si="10"/>
        <v>5911115</v>
      </c>
      <c r="G43" s="567">
        <v>3</v>
      </c>
      <c r="H43" s="573">
        <f t="shared" si="11"/>
        <v>17733345</v>
      </c>
      <c r="J43" s="431">
        <f t="shared" ref="J43:J49" si="16">ROUND(E43*(1+$Q$2),0)</f>
        <v>6088448</v>
      </c>
      <c r="K43" s="565">
        <f t="shared" ref="K43:K49" si="17">ROUND(J43*$C43,0)</f>
        <v>6088448</v>
      </c>
      <c r="L43" s="566">
        <v>12</v>
      </c>
      <c r="M43" s="573">
        <f t="shared" si="13"/>
        <v>73061376</v>
      </c>
      <c r="O43" s="536">
        <f t="shared" si="1"/>
        <v>17733345</v>
      </c>
      <c r="P43" s="533">
        <f t="shared" si="6"/>
        <v>73061376</v>
      </c>
      <c r="Q43" s="537">
        <f t="shared" si="7"/>
        <v>90794721</v>
      </c>
    </row>
    <row r="44" spans="1:17">
      <c r="B44" s="577" t="s">
        <v>623</v>
      </c>
      <c r="C44" s="430">
        <v>1</v>
      </c>
      <c r="D44" s="564" t="s">
        <v>957</v>
      </c>
      <c r="E44" s="652">
        <f>'8. RECREO DEPORTIVAS'!N32</f>
        <v>953923</v>
      </c>
      <c r="F44" s="565">
        <f t="shared" si="10"/>
        <v>953923</v>
      </c>
      <c r="G44" s="567">
        <v>3</v>
      </c>
      <c r="H44" s="573">
        <f t="shared" si="11"/>
        <v>2861769</v>
      </c>
      <c r="J44" s="431">
        <f t="shared" si="16"/>
        <v>982541</v>
      </c>
      <c r="K44" s="565">
        <f t="shared" si="17"/>
        <v>982541</v>
      </c>
      <c r="L44" s="566">
        <v>12</v>
      </c>
      <c r="M44" s="573">
        <f t="shared" si="13"/>
        <v>11790492</v>
      </c>
      <c r="O44" s="536">
        <f t="shared" si="1"/>
        <v>2861769</v>
      </c>
      <c r="P44" s="533">
        <f t="shared" si="6"/>
        <v>11790492</v>
      </c>
      <c r="Q44" s="537">
        <f t="shared" si="7"/>
        <v>14652261</v>
      </c>
    </row>
    <row r="45" spans="1:17">
      <c r="B45" s="577" t="s">
        <v>984</v>
      </c>
      <c r="C45" s="430">
        <v>1</v>
      </c>
      <c r="D45" s="564" t="s">
        <v>957</v>
      </c>
      <c r="E45" s="652">
        <f>'9. TALLER AGRICOLA'!O64</f>
        <v>27737556</v>
      </c>
      <c r="F45" s="565">
        <f t="shared" si="10"/>
        <v>27737556</v>
      </c>
      <c r="G45" s="567">
        <v>3</v>
      </c>
      <c r="H45" s="573">
        <f t="shared" si="11"/>
        <v>83212668</v>
      </c>
      <c r="J45" s="431">
        <f t="shared" si="16"/>
        <v>28569683</v>
      </c>
      <c r="K45" s="565">
        <f t="shared" si="17"/>
        <v>28569683</v>
      </c>
      <c r="L45" s="566">
        <v>12</v>
      </c>
      <c r="M45" s="573">
        <f t="shared" si="13"/>
        <v>342836196</v>
      </c>
      <c r="O45" s="536">
        <f t="shared" si="1"/>
        <v>83212668</v>
      </c>
      <c r="P45" s="533">
        <f t="shared" si="6"/>
        <v>342836196</v>
      </c>
      <c r="Q45" s="537">
        <f t="shared" si="7"/>
        <v>426048864</v>
      </c>
    </row>
    <row r="46" spans="1:17" s="363" customFormat="1">
      <c r="B46" s="574" t="s">
        <v>985</v>
      </c>
      <c r="C46" s="567">
        <v>1</v>
      </c>
      <c r="D46" s="567" t="s">
        <v>957</v>
      </c>
      <c r="E46" s="652">
        <f>'12. Comp Gestion Documental'!N20</f>
        <v>1132607</v>
      </c>
      <c r="F46" s="565">
        <f t="shared" si="10"/>
        <v>1132607</v>
      </c>
      <c r="G46" s="567">
        <v>3</v>
      </c>
      <c r="H46" s="573">
        <f t="shared" si="11"/>
        <v>3397821</v>
      </c>
      <c r="I46" s="129"/>
      <c r="J46" s="431">
        <f t="shared" si="16"/>
        <v>1166585</v>
      </c>
      <c r="K46" s="565">
        <f t="shared" si="17"/>
        <v>1166585</v>
      </c>
      <c r="L46" s="566">
        <v>12</v>
      </c>
      <c r="M46" s="573">
        <f t="shared" si="13"/>
        <v>13999020</v>
      </c>
      <c r="O46" s="536">
        <f t="shared" si="1"/>
        <v>3397821</v>
      </c>
      <c r="P46" s="533">
        <f t="shared" si="6"/>
        <v>13999020</v>
      </c>
      <c r="Q46" s="537">
        <f t="shared" si="7"/>
        <v>17396841</v>
      </c>
    </row>
    <row r="47" spans="1:17" s="363" customFormat="1">
      <c r="B47" s="574" t="s">
        <v>986</v>
      </c>
      <c r="C47" s="567">
        <v>1</v>
      </c>
      <c r="D47" s="567" t="s">
        <v>957</v>
      </c>
      <c r="E47" s="652">
        <f>'16, Piezas comunic. y de difus'!M7</f>
        <v>21560</v>
      </c>
      <c r="F47" s="565">
        <f t="shared" si="10"/>
        <v>21560</v>
      </c>
      <c r="G47" s="567">
        <v>3</v>
      </c>
      <c r="H47" s="573">
        <f t="shared" si="11"/>
        <v>64680</v>
      </c>
      <c r="I47" s="129"/>
      <c r="J47" s="431">
        <f t="shared" si="16"/>
        <v>22207</v>
      </c>
      <c r="K47" s="565">
        <f t="shared" si="17"/>
        <v>22207</v>
      </c>
      <c r="L47" s="566">
        <v>12</v>
      </c>
      <c r="M47" s="573">
        <f t="shared" si="13"/>
        <v>266484</v>
      </c>
      <c r="O47" s="536">
        <f t="shared" si="1"/>
        <v>64680</v>
      </c>
      <c r="P47" s="533">
        <f t="shared" si="6"/>
        <v>266484</v>
      </c>
      <c r="Q47" s="537">
        <f t="shared" si="7"/>
        <v>331164</v>
      </c>
    </row>
    <row r="48" spans="1:17" s="363" customFormat="1">
      <c r="B48" s="578" t="s">
        <v>987</v>
      </c>
      <c r="C48" s="225">
        <v>1</v>
      </c>
      <c r="D48" s="567" t="s">
        <v>957</v>
      </c>
      <c r="E48" s="652">
        <f>'15. Rec, mant y serv Publicos'!E7</f>
        <v>64260000</v>
      </c>
      <c r="F48" s="565">
        <f t="shared" si="10"/>
        <v>64260000</v>
      </c>
      <c r="G48" s="567">
        <v>3</v>
      </c>
      <c r="H48" s="573">
        <f t="shared" si="11"/>
        <v>192780000</v>
      </c>
      <c r="I48" s="129"/>
      <c r="J48" s="431">
        <f t="shared" si="16"/>
        <v>66187800</v>
      </c>
      <c r="K48" s="565">
        <f t="shared" si="17"/>
        <v>66187800</v>
      </c>
      <c r="L48" s="566">
        <v>12</v>
      </c>
      <c r="M48" s="573">
        <f t="shared" si="13"/>
        <v>794253600</v>
      </c>
      <c r="O48" s="536">
        <f t="shared" si="1"/>
        <v>192780000</v>
      </c>
      <c r="P48" s="533">
        <f t="shared" si="6"/>
        <v>794253600</v>
      </c>
      <c r="Q48" s="537">
        <f t="shared" si="7"/>
        <v>987033600</v>
      </c>
    </row>
    <row r="49" spans="2:19" s="363" customFormat="1">
      <c r="B49" s="578" t="s">
        <v>988</v>
      </c>
      <c r="C49" s="225">
        <v>1</v>
      </c>
      <c r="D49" s="567" t="s">
        <v>957</v>
      </c>
      <c r="E49" s="652">
        <f>'15. Rec, mant y serv Publicos'!E9</f>
        <v>13637684</v>
      </c>
      <c r="F49" s="565">
        <f t="shared" si="10"/>
        <v>13637684</v>
      </c>
      <c r="G49" s="567">
        <v>3</v>
      </c>
      <c r="H49" s="573">
        <f t="shared" si="11"/>
        <v>40913052</v>
      </c>
      <c r="I49" s="129"/>
      <c r="J49" s="431">
        <f t="shared" si="16"/>
        <v>14046815</v>
      </c>
      <c r="K49" s="565">
        <f t="shared" si="17"/>
        <v>14046815</v>
      </c>
      <c r="L49" s="566">
        <v>12</v>
      </c>
      <c r="M49" s="573">
        <f t="shared" si="13"/>
        <v>168561780</v>
      </c>
      <c r="O49" s="536">
        <f t="shared" si="1"/>
        <v>40913052</v>
      </c>
      <c r="P49" s="533">
        <f t="shared" si="6"/>
        <v>168561780</v>
      </c>
      <c r="Q49" s="537">
        <f t="shared" si="7"/>
        <v>209474832</v>
      </c>
    </row>
    <row r="50" spans="2:19" ht="13.5" thickBot="1">
      <c r="B50" s="579" t="s">
        <v>989</v>
      </c>
      <c r="C50" s="580"/>
      <c r="D50" s="581"/>
      <c r="E50" s="540">
        <f>E14+E34+E35+E36+E37+E38+E39+E40+E41+E42+E46+E47+E48+E49</f>
        <v>239027159</v>
      </c>
      <c r="F50" s="539"/>
      <c r="G50" s="539"/>
      <c r="H50" s="540">
        <f>H14+H34+H35+H36+H37+H38+H39+H40+H41+H42+H46+H47+H48+H49</f>
        <v>1266464886</v>
      </c>
      <c r="I50" s="363"/>
      <c r="J50" s="540">
        <f>J14+J34+J35+J36+J37+J38+J39+J40+J41+J42+J46+J47+J48+J49</f>
        <v>248708060</v>
      </c>
      <c r="K50" s="427"/>
      <c r="L50" s="427"/>
      <c r="M50" s="426">
        <f>M14+M34+M35+M36+M37+M38+M39+M40+M41+M42+M46+M47+M48+M49</f>
        <v>5323371940</v>
      </c>
      <c r="O50" s="538">
        <f>O14+O34+O35+O36+O37+O38+O39+O40+O41+O42+O46+O47+O48+O49</f>
        <v>1266464886</v>
      </c>
      <c r="P50" s="539">
        <f>P14+P34+P35+P36+P37+P38+P39+P40+P41+P42+P46+P47+P48+P49</f>
        <v>5323371940</v>
      </c>
      <c r="Q50" s="540">
        <f>Q14+Q34+Q35+Q36+Q37+Q38+Q39+Q40+Q41+Q42+Q46+Q47+Q48+Q49</f>
        <v>6589836826</v>
      </c>
    </row>
    <row r="51" spans="2:19">
      <c r="B51" s="672" t="s">
        <v>990</v>
      </c>
      <c r="C51" s="673"/>
      <c r="D51" s="673"/>
      <c r="E51" s="673"/>
      <c r="F51" s="673"/>
      <c r="G51" s="673"/>
      <c r="H51" s="674"/>
      <c r="J51" s="680" t="s">
        <v>990</v>
      </c>
      <c r="K51" s="681"/>
      <c r="L51" s="681"/>
      <c r="M51" s="682"/>
      <c r="O51" s="666" t="s">
        <v>990</v>
      </c>
      <c r="P51" s="667"/>
      <c r="Q51" s="668"/>
    </row>
    <row r="52" spans="2:19" s="363" customFormat="1">
      <c r="B52" s="553" t="s">
        <v>991</v>
      </c>
      <c r="C52" s="428">
        <v>1</v>
      </c>
      <c r="D52" s="634" t="s">
        <v>992</v>
      </c>
      <c r="E52" s="651">
        <f>'15. Rec, mant y serv Publicos'!F22</f>
        <v>554904</v>
      </c>
      <c r="F52" s="565">
        <f>E52</f>
        <v>554904</v>
      </c>
      <c r="G52" s="567">
        <v>92</v>
      </c>
      <c r="H52" s="573">
        <f>ROUND(E52*G52,0)</f>
        <v>51051168</v>
      </c>
      <c r="I52" s="618"/>
      <c r="J52" s="431">
        <f>ROUND(E52*(1+$Q$2),0)</f>
        <v>571551</v>
      </c>
      <c r="K52" s="565">
        <f>J52</f>
        <v>571551</v>
      </c>
      <c r="L52" s="567">
        <v>365</v>
      </c>
      <c r="M52" s="573">
        <f>ROUND(J52*L52,0)</f>
        <v>208616115</v>
      </c>
      <c r="N52" s="619"/>
      <c r="O52" s="637">
        <f>H52</f>
        <v>51051168</v>
      </c>
      <c r="P52" s="636">
        <f t="shared" ref="P52:P55" si="18">M52</f>
        <v>208616115</v>
      </c>
      <c r="Q52" s="635">
        <f t="shared" ref="Q52:Q55" si="19">O52+P52</f>
        <v>259667283</v>
      </c>
    </row>
    <row r="53" spans="2:19">
      <c r="B53" s="554" t="s">
        <v>993</v>
      </c>
      <c r="C53" s="428">
        <v>1</v>
      </c>
      <c r="D53" s="634" t="s">
        <v>992</v>
      </c>
      <c r="E53" s="651">
        <f>'11. ASEO PARTICIPANTES'!O30</f>
        <v>1116478</v>
      </c>
      <c r="F53" s="565">
        <f t="shared" ref="F53:F55" si="20">E53</f>
        <v>1116478</v>
      </c>
      <c r="G53" s="567">
        <v>92</v>
      </c>
      <c r="H53" s="573">
        <f t="shared" ref="H53:H55" si="21">ROUND(E53*G53,0)</f>
        <v>102715976</v>
      </c>
      <c r="I53" s="618"/>
      <c r="J53" s="431">
        <f>ROUND(E53*(1+$Q$2),0)</f>
        <v>1149972</v>
      </c>
      <c r="K53" s="565">
        <f t="shared" ref="K53:K55" si="22">J53</f>
        <v>1149972</v>
      </c>
      <c r="L53" s="567">
        <v>365</v>
      </c>
      <c r="M53" s="573">
        <f t="shared" ref="M53:M55" si="23">ROUND(J53*L53,0)</f>
        <v>419739780</v>
      </c>
      <c r="N53" s="618"/>
      <c r="O53" s="637">
        <f>H53</f>
        <v>102715976</v>
      </c>
      <c r="P53" s="636">
        <f>M53</f>
        <v>419739780</v>
      </c>
      <c r="Q53" s="635">
        <f t="shared" si="19"/>
        <v>522455756</v>
      </c>
    </row>
    <row r="54" spans="2:19">
      <c r="B54" s="554" t="s">
        <v>994</v>
      </c>
      <c r="C54" s="428">
        <v>1</v>
      </c>
      <c r="D54" s="634" t="s">
        <v>992</v>
      </c>
      <c r="E54" s="651">
        <f>'10. VESTUARIO PARTICIPANTES'!O26</f>
        <v>1507202</v>
      </c>
      <c r="F54" s="565">
        <f t="shared" si="20"/>
        <v>1507202</v>
      </c>
      <c r="G54" s="567">
        <v>92</v>
      </c>
      <c r="H54" s="573">
        <f t="shared" si="21"/>
        <v>138662584</v>
      </c>
      <c r="I54" s="618"/>
      <c r="J54" s="431">
        <f>ROUND(E54*(1+$Q$2),0)</f>
        <v>1552418</v>
      </c>
      <c r="K54" s="565">
        <f t="shared" si="22"/>
        <v>1552418</v>
      </c>
      <c r="L54" s="567">
        <v>365</v>
      </c>
      <c r="M54" s="573">
        <f t="shared" si="23"/>
        <v>566632570</v>
      </c>
      <c r="N54" s="618"/>
      <c r="O54" s="637">
        <f>H54</f>
        <v>138662584</v>
      </c>
      <c r="P54" s="636">
        <f t="shared" si="18"/>
        <v>566632570</v>
      </c>
      <c r="Q54" s="635">
        <f t="shared" si="19"/>
        <v>705295154</v>
      </c>
    </row>
    <row r="55" spans="2:19">
      <c r="B55" s="554" t="s">
        <v>915</v>
      </c>
      <c r="C55" s="428">
        <v>1</v>
      </c>
      <c r="D55" s="634" t="s">
        <v>992</v>
      </c>
      <c r="E55" s="651">
        <f>'17. ALIMENTACION PARTICIPANTES'!I128</f>
        <v>4585681</v>
      </c>
      <c r="F55" s="565">
        <f t="shared" si="20"/>
        <v>4585681</v>
      </c>
      <c r="G55" s="567">
        <v>92</v>
      </c>
      <c r="H55" s="573">
        <f t="shared" si="21"/>
        <v>421882652</v>
      </c>
      <c r="I55" s="618"/>
      <c r="J55" s="431">
        <f>ROUND(E55*(1+$Q$2),0)</f>
        <v>4723251</v>
      </c>
      <c r="K55" s="565">
        <f t="shared" si="22"/>
        <v>4723251</v>
      </c>
      <c r="L55" s="567">
        <v>365</v>
      </c>
      <c r="M55" s="573">
        <f t="shared" si="23"/>
        <v>1723986615</v>
      </c>
      <c r="N55" s="618"/>
      <c r="O55" s="637">
        <f>H55</f>
        <v>421882652</v>
      </c>
      <c r="P55" s="636">
        <f t="shared" si="18"/>
        <v>1723986615</v>
      </c>
      <c r="Q55" s="635">
        <f t="shared" si="19"/>
        <v>2145869267</v>
      </c>
    </row>
    <row r="56" spans="2:19" ht="13.5" thickBot="1">
      <c r="B56" s="678" t="s">
        <v>995</v>
      </c>
      <c r="C56" s="679"/>
      <c r="D56" s="555"/>
      <c r="E56" s="426">
        <f>SUM(E52:E55)</f>
        <v>7764265</v>
      </c>
      <c r="F56" s="427"/>
      <c r="G56" s="427"/>
      <c r="H56" s="426">
        <f>SUM(H52:H55)</f>
        <v>714312380</v>
      </c>
      <c r="I56" s="363"/>
      <c r="J56" s="426">
        <f>SUM(J52:J55)</f>
        <v>7997192</v>
      </c>
      <c r="K56" s="427"/>
      <c r="L56" s="427"/>
      <c r="M56" s="426">
        <f>SUM(M52:M55)</f>
        <v>2918975080</v>
      </c>
      <c r="O56" s="538">
        <f>SUM(O52:O55)</f>
        <v>714312380</v>
      </c>
      <c r="P56" s="539">
        <f t="shared" ref="P56:Q56" si="24">SUM(P52:P55)</f>
        <v>2918975080</v>
      </c>
      <c r="Q56" s="540">
        <f t="shared" si="24"/>
        <v>3633287460</v>
      </c>
    </row>
    <row r="57" spans="2:19" ht="13.5" thickBot="1">
      <c r="B57" s="552"/>
      <c r="C57" s="552"/>
      <c r="D57" s="552"/>
      <c r="E57" s="586"/>
      <c r="F57" s="586"/>
      <c r="G57" s="586"/>
      <c r="H57" s="586"/>
      <c r="J57" s="586"/>
      <c r="K57" s="589"/>
      <c r="L57" s="589"/>
      <c r="M57" s="590"/>
    </row>
    <row r="58" spans="2:19" ht="13.5" thickBot="1">
      <c r="B58" s="669" t="s">
        <v>996</v>
      </c>
      <c r="C58" s="670"/>
      <c r="D58" s="671"/>
      <c r="E58" s="588">
        <f>E50+E56</f>
        <v>246791424</v>
      </c>
      <c r="F58" s="587"/>
      <c r="G58" s="587"/>
      <c r="H58" s="588">
        <f>H50+H56</f>
        <v>1980777266</v>
      </c>
      <c r="J58" s="588">
        <f>J50+J56</f>
        <v>256705252</v>
      </c>
      <c r="K58" s="587"/>
      <c r="L58" s="587"/>
      <c r="M58" s="588">
        <f t="shared" ref="M58" si="25">M50+M56</f>
        <v>8242347020</v>
      </c>
      <c r="O58" s="583">
        <f t="shared" ref="O58:Q58" si="26">O50+O56</f>
        <v>1980777266</v>
      </c>
      <c r="P58" s="584">
        <f t="shared" si="26"/>
        <v>8242347020</v>
      </c>
      <c r="Q58" s="585">
        <f t="shared" si="26"/>
        <v>10223124286</v>
      </c>
    </row>
    <row r="63" spans="2:19">
      <c r="S63" s="631"/>
    </row>
    <row r="64" spans="2:19" ht="15.75">
      <c r="B64" s="664" t="s">
        <v>997</v>
      </c>
      <c r="C64" s="664"/>
      <c r="D64" s="664"/>
      <c r="E64" s="664"/>
      <c r="F64" s="664"/>
      <c r="G64" s="664"/>
      <c r="H64" s="664"/>
      <c r="I64" s="664"/>
      <c r="J64" s="664"/>
      <c r="K64" s="664"/>
      <c r="L64" s="664"/>
      <c r="M64" s="664"/>
    </row>
    <row r="65" spans="2:17" ht="51" customHeight="1">
      <c r="B65" s="665" t="s">
        <v>998</v>
      </c>
      <c r="C65" s="665"/>
      <c r="D65" s="665"/>
      <c r="E65" s="665"/>
      <c r="F65" s="665"/>
      <c r="G65" s="665"/>
      <c r="H65" s="665"/>
      <c r="I65" s="665"/>
      <c r="J65" s="665"/>
      <c r="K65" s="665"/>
      <c r="L65" s="665"/>
      <c r="M65" s="665"/>
      <c r="Q65" s="367"/>
    </row>
    <row r="66" spans="2:17" ht="60.75" customHeight="1">
      <c r="B66" s="664" t="s">
        <v>999</v>
      </c>
      <c r="C66" s="664"/>
      <c r="D66" s="664"/>
      <c r="E66" s="664"/>
      <c r="F66" s="664"/>
      <c r="G66" s="664"/>
      <c r="H66" s="664"/>
      <c r="I66" s="664"/>
      <c r="J66" s="664"/>
      <c r="K66" s="664"/>
      <c r="L66" s="664"/>
      <c r="M66" s="664"/>
      <c r="Q66" s="620"/>
    </row>
    <row r="67" spans="2:17" ht="60.75" customHeight="1">
      <c r="B67" s="664" t="s">
        <v>1000</v>
      </c>
      <c r="C67" s="664"/>
      <c r="D67" s="664"/>
      <c r="E67" s="664"/>
      <c r="F67" s="664"/>
      <c r="G67" s="664"/>
      <c r="H67" s="664"/>
      <c r="I67" s="664"/>
      <c r="J67" s="664"/>
      <c r="K67" s="664"/>
      <c r="L67" s="664"/>
      <c r="M67" s="664"/>
      <c r="Q67" s="367"/>
    </row>
    <row r="68" spans="2:17" ht="60.75" customHeight="1">
      <c r="B68" s="664" t="s">
        <v>1001</v>
      </c>
      <c r="C68" s="664"/>
      <c r="D68" s="664"/>
      <c r="E68" s="664"/>
      <c r="F68" s="664"/>
      <c r="G68" s="664"/>
      <c r="H68" s="664"/>
      <c r="I68" s="664"/>
      <c r="J68" s="664"/>
      <c r="K68" s="664"/>
      <c r="L68" s="664"/>
      <c r="M68" s="664"/>
      <c r="Q68" s="620"/>
    </row>
    <row r="69" spans="2:17" ht="78.75" customHeight="1">
      <c r="B69" s="664" t="s">
        <v>1002</v>
      </c>
      <c r="C69" s="664"/>
      <c r="D69" s="664"/>
      <c r="E69" s="664"/>
      <c r="F69" s="664"/>
      <c r="G69" s="664"/>
      <c r="H69" s="664"/>
      <c r="I69" s="664"/>
      <c r="J69" s="664"/>
      <c r="K69" s="664"/>
      <c r="L69" s="664"/>
      <c r="M69" s="664"/>
    </row>
    <row r="70" spans="2:17" ht="60.75" customHeight="1">
      <c r="B70" s="665" t="s">
        <v>1003</v>
      </c>
      <c r="C70" s="665"/>
      <c r="D70" s="665"/>
      <c r="E70" s="665"/>
      <c r="F70" s="665"/>
      <c r="G70" s="665"/>
      <c r="H70" s="665"/>
      <c r="I70" s="665"/>
      <c r="J70" s="665"/>
      <c r="K70" s="665"/>
      <c r="L70" s="665"/>
      <c r="M70" s="665"/>
    </row>
    <row r="71" spans="2:17" ht="60.75" customHeight="1">
      <c r="B71" s="664" t="s">
        <v>1004</v>
      </c>
      <c r="C71" s="664"/>
      <c r="D71" s="664"/>
      <c r="E71" s="664"/>
      <c r="F71" s="664"/>
      <c r="G71" s="664"/>
      <c r="H71" s="664"/>
      <c r="I71" s="664"/>
      <c r="J71" s="664"/>
      <c r="K71" s="664"/>
      <c r="L71" s="664"/>
      <c r="M71" s="664"/>
    </row>
    <row r="72" spans="2:17" ht="60.75" customHeight="1">
      <c r="B72" s="664" t="s">
        <v>1005</v>
      </c>
      <c r="C72" s="664"/>
      <c r="D72" s="664"/>
      <c r="E72" s="664"/>
      <c r="F72" s="664"/>
      <c r="G72" s="664"/>
      <c r="H72" s="664"/>
      <c r="I72" s="664"/>
      <c r="J72" s="664"/>
      <c r="K72" s="664"/>
      <c r="L72" s="664"/>
      <c r="M72" s="664"/>
    </row>
    <row r="73" spans="2:17" ht="60.75" customHeight="1">
      <c r="B73" s="664" t="s">
        <v>1006</v>
      </c>
      <c r="C73" s="664"/>
      <c r="D73" s="664"/>
      <c r="E73" s="664"/>
      <c r="F73" s="664"/>
      <c r="G73" s="664"/>
      <c r="H73" s="664"/>
      <c r="I73" s="664"/>
      <c r="J73" s="664"/>
      <c r="K73" s="664"/>
      <c r="L73" s="664"/>
      <c r="M73" s="664"/>
    </row>
    <row r="74" spans="2:17" ht="60.75" customHeight="1">
      <c r="B74" s="664" t="s">
        <v>1007</v>
      </c>
      <c r="C74" s="664"/>
      <c r="D74" s="664"/>
      <c r="E74" s="664"/>
      <c r="F74" s="664"/>
      <c r="G74" s="664"/>
      <c r="H74" s="664"/>
      <c r="I74" s="664"/>
      <c r="J74" s="664"/>
      <c r="K74" s="664"/>
      <c r="L74" s="664"/>
      <c r="M74" s="664"/>
    </row>
    <row r="75" spans="2:17" ht="60.75" customHeight="1">
      <c r="B75" s="664" t="s">
        <v>1008</v>
      </c>
      <c r="C75" s="664"/>
      <c r="D75" s="664"/>
      <c r="E75" s="664"/>
      <c r="F75" s="664"/>
      <c r="G75" s="664"/>
      <c r="H75" s="664"/>
      <c r="I75" s="664"/>
      <c r="J75" s="664"/>
      <c r="K75" s="664"/>
      <c r="L75" s="664"/>
      <c r="M75" s="664"/>
    </row>
    <row r="76" spans="2:17" ht="60.75" customHeight="1">
      <c r="B76" s="664" t="s">
        <v>1009</v>
      </c>
      <c r="C76" s="664"/>
      <c r="D76" s="664"/>
      <c r="E76" s="664"/>
      <c r="F76" s="664"/>
      <c r="G76" s="664"/>
      <c r="H76" s="664"/>
      <c r="I76" s="664"/>
      <c r="J76" s="664"/>
      <c r="K76" s="664"/>
      <c r="L76" s="664"/>
      <c r="M76" s="664"/>
    </row>
    <row r="77" spans="2:17" ht="60.75" customHeight="1">
      <c r="B77" s="664" t="s">
        <v>1010</v>
      </c>
      <c r="C77" s="664" t="s">
        <v>1011</v>
      </c>
      <c r="D77" s="664"/>
      <c r="E77" s="664"/>
      <c r="F77" s="664"/>
      <c r="G77" s="664"/>
      <c r="H77" s="664"/>
      <c r="I77" s="664"/>
      <c r="J77" s="664"/>
      <c r="K77" s="664"/>
      <c r="L77" s="664"/>
      <c r="M77" s="664"/>
    </row>
    <row r="78" spans="2:17" ht="60.75" customHeight="1">
      <c r="B78" s="664" t="s">
        <v>1012</v>
      </c>
      <c r="C78" s="664"/>
      <c r="D78" s="664"/>
      <c r="E78" s="664"/>
      <c r="F78" s="664"/>
      <c r="G78" s="664"/>
      <c r="H78" s="664"/>
      <c r="I78" s="664"/>
      <c r="J78" s="664"/>
      <c r="K78" s="664"/>
      <c r="L78" s="664"/>
      <c r="M78" s="664"/>
    </row>
    <row r="79" spans="2:17" ht="60.75" customHeight="1">
      <c r="B79" s="664" t="s">
        <v>1013</v>
      </c>
      <c r="C79" s="664"/>
      <c r="D79" s="664"/>
      <c r="E79" s="664"/>
      <c r="F79" s="664"/>
      <c r="G79" s="664"/>
      <c r="H79" s="664"/>
      <c r="I79" s="664"/>
      <c r="J79" s="664"/>
      <c r="K79" s="664"/>
      <c r="L79" s="664"/>
      <c r="M79" s="664"/>
    </row>
    <row r="80" spans="2:17" ht="60.75" customHeight="1">
      <c r="B80" s="664" t="s">
        <v>1014</v>
      </c>
      <c r="C80" s="664"/>
      <c r="D80" s="664"/>
      <c r="E80" s="664"/>
      <c r="F80" s="664"/>
      <c r="G80" s="664"/>
      <c r="H80" s="664"/>
      <c r="I80" s="664"/>
      <c r="J80" s="664"/>
      <c r="K80" s="664"/>
      <c r="L80" s="664"/>
      <c r="M80" s="664"/>
    </row>
    <row r="81" spans="2:13" ht="60.75" customHeight="1">
      <c r="B81" s="664" t="s">
        <v>1015</v>
      </c>
      <c r="C81" s="664"/>
      <c r="D81" s="664"/>
      <c r="E81" s="664"/>
      <c r="F81" s="664"/>
      <c r="G81" s="664"/>
      <c r="H81" s="664"/>
      <c r="I81" s="664"/>
      <c r="J81" s="664"/>
      <c r="K81" s="664"/>
      <c r="L81" s="664"/>
      <c r="M81" s="664"/>
    </row>
    <row r="82" spans="2:13" ht="51" customHeight="1">
      <c r="B82" s="664" t="s">
        <v>1016</v>
      </c>
      <c r="C82" s="664"/>
      <c r="D82" s="664"/>
      <c r="E82" s="664"/>
      <c r="F82" s="664"/>
      <c r="G82" s="664"/>
      <c r="H82" s="664"/>
      <c r="I82" s="664"/>
      <c r="J82" s="664"/>
      <c r="K82" s="664"/>
      <c r="L82" s="664"/>
      <c r="M82" s="664"/>
    </row>
    <row r="83" spans="2:13" ht="51" customHeight="1">
      <c r="B83" s="664" t="s">
        <v>1017</v>
      </c>
      <c r="C83" s="664"/>
      <c r="D83" s="664"/>
      <c r="E83" s="664"/>
      <c r="F83" s="664"/>
      <c r="G83" s="664"/>
      <c r="H83" s="664"/>
      <c r="I83" s="664"/>
      <c r="J83" s="664"/>
      <c r="K83" s="664"/>
      <c r="L83" s="664"/>
      <c r="M83" s="664"/>
    </row>
    <row r="84" spans="2:13" ht="51" customHeight="1">
      <c r="B84" s="664" t="s">
        <v>1018</v>
      </c>
      <c r="C84" s="664"/>
      <c r="D84" s="664"/>
      <c r="E84" s="664"/>
      <c r="F84" s="664"/>
      <c r="G84" s="664"/>
      <c r="H84" s="664"/>
      <c r="I84" s="664"/>
      <c r="J84" s="664"/>
      <c r="K84" s="664"/>
      <c r="L84" s="664"/>
      <c r="M84" s="664"/>
    </row>
    <row r="85" spans="2:13" ht="51" customHeight="1">
      <c r="B85" s="664" t="s">
        <v>1019</v>
      </c>
      <c r="C85" s="664"/>
      <c r="D85" s="664"/>
      <c r="E85" s="664"/>
      <c r="F85" s="664"/>
      <c r="G85" s="664"/>
      <c r="H85" s="664"/>
      <c r="I85" s="664"/>
      <c r="J85" s="664"/>
      <c r="K85" s="664"/>
      <c r="L85" s="664"/>
      <c r="M85" s="664"/>
    </row>
    <row r="86" spans="2:13" ht="51" customHeight="1">
      <c r="B86" s="664" t="s">
        <v>1020</v>
      </c>
      <c r="C86" s="664"/>
      <c r="D86" s="664"/>
      <c r="E86" s="664"/>
      <c r="F86" s="664"/>
      <c r="G86" s="664"/>
      <c r="H86" s="664"/>
      <c r="I86" s="664"/>
      <c r="J86" s="664"/>
      <c r="K86" s="664"/>
      <c r="L86" s="664"/>
      <c r="M86" s="664"/>
    </row>
    <row r="87" spans="2:13" ht="51" customHeight="1">
      <c r="B87" s="664" t="s">
        <v>1021</v>
      </c>
      <c r="C87" s="664"/>
      <c r="D87" s="664"/>
      <c r="E87" s="664"/>
      <c r="F87" s="664"/>
      <c r="G87" s="664"/>
      <c r="H87" s="664"/>
      <c r="I87" s="664"/>
      <c r="J87" s="664"/>
      <c r="K87" s="664"/>
      <c r="L87" s="664"/>
      <c r="M87" s="664"/>
    </row>
    <row r="88" spans="2:13" ht="51" customHeight="1">
      <c r="B88" s="664" t="s">
        <v>1022</v>
      </c>
      <c r="C88" s="664"/>
      <c r="D88" s="664"/>
      <c r="E88" s="664"/>
      <c r="F88" s="664"/>
      <c r="G88" s="664"/>
      <c r="H88" s="664"/>
      <c r="I88" s="664"/>
      <c r="J88" s="664"/>
      <c r="K88" s="664"/>
      <c r="L88" s="664"/>
      <c r="M88" s="664"/>
    </row>
    <row r="89" spans="2:13" ht="51" customHeight="1">
      <c r="B89" s="664" t="s">
        <v>1023</v>
      </c>
      <c r="C89" s="664"/>
      <c r="D89" s="664"/>
      <c r="E89" s="664"/>
      <c r="F89" s="664"/>
      <c r="G89" s="664"/>
      <c r="H89" s="664"/>
      <c r="I89" s="664"/>
      <c r="J89" s="664"/>
      <c r="K89" s="664"/>
      <c r="L89" s="664"/>
      <c r="M89" s="664"/>
    </row>
    <row r="90" spans="2:13" ht="27" customHeight="1">
      <c r="B90" s="664" t="s">
        <v>1024</v>
      </c>
      <c r="C90" s="664"/>
      <c r="D90" s="664"/>
      <c r="E90" s="664"/>
      <c r="F90" s="664"/>
      <c r="G90" s="664"/>
      <c r="H90" s="664"/>
      <c r="I90" s="664"/>
      <c r="J90" s="664"/>
      <c r="K90" s="664"/>
      <c r="L90" s="664"/>
      <c r="M90" s="664"/>
    </row>
    <row r="91" spans="2:13" ht="36.75" customHeight="1">
      <c r="B91" s="664" t="s">
        <v>1025</v>
      </c>
      <c r="C91" s="664"/>
      <c r="D91" s="664"/>
      <c r="E91" s="664"/>
      <c r="F91" s="664"/>
      <c r="G91" s="664"/>
      <c r="H91" s="664"/>
      <c r="I91" s="664"/>
      <c r="J91" s="664"/>
      <c r="K91" s="664"/>
      <c r="L91" s="664"/>
      <c r="M91" s="664"/>
    </row>
    <row r="92" spans="2:13" ht="36.75" customHeight="1">
      <c r="B92" s="664" t="s">
        <v>1026</v>
      </c>
      <c r="C92" s="664"/>
      <c r="D92" s="664"/>
      <c r="E92" s="664"/>
      <c r="F92" s="664"/>
      <c r="G92" s="664"/>
      <c r="H92" s="664"/>
      <c r="I92" s="664"/>
      <c r="J92" s="664"/>
      <c r="K92" s="664"/>
      <c r="L92" s="664"/>
      <c r="M92" s="664"/>
    </row>
    <row r="93" spans="2:13" ht="36.75" customHeight="1">
      <c r="B93" s="664" t="s">
        <v>1027</v>
      </c>
      <c r="C93" s="664"/>
      <c r="D93" s="664"/>
      <c r="E93" s="664"/>
      <c r="F93" s="664"/>
      <c r="G93" s="664"/>
      <c r="H93" s="664"/>
      <c r="I93" s="664"/>
      <c r="J93" s="664"/>
      <c r="K93" s="664"/>
      <c r="L93" s="664"/>
      <c r="M93" s="664"/>
    </row>
    <row r="94" spans="2:13" ht="15.75">
      <c r="B94" s="630"/>
      <c r="C94"/>
    </row>
  </sheetData>
  <mergeCells count="49">
    <mergeCell ref="B89:M89"/>
    <mergeCell ref="B90:M90"/>
    <mergeCell ref="B91:M91"/>
    <mergeCell ref="B92:M92"/>
    <mergeCell ref="B93:M93"/>
    <mergeCell ref="B88:M88"/>
    <mergeCell ref="B77:M77"/>
    <mergeCell ref="B78:M78"/>
    <mergeCell ref="B79:M79"/>
    <mergeCell ref="B80:M80"/>
    <mergeCell ref="B81:M81"/>
    <mergeCell ref="B82:M82"/>
    <mergeCell ref="B83:M83"/>
    <mergeCell ref="B84:M84"/>
    <mergeCell ref="B85:M85"/>
    <mergeCell ref="B86:M86"/>
    <mergeCell ref="B87:M87"/>
    <mergeCell ref="B76:M76"/>
    <mergeCell ref="B65:M65"/>
    <mergeCell ref="B66:M66"/>
    <mergeCell ref="B67:M67"/>
    <mergeCell ref="B68:M68"/>
    <mergeCell ref="B69:M69"/>
    <mergeCell ref="B70:M70"/>
    <mergeCell ref="B71:M71"/>
    <mergeCell ref="B72:M72"/>
    <mergeCell ref="B73:M73"/>
    <mergeCell ref="B74:M74"/>
    <mergeCell ref="B75:M75"/>
    <mergeCell ref="B64:M64"/>
    <mergeCell ref="O9:Q9"/>
    <mergeCell ref="C10:H10"/>
    <mergeCell ref="J10:M10"/>
    <mergeCell ref="O10:Q10"/>
    <mergeCell ref="B13:H13"/>
    <mergeCell ref="J13:M13"/>
    <mergeCell ref="O13:Q13"/>
    <mergeCell ref="C9:H9"/>
    <mergeCell ref="J9:M9"/>
    <mergeCell ref="B51:H51"/>
    <mergeCell ref="J51:M51"/>
    <mergeCell ref="O51:Q51"/>
    <mergeCell ref="B56:C56"/>
    <mergeCell ref="B58:D58"/>
    <mergeCell ref="B1:M1"/>
    <mergeCell ref="B2:M2"/>
    <mergeCell ref="B3:M3"/>
    <mergeCell ref="B4:M4"/>
    <mergeCell ref="B5:M6"/>
  </mergeCells>
  <pageMargins left="0.7" right="0.7" top="0.75" bottom="0.75" header="0.3" footer="0.3"/>
  <pageSetup orientation="portrait"/>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5" tint="0.59999389629810485"/>
  </sheetPr>
  <dimension ref="A1:Q90"/>
  <sheetViews>
    <sheetView showGridLines="0" topLeftCell="I13" zoomScale="115" zoomScaleNormal="115" zoomScalePageLayoutView="115" workbookViewId="0">
      <selection activeCell="B3" sqref="B3:N3"/>
    </sheetView>
  </sheetViews>
  <sheetFormatPr defaultColWidth="11.42578125" defaultRowHeight="12.75"/>
  <cols>
    <col min="1" max="1" width="3.7109375" style="129" customWidth="1"/>
    <col min="2" max="2" width="54.140625" style="129" customWidth="1"/>
    <col min="3" max="3" width="11.42578125" style="129"/>
    <col min="4" max="4" width="38.28515625" style="129" customWidth="1"/>
    <col min="5" max="8" width="20.7109375" style="129" customWidth="1"/>
    <col min="9" max="9" width="3.28515625" style="129" customWidth="1"/>
    <col min="10" max="13" width="20.7109375" style="129" customWidth="1"/>
    <col min="14" max="14" width="3" style="129" customWidth="1"/>
    <col min="15" max="17" width="23" style="129" customWidth="1"/>
    <col min="18" max="16384" width="11.42578125" style="129"/>
  </cols>
  <sheetData>
    <row r="1" spans="1:17">
      <c r="B1" s="683" t="s">
        <v>927</v>
      </c>
      <c r="C1" s="683"/>
      <c r="D1" s="683"/>
      <c r="E1" s="683"/>
      <c r="F1" s="683"/>
      <c r="G1" s="683"/>
      <c r="H1" s="683"/>
      <c r="I1" s="683"/>
      <c r="J1" s="683"/>
      <c r="K1" s="683"/>
      <c r="L1" s="683"/>
      <c r="M1" s="683"/>
      <c r="N1" s="683"/>
      <c r="P1" s="129" t="s">
        <v>928</v>
      </c>
      <c r="Q1" s="621">
        <v>7.0400000000000004E-2</v>
      </c>
    </row>
    <row r="2" spans="1:17">
      <c r="B2" s="688" t="s">
        <v>929</v>
      </c>
      <c r="C2" s="689"/>
      <c r="D2" s="689"/>
      <c r="E2" s="689"/>
      <c r="F2" s="689"/>
      <c r="G2" s="689"/>
      <c r="H2" s="689"/>
      <c r="I2" s="689"/>
      <c r="J2" s="689"/>
      <c r="K2" s="689"/>
      <c r="L2" s="689"/>
      <c r="M2" s="689"/>
      <c r="N2" s="689"/>
      <c r="P2" s="129" t="s">
        <v>930</v>
      </c>
      <c r="Q2" s="622">
        <v>0.03</v>
      </c>
    </row>
    <row r="3" spans="1:17">
      <c r="B3" s="684" t="s">
        <v>931</v>
      </c>
      <c r="C3" s="684"/>
      <c r="D3" s="684"/>
      <c r="E3" s="684"/>
      <c r="F3" s="684"/>
      <c r="G3" s="684"/>
      <c r="H3" s="684"/>
      <c r="I3" s="684"/>
      <c r="J3" s="684"/>
      <c r="K3" s="684"/>
      <c r="L3" s="684"/>
      <c r="M3" s="684"/>
      <c r="N3" s="684"/>
    </row>
    <row r="4" spans="1:17">
      <c r="B4" s="684" t="s">
        <v>932</v>
      </c>
      <c r="C4" s="684"/>
      <c r="D4" s="684" t="s">
        <v>933</v>
      </c>
      <c r="E4" s="684"/>
      <c r="F4" s="684"/>
      <c r="G4" s="684"/>
      <c r="H4" s="684"/>
      <c r="I4" s="684"/>
      <c r="J4" s="684"/>
      <c r="K4" s="684"/>
      <c r="L4" s="684"/>
      <c r="M4" s="684"/>
      <c r="N4" s="684"/>
    </row>
    <row r="5" spans="1:17">
      <c r="B5" s="683" t="s">
        <v>934</v>
      </c>
      <c r="C5" s="683"/>
      <c r="D5" s="683"/>
      <c r="E5" s="683"/>
      <c r="F5" s="683"/>
      <c r="G5" s="683"/>
      <c r="H5" s="683"/>
      <c r="I5" s="683"/>
      <c r="J5" s="683"/>
      <c r="K5" s="683"/>
      <c r="L5" s="683"/>
      <c r="M5" s="683"/>
      <c r="N5" s="683"/>
    </row>
    <row r="6" spans="1:17">
      <c r="B6" s="363"/>
      <c r="C6" s="363"/>
      <c r="D6" s="363"/>
      <c r="E6" s="363"/>
      <c r="F6" s="363"/>
      <c r="G6" s="363"/>
      <c r="H6" s="363"/>
      <c r="I6" s="363"/>
      <c r="J6" s="363"/>
      <c r="K6" s="363"/>
      <c r="L6" s="363"/>
      <c r="M6" s="363"/>
      <c r="N6" s="363"/>
    </row>
    <row r="9" spans="1:17" ht="20.25" customHeight="1">
      <c r="B9" s="360" t="s">
        <v>935</v>
      </c>
      <c r="C9" s="685">
        <v>100</v>
      </c>
      <c r="D9" s="686"/>
      <c r="E9" s="686"/>
      <c r="F9" s="686"/>
      <c r="G9" s="686"/>
      <c r="H9" s="687"/>
      <c r="J9" s="685" t="s">
        <v>1028</v>
      </c>
      <c r="K9" s="686"/>
      <c r="L9" s="686"/>
      <c r="M9" s="687"/>
      <c r="O9" s="693" t="s">
        <v>937</v>
      </c>
      <c r="P9" s="694"/>
      <c r="Q9" s="695"/>
    </row>
    <row r="10" spans="1:17" ht="15.75" thickBot="1">
      <c r="B10" s="361" t="s">
        <v>938</v>
      </c>
      <c r="C10" s="696" t="s">
        <v>939</v>
      </c>
      <c r="D10" s="697"/>
      <c r="E10" s="697"/>
      <c r="F10" s="697"/>
      <c r="G10" s="697"/>
      <c r="H10" s="698"/>
      <c r="J10" s="699" t="s">
        <v>940</v>
      </c>
      <c r="K10" s="700"/>
      <c r="L10" s="700"/>
      <c r="M10" s="701"/>
      <c r="O10" s="702" t="s">
        <v>941</v>
      </c>
      <c r="P10" s="703"/>
      <c r="Q10" s="704"/>
    </row>
    <row r="11" spans="1:17" ht="15.75" thickBot="1">
      <c r="B11" s="361"/>
      <c r="C11" s="361"/>
      <c r="H11" s="362"/>
      <c r="O11"/>
      <c r="P11"/>
      <c r="Q11"/>
    </row>
    <row r="12" spans="1:17" ht="51.75" thickBot="1">
      <c r="B12" s="556" t="s">
        <v>86</v>
      </c>
      <c r="C12" s="557" t="s">
        <v>942</v>
      </c>
      <c r="D12" s="558" t="s">
        <v>943</v>
      </c>
      <c r="E12" s="559" t="s">
        <v>1029</v>
      </c>
      <c r="F12" s="559" t="s">
        <v>1030</v>
      </c>
      <c r="G12" s="560" t="s">
        <v>946</v>
      </c>
      <c r="H12" s="561" t="s">
        <v>947</v>
      </c>
      <c r="J12" s="644" t="s">
        <v>1031</v>
      </c>
      <c r="K12" s="645" t="s">
        <v>1032</v>
      </c>
      <c r="L12" s="432" t="s">
        <v>946</v>
      </c>
      <c r="M12" s="433" t="s">
        <v>950</v>
      </c>
      <c r="O12" s="582" t="s">
        <v>951</v>
      </c>
      <c r="P12" s="559" t="s">
        <v>1033</v>
      </c>
      <c r="Q12" s="561" t="s">
        <v>953</v>
      </c>
    </row>
    <row r="13" spans="1:17">
      <c r="B13" s="666" t="s">
        <v>954</v>
      </c>
      <c r="C13" s="667"/>
      <c r="D13" s="667"/>
      <c r="E13" s="667"/>
      <c r="F13" s="667"/>
      <c r="G13" s="667"/>
      <c r="H13" s="668"/>
      <c r="J13" s="675" t="s">
        <v>954</v>
      </c>
      <c r="K13" s="676"/>
      <c r="L13" s="676"/>
      <c r="M13" s="677"/>
      <c r="N13" s="363"/>
      <c r="O13" s="666" t="s">
        <v>954</v>
      </c>
      <c r="P13" s="667"/>
      <c r="Q13" s="668"/>
    </row>
    <row r="14" spans="1:17">
      <c r="B14" s="571" t="s">
        <v>955</v>
      </c>
      <c r="C14" s="562">
        <f>SUM(C15:C33)</f>
        <v>61</v>
      </c>
      <c r="D14" s="562"/>
      <c r="E14" s="563">
        <f>SUM(E15:E33)</f>
        <v>62130707</v>
      </c>
      <c r="F14" s="563">
        <f>SUM(F15:F33)</f>
        <v>187518715</v>
      </c>
      <c r="G14" s="563"/>
      <c r="H14" s="535">
        <f>SUM(H15:H33)</f>
        <v>562556145</v>
      </c>
      <c r="I14" s="363"/>
      <c r="J14" s="365">
        <f>SUM(J15:J33)</f>
        <v>66504713</v>
      </c>
      <c r="K14" s="365">
        <f>SUM(K15:K33)</f>
        <v>200720049</v>
      </c>
      <c r="L14" s="365"/>
      <c r="M14" s="425">
        <f>SUM(M15:M33)</f>
        <v>2408640588</v>
      </c>
      <c r="N14" s="363"/>
      <c r="O14" s="534">
        <f>SUM(O15:O33)</f>
        <v>562556145</v>
      </c>
      <c r="P14" s="531">
        <f>M14</f>
        <v>2408640588</v>
      </c>
      <c r="Q14" s="535">
        <f>SUM(Q15:Q33)</f>
        <v>2971196733</v>
      </c>
    </row>
    <row r="15" spans="1:17" s="263" customFormat="1">
      <c r="A15" s="263">
        <v>1</v>
      </c>
      <c r="B15" s="572" t="s">
        <v>956</v>
      </c>
      <c r="C15" s="564">
        <f>IFERROR(VLOOKUP($B15,'REQUISTO MIN TH'!$A$2:$H$27,6,0),0)</f>
        <v>1</v>
      </c>
      <c r="D15" s="564" t="s">
        <v>957</v>
      </c>
      <c r="E15" s="565">
        <f>IFERROR((VLOOKUP($B15,'1. TABLA COSTOS REC HUMANO'!$B$7:$M$31,3,0)),0)</f>
        <v>5133210</v>
      </c>
      <c r="F15" s="565">
        <f>ROUND(E15*$C15,0)</f>
        <v>5133210</v>
      </c>
      <c r="G15" s="566">
        <v>3</v>
      </c>
      <c r="H15" s="573">
        <f>ROUND(F15*G15,0)</f>
        <v>15399630</v>
      </c>
      <c r="J15" s="431">
        <f t="shared" ref="J15:J33" si="0">ROUND(E15*(1+$Q$1),0)</f>
        <v>5494588</v>
      </c>
      <c r="K15" s="565">
        <f>ROUND(J15*$C15,0)</f>
        <v>5494588</v>
      </c>
      <c r="L15" s="566">
        <v>12</v>
      </c>
      <c r="M15" s="573">
        <f>ROUND(K15*L15,0)</f>
        <v>65935056</v>
      </c>
      <c r="O15" s="536">
        <f t="shared" ref="O15:O49" si="1">H15</f>
        <v>15399630</v>
      </c>
      <c r="P15" s="533">
        <f t="shared" ref="P15:P49" si="2">M15</f>
        <v>65935056</v>
      </c>
      <c r="Q15" s="537">
        <f>O15+P15</f>
        <v>81334686</v>
      </c>
    </row>
    <row r="16" spans="1:17" s="263" customFormat="1">
      <c r="A16" s="263">
        <v>2</v>
      </c>
      <c r="B16" s="572" t="s">
        <v>958</v>
      </c>
      <c r="C16" s="564">
        <f>IFERROR(VLOOKUP($B16,'REQUISTO MIN TH'!$A$2:$H$27,6,0),0)</f>
        <v>2</v>
      </c>
      <c r="D16" s="564" t="s">
        <v>957</v>
      </c>
      <c r="E16" s="565">
        <f>IFERROR((VLOOKUP($B16,'1. TABLA COSTOS REC HUMANO'!$B$7:$M$31,3,0)),0)</f>
        <v>4399725</v>
      </c>
      <c r="F16" s="565">
        <f t="shared" ref="F16:F34" si="3">ROUND(E16*$C16,0)</f>
        <v>8799450</v>
      </c>
      <c r="G16" s="566">
        <v>3</v>
      </c>
      <c r="H16" s="573">
        <f t="shared" ref="H16:H49" si="4">ROUND(F16*G16,0)</f>
        <v>26398350</v>
      </c>
      <c r="J16" s="431">
        <f t="shared" si="0"/>
        <v>4709466</v>
      </c>
      <c r="K16" s="565">
        <f t="shared" ref="K16:K34" si="5">ROUND(J16*$C16,0)</f>
        <v>9418932</v>
      </c>
      <c r="L16" s="566">
        <v>12</v>
      </c>
      <c r="M16" s="573">
        <f t="shared" ref="M16:M34" si="6">ROUND(K16*L16,0)</f>
        <v>113027184</v>
      </c>
      <c r="O16" s="536">
        <f t="shared" si="1"/>
        <v>26398350</v>
      </c>
      <c r="P16" s="533">
        <f t="shared" si="2"/>
        <v>113027184</v>
      </c>
      <c r="Q16" s="537">
        <f t="shared" ref="Q16:Q49" si="7">O16+P16</f>
        <v>139425534</v>
      </c>
    </row>
    <row r="17" spans="1:17" s="263" customFormat="1" ht="24">
      <c r="A17" s="263">
        <v>4</v>
      </c>
      <c r="B17" s="572" t="s">
        <v>959</v>
      </c>
      <c r="C17" s="564">
        <f>IFERROR(VLOOKUP($B17,'REQUISTO MIN TH'!$A$2:$H$27,6,0),0)</f>
        <v>2</v>
      </c>
      <c r="D17" s="564" t="s">
        <v>957</v>
      </c>
      <c r="E17" s="565">
        <f>IFERROR((VLOOKUP($B17,'1. TABLA COSTOS REC HUMANO'!$B$7:$M$31,3,0)),0)</f>
        <v>4399725</v>
      </c>
      <c r="F17" s="565">
        <f t="shared" si="3"/>
        <v>8799450</v>
      </c>
      <c r="G17" s="566">
        <v>3</v>
      </c>
      <c r="H17" s="573">
        <f t="shared" si="4"/>
        <v>26398350</v>
      </c>
      <c r="J17" s="431">
        <f t="shared" si="0"/>
        <v>4709466</v>
      </c>
      <c r="K17" s="565">
        <f t="shared" si="5"/>
        <v>9418932</v>
      </c>
      <c r="L17" s="566">
        <v>12</v>
      </c>
      <c r="M17" s="573">
        <f t="shared" si="6"/>
        <v>113027184</v>
      </c>
      <c r="O17" s="536">
        <f t="shared" si="1"/>
        <v>26398350</v>
      </c>
      <c r="P17" s="533">
        <f t="shared" si="2"/>
        <v>113027184</v>
      </c>
      <c r="Q17" s="537">
        <f t="shared" si="7"/>
        <v>139425534</v>
      </c>
    </row>
    <row r="18" spans="1:17" s="263" customFormat="1">
      <c r="A18" s="263">
        <v>5</v>
      </c>
      <c r="B18" s="572" t="s">
        <v>960</v>
      </c>
      <c r="C18" s="564">
        <f>IFERROR(VLOOKUP($B18,'REQUISTO MIN TH'!$A$2:$H$27,6,0),0)</f>
        <v>4</v>
      </c>
      <c r="D18" s="564" t="s">
        <v>957</v>
      </c>
      <c r="E18" s="565">
        <f>IFERROR((VLOOKUP($B18,'1. TABLA COSTOS REC HUMANO'!$B$7:$M$31,3,0)),0)</f>
        <v>4399725</v>
      </c>
      <c r="F18" s="565">
        <f t="shared" si="3"/>
        <v>17598900</v>
      </c>
      <c r="G18" s="566">
        <v>3</v>
      </c>
      <c r="H18" s="573">
        <f t="shared" si="4"/>
        <v>52796700</v>
      </c>
      <c r="J18" s="431">
        <f t="shared" si="0"/>
        <v>4709466</v>
      </c>
      <c r="K18" s="565">
        <f t="shared" si="5"/>
        <v>18837864</v>
      </c>
      <c r="L18" s="566">
        <v>12</v>
      </c>
      <c r="M18" s="573">
        <f t="shared" si="6"/>
        <v>226054368</v>
      </c>
      <c r="O18" s="536">
        <f t="shared" si="1"/>
        <v>52796700</v>
      </c>
      <c r="P18" s="533">
        <f t="shared" si="2"/>
        <v>226054368</v>
      </c>
      <c r="Q18" s="537">
        <f t="shared" si="7"/>
        <v>278851068</v>
      </c>
    </row>
    <row r="19" spans="1:17" s="263" customFormat="1">
      <c r="A19" s="263">
        <v>6</v>
      </c>
      <c r="B19" s="572" t="s">
        <v>961</v>
      </c>
      <c r="C19" s="564">
        <f>IFERROR(VLOOKUP($B19,'REQUISTO MIN TH'!$A$2:$H$27,6,0),0)</f>
        <v>4</v>
      </c>
      <c r="D19" s="564" t="s">
        <v>957</v>
      </c>
      <c r="E19" s="565">
        <f>IFERROR((VLOOKUP($B19,'1. TABLA COSTOS REC HUMANO'!$B$7:$M$31,3,0)),0)</f>
        <v>4399725</v>
      </c>
      <c r="F19" s="565">
        <f t="shared" si="3"/>
        <v>17598900</v>
      </c>
      <c r="G19" s="566">
        <v>3</v>
      </c>
      <c r="H19" s="573">
        <f t="shared" si="4"/>
        <v>52796700</v>
      </c>
      <c r="J19" s="431">
        <f t="shared" si="0"/>
        <v>4709466</v>
      </c>
      <c r="K19" s="565">
        <f t="shared" si="5"/>
        <v>18837864</v>
      </c>
      <c r="L19" s="566">
        <v>12</v>
      </c>
      <c r="M19" s="573">
        <f t="shared" si="6"/>
        <v>226054368</v>
      </c>
      <c r="O19" s="536">
        <f t="shared" si="1"/>
        <v>52796700</v>
      </c>
      <c r="P19" s="533">
        <f t="shared" si="2"/>
        <v>226054368</v>
      </c>
      <c r="Q19" s="537">
        <f t="shared" si="7"/>
        <v>278851068</v>
      </c>
    </row>
    <row r="20" spans="1:17" s="263" customFormat="1">
      <c r="A20" s="263">
        <v>8</v>
      </c>
      <c r="B20" s="572" t="s">
        <v>962</v>
      </c>
      <c r="C20" s="564">
        <f>IFERROR(VLOOKUP($B20,'REQUISTO MIN TH'!$A$2:$H$27,6,0),0)</f>
        <v>4</v>
      </c>
      <c r="D20" s="564" t="s">
        <v>957</v>
      </c>
      <c r="E20" s="565">
        <f>IFERROR((VLOOKUP($B20,'1. TABLA COSTOS REC HUMANO'!$B$7:$M$31,3,0)),0)</f>
        <v>4399725</v>
      </c>
      <c r="F20" s="565">
        <f t="shared" si="3"/>
        <v>17598900</v>
      </c>
      <c r="G20" s="566">
        <v>3</v>
      </c>
      <c r="H20" s="573">
        <f t="shared" si="4"/>
        <v>52796700</v>
      </c>
      <c r="J20" s="431">
        <f t="shared" si="0"/>
        <v>4709466</v>
      </c>
      <c r="K20" s="565">
        <f t="shared" si="5"/>
        <v>18837864</v>
      </c>
      <c r="L20" s="566">
        <v>12</v>
      </c>
      <c r="M20" s="573">
        <f t="shared" si="6"/>
        <v>226054368</v>
      </c>
      <c r="O20" s="536">
        <f t="shared" si="1"/>
        <v>52796700</v>
      </c>
      <c r="P20" s="533">
        <f t="shared" si="2"/>
        <v>226054368</v>
      </c>
      <c r="Q20" s="537">
        <f t="shared" si="7"/>
        <v>278851068</v>
      </c>
    </row>
    <row r="21" spans="1:17" s="263" customFormat="1">
      <c r="A21" s="263">
        <v>9</v>
      </c>
      <c r="B21" s="572" t="s">
        <v>963</v>
      </c>
      <c r="C21" s="564">
        <f>IFERROR(VLOOKUP($B21,'REQUISTO MIN TH'!$A$2:$H$27,6,0),0)</f>
        <v>2</v>
      </c>
      <c r="D21" s="564" t="s">
        <v>957</v>
      </c>
      <c r="E21" s="565">
        <f>IFERROR((VLOOKUP($B21,'1. TABLA COSTOS REC HUMANO'!$B$7:$M$31,3,0)),0)</f>
        <v>3666240</v>
      </c>
      <c r="F21" s="565">
        <f t="shared" si="3"/>
        <v>7332480</v>
      </c>
      <c r="G21" s="566">
        <v>3</v>
      </c>
      <c r="H21" s="573">
        <f t="shared" si="4"/>
        <v>21997440</v>
      </c>
      <c r="J21" s="431">
        <f t="shared" si="0"/>
        <v>3924343</v>
      </c>
      <c r="K21" s="565">
        <f t="shared" si="5"/>
        <v>7848686</v>
      </c>
      <c r="L21" s="566">
        <v>12</v>
      </c>
      <c r="M21" s="573">
        <f t="shared" si="6"/>
        <v>94184232</v>
      </c>
      <c r="O21" s="536">
        <f t="shared" si="1"/>
        <v>21997440</v>
      </c>
      <c r="P21" s="533">
        <f t="shared" si="2"/>
        <v>94184232</v>
      </c>
      <c r="Q21" s="537">
        <f t="shared" si="7"/>
        <v>116181672</v>
      </c>
    </row>
    <row r="22" spans="1:17" s="263" customFormat="1">
      <c r="A22" s="263">
        <v>10</v>
      </c>
      <c r="B22" s="572" t="s">
        <v>964</v>
      </c>
      <c r="C22" s="564">
        <f>IFERROR(VLOOKUP($B22,'REQUISTO MIN TH'!$A$2:$H$27,6,0),0)</f>
        <v>16</v>
      </c>
      <c r="D22" s="564" t="s">
        <v>957</v>
      </c>
      <c r="E22" s="565">
        <f>IFERROR((VLOOKUP($B22,'1. TABLA COSTOS REC HUMANO'!$B$7:$M$31,3,0)),0)</f>
        <v>2445690</v>
      </c>
      <c r="F22" s="565">
        <f t="shared" si="3"/>
        <v>39131040</v>
      </c>
      <c r="G22" s="566">
        <v>3</v>
      </c>
      <c r="H22" s="573">
        <f t="shared" si="4"/>
        <v>117393120</v>
      </c>
      <c r="J22" s="431">
        <f t="shared" si="0"/>
        <v>2617867</v>
      </c>
      <c r="K22" s="565">
        <f t="shared" si="5"/>
        <v>41885872</v>
      </c>
      <c r="L22" s="566">
        <v>12</v>
      </c>
      <c r="M22" s="573">
        <f t="shared" si="6"/>
        <v>502630464</v>
      </c>
      <c r="O22" s="536">
        <f t="shared" si="1"/>
        <v>117393120</v>
      </c>
      <c r="P22" s="533">
        <f t="shared" si="2"/>
        <v>502630464</v>
      </c>
      <c r="Q22" s="537">
        <f t="shared" si="7"/>
        <v>620023584</v>
      </c>
    </row>
    <row r="23" spans="1:17" s="263" customFormat="1">
      <c r="A23" s="263">
        <v>3</v>
      </c>
      <c r="B23" s="572" t="s">
        <v>965</v>
      </c>
      <c r="C23" s="564">
        <f>IFERROR(VLOOKUP($B23,'REQUISTO MIN TH'!$A$2:$H$27,6,0),0)</f>
        <v>1</v>
      </c>
      <c r="D23" s="564" t="s">
        <v>957</v>
      </c>
      <c r="E23" s="565">
        <f>IFERROR((VLOOKUP($B23,'1. TABLA COSTOS REC HUMANO'!$B$7:$M$31,3,0)),0)</f>
        <v>2885920</v>
      </c>
      <c r="F23" s="565">
        <f t="shared" si="3"/>
        <v>2885920</v>
      </c>
      <c r="G23" s="566">
        <v>3</v>
      </c>
      <c r="H23" s="573">
        <f t="shared" si="4"/>
        <v>8657760</v>
      </c>
      <c r="J23" s="431">
        <f t="shared" si="0"/>
        <v>3089089</v>
      </c>
      <c r="K23" s="565">
        <f t="shared" si="5"/>
        <v>3089089</v>
      </c>
      <c r="L23" s="566">
        <v>12</v>
      </c>
      <c r="M23" s="573">
        <f t="shared" si="6"/>
        <v>37069068</v>
      </c>
      <c r="O23" s="536">
        <f t="shared" si="1"/>
        <v>8657760</v>
      </c>
      <c r="P23" s="533">
        <f t="shared" si="2"/>
        <v>37069068</v>
      </c>
      <c r="Q23" s="537">
        <f t="shared" si="7"/>
        <v>45726828</v>
      </c>
    </row>
    <row r="24" spans="1:17" s="263" customFormat="1">
      <c r="A24" s="263">
        <v>11</v>
      </c>
      <c r="B24" s="572" t="s">
        <v>966</v>
      </c>
      <c r="C24" s="564">
        <f>IFERROR(VLOOKUP($B24,'REQUISTO MIN TH'!$A$2:$H$27,6,0),0)</f>
        <v>1</v>
      </c>
      <c r="D24" s="564" t="s">
        <v>957</v>
      </c>
      <c r="E24" s="565">
        <f>IFERROR((VLOOKUP($B24,'1. TABLA COSTOS REC HUMANO'!$B$7:$M$31,3,0)),0)</f>
        <v>2885920</v>
      </c>
      <c r="F24" s="565">
        <f t="shared" si="3"/>
        <v>2885920</v>
      </c>
      <c r="G24" s="566">
        <v>3</v>
      </c>
      <c r="H24" s="573">
        <f t="shared" si="4"/>
        <v>8657760</v>
      </c>
      <c r="J24" s="431">
        <f t="shared" si="0"/>
        <v>3089089</v>
      </c>
      <c r="K24" s="565">
        <f t="shared" si="5"/>
        <v>3089089</v>
      </c>
      <c r="L24" s="566">
        <v>12</v>
      </c>
      <c r="M24" s="573">
        <f t="shared" si="6"/>
        <v>37069068</v>
      </c>
      <c r="O24" s="536">
        <f t="shared" si="1"/>
        <v>8657760</v>
      </c>
      <c r="P24" s="533">
        <f t="shared" si="2"/>
        <v>37069068</v>
      </c>
      <c r="Q24" s="537">
        <f t="shared" si="7"/>
        <v>45726828</v>
      </c>
    </row>
    <row r="25" spans="1:17" s="263" customFormat="1">
      <c r="A25" s="263">
        <v>12</v>
      </c>
      <c r="B25" s="572" t="s">
        <v>967</v>
      </c>
      <c r="C25" s="564">
        <f>IFERROR(VLOOKUP($B25,'REQUISTO MIN TH'!$A$2:$H$27,6,0),0)</f>
        <v>1</v>
      </c>
      <c r="D25" s="564" t="s">
        <v>957</v>
      </c>
      <c r="E25" s="565">
        <f>IFERROR((VLOOKUP($B25,'1. TABLA COSTOS REC HUMANO'!$B$7:$M$31,3,0)),0)</f>
        <v>2885920</v>
      </c>
      <c r="F25" s="565">
        <f t="shared" si="3"/>
        <v>2885920</v>
      </c>
      <c r="G25" s="566">
        <v>3</v>
      </c>
      <c r="H25" s="573">
        <f t="shared" si="4"/>
        <v>8657760</v>
      </c>
      <c r="J25" s="431">
        <f t="shared" si="0"/>
        <v>3089089</v>
      </c>
      <c r="K25" s="565">
        <f t="shared" si="5"/>
        <v>3089089</v>
      </c>
      <c r="L25" s="566">
        <v>12</v>
      </c>
      <c r="M25" s="573">
        <f t="shared" si="6"/>
        <v>37069068</v>
      </c>
      <c r="O25" s="536">
        <f t="shared" si="1"/>
        <v>8657760</v>
      </c>
      <c r="P25" s="533">
        <f t="shared" si="2"/>
        <v>37069068</v>
      </c>
      <c r="Q25" s="537">
        <f t="shared" si="7"/>
        <v>45726828</v>
      </c>
    </row>
    <row r="26" spans="1:17" s="263" customFormat="1">
      <c r="A26" s="263">
        <v>13</v>
      </c>
      <c r="B26" s="572" t="s">
        <v>968</v>
      </c>
      <c r="C26" s="564">
        <f>IFERROR(VLOOKUP($B26,'REQUISTO MIN TH'!$A$2:$H$27,6,0),0)</f>
        <v>1</v>
      </c>
      <c r="D26" s="564" t="s">
        <v>957</v>
      </c>
      <c r="E26" s="565">
        <f>IFERROR((VLOOKUP($B26,'1. TABLA COSTOS REC HUMANO'!$B$7:$M$31,3,0)),0)</f>
        <v>2885920</v>
      </c>
      <c r="F26" s="565">
        <f t="shared" si="3"/>
        <v>2885920</v>
      </c>
      <c r="G26" s="566">
        <v>3</v>
      </c>
      <c r="H26" s="573">
        <f t="shared" si="4"/>
        <v>8657760</v>
      </c>
      <c r="J26" s="431">
        <f t="shared" si="0"/>
        <v>3089089</v>
      </c>
      <c r="K26" s="565">
        <f t="shared" si="5"/>
        <v>3089089</v>
      </c>
      <c r="L26" s="566">
        <v>12</v>
      </c>
      <c r="M26" s="573">
        <f t="shared" si="6"/>
        <v>37069068</v>
      </c>
      <c r="O26" s="536">
        <f t="shared" si="1"/>
        <v>8657760</v>
      </c>
      <c r="P26" s="533">
        <f t="shared" si="2"/>
        <v>37069068</v>
      </c>
      <c r="Q26" s="537">
        <f t="shared" si="7"/>
        <v>45726828</v>
      </c>
    </row>
    <row r="27" spans="1:17" s="263" customFormat="1">
      <c r="A27" s="263">
        <v>14</v>
      </c>
      <c r="B27" s="572" t="s">
        <v>969</v>
      </c>
      <c r="C27" s="564">
        <f>IFERROR(VLOOKUP($B27,'REQUISTO MIN TH'!$A$2:$H$27,6,0),0)</f>
        <v>3</v>
      </c>
      <c r="D27" s="564" t="s">
        <v>957</v>
      </c>
      <c r="E27" s="565">
        <f>IFERROR((VLOOKUP($B27,'1. TABLA COSTOS REC HUMANO'!$B$7:$M$31,3,0)),0)</f>
        <v>2885920</v>
      </c>
      <c r="F27" s="565">
        <f t="shared" si="3"/>
        <v>8657760</v>
      </c>
      <c r="G27" s="566">
        <v>3</v>
      </c>
      <c r="H27" s="573">
        <f t="shared" si="4"/>
        <v>25973280</v>
      </c>
      <c r="J27" s="431">
        <f t="shared" si="0"/>
        <v>3089089</v>
      </c>
      <c r="K27" s="565">
        <f t="shared" si="5"/>
        <v>9267267</v>
      </c>
      <c r="L27" s="566">
        <v>12</v>
      </c>
      <c r="M27" s="573">
        <f t="shared" si="6"/>
        <v>111207204</v>
      </c>
      <c r="O27" s="536">
        <f t="shared" si="1"/>
        <v>25973280</v>
      </c>
      <c r="P27" s="533">
        <f t="shared" si="2"/>
        <v>111207204</v>
      </c>
      <c r="Q27" s="537">
        <f t="shared" si="7"/>
        <v>137180484</v>
      </c>
    </row>
    <row r="28" spans="1:17" s="263" customFormat="1">
      <c r="A28" s="263">
        <v>15</v>
      </c>
      <c r="B28" s="572" t="s">
        <v>970</v>
      </c>
      <c r="C28" s="564">
        <f>IFERROR(VLOOKUP($B28,'REQUISTO MIN TH'!$A$2:$H$27,6,0),0)</f>
        <v>3</v>
      </c>
      <c r="D28" s="564" t="s">
        <v>957</v>
      </c>
      <c r="E28" s="565">
        <f>IFERROR((VLOOKUP($B28,'1. TABLA COSTOS REC HUMANO'!$B$7:$M$31,3,0)),0)</f>
        <v>2885920</v>
      </c>
      <c r="F28" s="565">
        <f t="shared" si="3"/>
        <v>8657760</v>
      </c>
      <c r="G28" s="566">
        <v>3</v>
      </c>
      <c r="H28" s="573">
        <f t="shared" si="4"/>
        <v>25973280</v>
      </c>
      <c r="J28" s="431">
        <f t="shared" si="0"/>
        <v>3089089</v>
      </c>
      <c r="K28" s="565">
        <f t="shared" si="5"/>
        <v>9267267</v>
      </c>
      <c r="L28" s="566">
        <v>12</v>
      </c>
      <c r="M28" s="573">
        <f t="shared" si="6"/>
        <v>111207204</v>
      </c>
      <c r="O28" s="536">
        <f t="shared" si="1"/>
        <v>25973280</v>
      </c>
      <c r="P28" s="533">
        <f t="shared" si="2"/>
        <v>111207204</v>
      </c>
      <c r="Q28" s="537">
        <f t="shared" si="7"/>
        <v>137180484</v>
      </c>
    </row>
    <row r="29" spans="1:17" s="263" customFormat="1">
      <c r="A29" s="263">
        <v>7</v>
      </c>
      <c r="B29" s="572" t="s">
        <v>971</v>
      </c>
      <c r="C29" s="564">
        <f>IFERROR(VLOOKUP($B29,'REQUISTO MIN TH'!$A$2:$H$27,6,0),0)</f>
        <v>1</v>
      </c>
      <c r="D29" s="564" t="s">
        <v>957</v>
      </c>
      <c r="E29" s="565">
        <f>IFERROR((VLOOKUP($B29,'1. TABLA COSTOS REC HUMANO'!$B$7:$M$31,3,0)),0)</f>
        <v>2445690</v>
      </c>
      <c r="F29" s="565">
        <f t="shared" si="3"/>
        <v>2445690</v>
      </c>
      <c r="G29" s="566">
        <v>3</v>
      </c>
      <c r="H29" s="573">
        <f t="shared" si="4"/>
        <v>7337070</v>
      </c>
      <c r="J29" s="431">
        <f t="shared" si="0"/>
        <v>2617867</v>
      </c>
      <c r="K29" s="565">
        <f t="shared" si="5"/>
        <v>2617867</v>
      </c>
      <c r="L29" s="566">
        <v>12</v>
      </c>
      <c r="M29" s="573">
        <f t="shared" si="6"/>
        <v>31414404</v>
      </c>
      <c r="O29" s="536">
        <f t="shared" si="1"/>
        <v>7337070</v>
      </c>
      <c r="P29" s="533">
        <f t="shared" si="2"/>
        <v>31414404</v>
      </c>
      <c r="Q29" s="537">
        <f t="shared" si="7"/>
        <v>38751474</v>
      </c>
    </row>
    <row r="30" spans="1:17" s="263" customFormat="1">
      <c r="A30" s="263">
        <v>16</v>
      </c>
      <c r="B30" s="572" t="s">
        <v>972</v>
      </c>
      <c r="C30" s="564">
        <f>IFERROR(VLOOKUP($B30,'REQUISTO MIN TH'!$A$2:$H$27,6,0),0)</f>
        <v>2</v>
      </c>
      <c r="D30" s="564" t="s">
        <v>957</v>
      </c>
      <c r="E30" s="565">
        <f>IFERROR((VLOOKUP($B30,'1. TABLA COSTOS REC HUMANO'!$B$7:$M$31,3,0)),0)</f>
        <v>2281433</v>
      </c>
      <c r="F30" s="565">
        <f t="shared" si="3"/>
        <v>4562866</v>
      </c>
      <c r="G30" s="566">
        <v>3</v>
      </c>
      <c r="H30" s="573">
        <f t="shared" si="4"/>
        <v>13688598</v>
      </c>
      <c r="J30" s="431">
        <f t="shared" si="0"/>
        <v>2442046</v>
      </c>
      <c r="K30" s="565">
        <f t="shared" si="5"/>
        <v>4884092</v>
      </c>
      <c r="L30" s="566">
        <v>12</v>
      </c>
      <c r="M30" s="573">
        <f t="shared" si="6"/>
        <v>58609104</v>
      </c>
      <c r="O30" s="536">
        <f t="shared" si="1"/>
        <v>13688598</v>
      </c>
      <c r="P30" s="533">
        <f t="shared" si="2"/>
        <v>58609104</v>
      </c>
      <c r="Q30" s="537">
        <f t="shared" si="7"/>
        <v>72297702</v>
      </c>
    </row>
    <row r="31" spans="1:17" s="263" customFormat="1">
      <c r="A31" s="263">
        <v>17</v>
      </c>
      <c r="B31" s="572" t="s">
        <v>973</v>
      </c>
      <c r="C31" s="564">
        <f>IFERROR(VLOOKUP($B31,'REQUISTO MIN TH'!$A$2:$H$27,6,0),0)</f>
        <v>1</v>
      </c>
      <c r="D31" s="564" t="s">
        <v>957</v>
      </c>
      <c r="E31" s="565">
        <f>IFERROR((VLOOKUP($B31,'1. TABLA COSTOS REC HUMANO'!$B$7:$M$31,3,0)),0)</f>
        <v>2281433</v>
      </c>
      <c r="F31" s="565">
        <f t="shared" si="3"/>
        <v>2281433</v>
      </c>
      <c r="G31" s="566">
        <v>3</v>
      </c>
      <c r="H31" s="573">
        <f t="shared" si="4"/>
        <v>6844299</v>
      </c>
      <c r="J31" s="431">
        <f t="shared" si="0"/>
        <v>2442046</v>
      </c>
      <c r="K31" s="565">
        <f t="shared" si="5"/>
        <v>2442046</v>
      </c>
      <c r="L31" s="566">
        <v>12</v>
      </c>
      <c r="M31" s="573">
        <f t="shared" si="6"/>
        <v>29304552</v>
      </c>
      <c r="O31" s="536">
        <f t="shared" si="1"/>
        <v>6844299</v>
      </c>
      <c r="P31" s="533">
        <f t="shared" si="2"/>
        <v>29304552</v>
      </c>
      <c r="Q31" s="537">
        <f t="shared" si="7"/>
        <v>36148851</v>
      </c>
    </row>
    <row r="32" spans="1:17" s="263" customFormat="1">
      <c r="A32" s="263">
        <v>18</v>
      </c>
      <c r="B32" s="572" t="s">
        <v>974</v>
      </c>
      <c r="C32" s="564">
        <f>IFERROR(VLOOKUP($B32,'REQUISTO MIN TH'!$A$2:$H$27,6,0),0)</f>
        <v>7</v>
      </c>
      <c r="D32" s="564" t="s">
        <v>957</v>
      </c>
      <c r="E32" s="565">
        <f>IFERROR((VLOOKUP($B32,'1. TABLA COSTOS REC HUMANO'!$B$7:$M$31,3,0)),0)</f>
        <v>2281433</v>
      </c>
      <c r="F32" s="565">
        <f t="shared" si="3"/>
        <v>15970031</v>
      </c>
      <c r="G32" s="566">
        <v>3</v>
      </c>
      <c r="H32" s="573">
        <f t="shared" si="4"/>
        <v>47910093</v>
      </c>
      <c r="J32" s="431">
        <f t="shared" si="0"/>
        <v>2442046</v>
      </c>
      <c r="K32" s="565">
        <f t="shared" si="5"/>
        <v>17094322</v>
      </c>
      <c r="L32" s="566">
        <v>12</v>
      </c>
      <c r="M32" s="573">
        <f t="shared" si="6"/>
        <v>205131864</v>
      </c>
      <c r="O32" s="536">
        <f t="shared" si="1"/>
        <v>47910093</v>
      </c>
      <c r="P32" s="533">
        <f t="shared" si="2"/>
        <v>205131864</v>
      </c>
      <c r="Q32" s="537">
        <f t="shared" si="7"/>
        <v>253041957</v>
      </c>
    </row>
    <row r="33" spans="1:17" s="263" customFormat="1">
      <c r="A33" s="263">
        <v>19</v>
      </c>
      <c r="B33" s="572" t="s">
        <v>975</v>
      </c>
      <c r="C33" s="564">
        <f>IFERROR(VLOOKUP($B33,'REQUISTO MIN TH'!$A$2:$H$27,6,0),0)</f>
        <v>5</v>
      </c>
      <c r="D33" s="564" t="s">
        <v>957</v>
      </c>
      <c r="E33" s="565">
        <f>IFERROR((VLOOKUP($B33,'1. TABLA COSTOS REC HUMANO'!$B$7:$M$31,3,0)),0)</f>
        <v>2281433</v>
      </c>
      <c r="F33" s="565">
        <f t="shared" si="3"/>
        <v>11407165</v>
      </c>
      <c r="G33" s="566">
        <v>3</v>
      </c>
      <c r="H33" s="573">
        <f t="shared" si="4"/>
        <v>34221495</v>
      </c>
      <c r="J33" s="431">
        <f t="shared" si="0"/>
        <v>2442046</v>
      </c>
      <c r="K33" s="565">
        <f t="shared" si="5"/>
        <v>12210230</v>
      </c>
      <c r="L33" s="566">
        <v>12</v>
      </c>
      <c r="M33" s="573">
        <f t="shared" si="6"/>
        <v>146522760</v>
      </c>
      <c r="O33" s="536">
        <f t="shared" si="1"/>
        <v>34221495</v>
      </c>
      <c r="P33" s="533">
        <f t="shared" si="2"/>
        <v>146522760</v>
      </c>
      <c r="Q33" s="537">
        <f t="shared" si="7"/>
        <v>180744255</v>
      </c>
    </row>
    <row r="34" spans="1:17" s="363" customFormat="1" ht="18" customHeight="1">
      <c r="B34" s="574" t="s">
        <v>976</v>
      </c>
      <c r="C34" s="567">
        <v>1</v>
      </c>
      <c r="D34" s="567" t="s">
        <v>957</v>
      </c>
      <c r="E34" s="568">
        <f>'2. DOTACION PARA TALENTO HUMANO'!N19</f>
        <v>3457795</v>
      </c>
      <c r="F34" s="565">
        <f t="shared" si="3"/>
        <v>3457795</v>
      </c>
      <c r="G34" s="566">
        <v>3</v>
      </c>
      <c r="H34" s="573">
        <f t="shared" si="4"/>
        <v>10373385</v>
      </c>
      <c r="I34" s="129"/>
      <c r="J34" s="431">
        <f t="shared" ref="J34:J41" si="8">ROUND(E34*(1+$Q$2),0)</f>
        <v>3561529</v>
      </c>
      <c r="K34" s="565">
        <f t="shared" si="5"/>
        <v>3561529</v>
      </c>
      <c r="L34" s="566">
        <v>12</v>
      </c>
      <c r="M34" s="573">
        <f t="shared" si="6"/>
        <v>42738348</v>
      </c>
      <c r="N34" s="129"/>
      <c r="O34" s="536">
        <f t="shared" si="1"/>
        <v>10373385</v>
      </c>
      <c r="P34" s="533">
        <f t="shared" si="2"/>
        <v>42738348</v>
      </c>
      <c r="Q34" s="537">
        <f t="shared" si="7"/>
        <v>53111733</v>
      </c>
    </row>
    <row r="35" spans="1:17" s="429" customFormat="1" ht="38.25">
      <c r="B35" s="574" t="s">
        <v>977</v>
      </c>
      <c r="C35" s="567">
        <v>2</v>
      </c>
      <c r="D35" s="567" t="s">
        <v>978</v>
      </c>
      <c r="E35" s="532">
        <f>'3. VIGILANCIA'!O7</f>
        <v>864353</v>
      </c>
      <c r="F35" s="565">
        <f>E35</f>
        <v>864353</v>
      </c>
      <c r="G35" s="566">
        <v>0</v>
      </c>
      <c r="H35" s="573">
        <f t="shared" si="4"/>
        <v>0</v>
      </c>
      <c r="I35" s="263"/>
      <c r="J35" s="431">
        <f t="shared" si="8"/>
        <v>890284</v>
      </c>
      <c r="K35" s="565">
        <f>J35</f>
        <v>890284</v>
      </c>
      <c r="L35" s="424">
        <v>194</v>
      </c>
      <c r="M35" s="573">
        <f>ROUND(J35*L35,0)</f>
        <v>172715096</v>
      </c>
      <c r="N35" s="263"/>
      <c r="O35" s="536">
        <f t="shared" si="1"/>
        <v>0</v>
      </c>
      <c r="P35" s="533">
        <f t="shared" si="2"/>
        <v>172715096</v>
      </c>
      <c r="Q35" s="537">
        <f t="shared" si="7"/>
        <v>172715096</v>
      </c>
    </row>
    <row r="36" spans="1:17" s="429" customFormat="1" ht="38.25">
      <c r="B36" s="574" t="s">
        <v>979</v>
      </c>
      <c r="C36" s="567">
        <v>2</v>
      </c>
      <c r="D36" s="567" t="s">
        <v>978</v>
      </c>
      <c r="E36" s="532">
        <f>'3. VIGILANCIA'!O8</f>
        <v>871983</v>
      </c>
      <c r="F36" s="565">
        <f>E36</f>
        <v>871983</v>
      </c>
      <c r="G36" s="566">
        <v>90</v>
      </c>
      <c r="H36" s="573">
        <f>ROUND(E36*G36,0)</f>
        <v>78478470</v>
      </c>
      <c r="I36" s="263"/>
      <c r="J36" s="431">
        <f t="shared" si="8"/>
        <v>898142</v>
      </c>
      <c r="K36" s="565">
        <f>J36</f>
        <v>898142</v>
      </c>
      <c r="L36" s="424">
        <v>166</v>
      </c>
      <c r="M36" s="573">
        <f>ROUND(J36*L36,0)</f>
        <v>149091572</v>
      </c>
      <c r="N36" s="263"/>
      <c r="O36" s="536">
        <f t="shared" si="1"/>
        <v>78478470</v>
      </c>
      <c r="P36" s="533">
        <f t="shared" si="2"/>
        <v>149091572</v>
      </c>
      <c r="Q36" s="537">
        <f t="shared" si="7"/>
        <v>227570042</v>
      </c>
    </row>
    <row r="37" spans="1:17" s="363" customFormat="1">
      <c r="B37" s="574" t="s">
        <v>980</v>
      </c>
      <c r="C37" s="567">
        <v>1</v>
      </c>
      <c r="D37" s="567" t="s">
        <v>957</v>
      </c>
      <c r="E37" s="568">
        <f>'3. VIGILANCIA'!P13</f>
        <v>1820680</v>
      </c>
      <c r="F37" s="565">
        <f t="shared" ref="F37:F41" si="9">ROUND(E37*$C37,0)</f>
        <v>1820680</v>
      </c>
      <c r="G37" s="566">
        <v>3</v>
      </c>
      <c r="H37" s="573">
        <f t="shared" si="4"/>
        <v>5462040</v>
      </c>
      <c r="I37" s="129"/>
      <c r="J37" s="431">
        <f t="shared" si="8"/>
        <v>1875300</v>
      </c>
      <c r="K37" s="565">
        <f t="shared" ref="K37:K41" si="10">ROUND(J37*$C37,0)</f>
        <v>1875300</v>
      </c>
      <c r="L37" s="566">
        <v>12</v>
      </c>
      <c r="M37" s="573">
        <f t="shared" ref="M37:M41" si="11">ROUND(K37*L37,0)</f>
        <v>22503600</v>
      </c>
      <c r="N37" s="129"/>
      <c r="O37" s="536">
        <f t="shared" si="1"/>
        <v>5462040</v>
      </c>
      <c r="P37" s="533">
        <f t="shared" si="2"/>
        <v>22503600</v>
      </c>
      <c r="Q37" s="537">
        <f t="shared" si="7"/>
        <v>27965640</v>
      </c>
    </row>
    <row r="38" spans="1:17" s="363" customFormat="1">
      <c r="B38" s="574" t="s">
        <v>981</v>
      </c>
      <c r="C38" s="567">
        <v>1</v>
      </c>
      <c r="D38" s="567" t="s">
        <v>957</v>
      </c>
      <c r="E38" s="568">
        <f>'4. TRANSPORTE'!L10</f>
        <v>32759584</v>
      </c>
      <c r="F38" s="565">
        <f t="shared" si="9"/>
        <v>32759584</v>
      </c>
      <c r="G38" s="566">
        <v>3</v>
      </c>
      <c r="H38" s="573">
        <f t="shared" si="4"/>
        <v>98278752</v>
      </c>
      <c r="I38" s="129"/>
      <c r="J38" s="431">
        <f t="shared" si="8"/>
        <v>33742372</v>
      </c>
      <c r="K38" s="565">
        <f t="shared" si="10"/>
        <v>33742372</v>
      </c>
      <c r="L38" s="566">
        <v>12</v>
      </c>
      <c r="M38" s="573">
        <f t="shared" si="11"/>
        <v>404908464</v>
      </c>
      <c r="N38" s="129"/>
      <c r="O38" s="536">
        <f t="shared" si="1"/>
        <v>98278752</v>
      </c>
      <c r="P38" s="533">
        <f t="shared" si="2"/>
        <v>404908464</v>
      </c>
      <c r="Q38" s="537">
        <f t="shared" si="7"/>
        <v>503187216</v>
      </c>
    </row>
    <row r="39" spans="1:17" s="363" customFormat="1">
      <c r="B39" s="574" t="s">
        <v>132</v>
      </c>
      <c r="C39" s="567">
        <v>1</v>
      </c>
      <c r="D39" s="567" t="s">
        <v>957</v>
      </c>
      <c r="E39" s="568">
        <f>'5. BIENES NO CONSUMIBLES'!M113</f>
        <v>15130791</v>
      </c>
      <c r="F39" s="565">
        <f t="shared" si="9"/>
        <v>15130791</v>
      </c>
      <c r="G39" s="566">
        <v>3</v>
      </c>
      <c r="H39" s="573">
        <f t="shared" si="4"/>
        <v>45392373</v>
      </c>
      <c r="I39" s="129"/>
      <c r="J39" s="431">
        <f t="shared" si="8"/>
        <v>15584715</v>
      </c>
      <c r="K39" s="565">
        <f t="shared" si="10"/>
        <v>15584715</v>
      </c>
      <c r="L39" s="566">
        <v>12</v>
      </c>
      <c r="M39" s="573">
        <f t="shared" si="11"/>
        <v>187016580</v>
      </c>
      <c r="N39" s="129"/>
      <c r="O39" s="536">
        <f t="shared" si="1"/>
        <v>45392373</v>
      </c>
      <c r="P39" s="533">
        <f t="shared" si="2"/>
        <v>187016580</v>
      </c>
      <c r="Q39" s="537">
        <f t="shared" si="7"/>
        <v>232408953</v>
      </c>
    </row>
    <row r="40" spans="1:17" s="363" customFormat="1">
      <c r="B40" s="574" t="s">
        <v>422</v>
      </c>
      <c r="C40" s="567">
        <v>1</v>
      </c>
      <c r="D40" s="567" t="s">
        <v>957</v>
      </c>
      <c r="E40" s="568">
        <f>'14. LAVANDERIA'!M12</f>
        <v>614204</v>
      </c>
      <c r="F40" s="565">
        <f t="shared" si="9"/>
        <v>614204</v>
      </c>
      <c r="G40" s="566">
        <v>3</v>
      </c>
      <c r="H40" s="573">
        <f t="shared" si="4"/>
        <v>1842612</v>
      </c>
      <c r="I40" s="129"/>
      <c r="J40" s="431">
        <f t="shared" si="8"/>
        <v>632630</v>
      </c>
      <c r="K40" s="565">
        <f t="shared" si="10"/>
        <v>632630</v>
      </c>
      <c r="L40" s="566">
        <v>12</v>
      </c>
      <c r="M40" s="573">
        <f t="shared" si="11"/>
        <v>7591560</v>
      </c>
      <c r="N40" s="129"/>
      <c r="O40" s="536">
        <f t="shared" si="1"/>
        <v>1842612</v>
      </c>
      <c r="P40" s="533">
        <f t="shared" si="2"/>
        <v>7591560</v>
      </c>
      <c r="Q40" s="537">
        <f t="shared" si="7"/>
        <v>9434172</v>
      </c>
    </row>
    <row r="41" spans="1:17" s="363" customFormat="1">
      <c r="B41" s="574" t="s">
        <v>434</v>
      </c>
      <c r="C41" s="567">
        <v>1</v>
      </c>
      <c r="D41" s="567" t="s">
        <v>957</v>
      </c>
      <c r="E41" s="568">
        <f>'13. ASEO INSTITUCIONAL'!M35</f>
        <v>2344900</v>
      </c>
      <c r="F41" s="565">
        <f t="shared" si="9"/>
        <v>2344900</v>
      </c>
      <c r="G41" s="566">
        <v>3</v>
      </c>
      <c r="H41" s="573">
        <f t="shared" si="4"/>
        <v>7034700</v>
      </c>
      <c r="I41" s="129"/>
      <c r="J41" s="431">
        <f t="shared" si="8"/>
        <v>2415247</v>
      </c>
      <c r="K41" s="565">
        <f t="shared" si="10"/>
        <v>2415247</v>
      </c>
      <c r="L41" s="566">
        <v>12</v>
      </c>
      <c r="M41" s="573">
        <f t="shared" si="11"/>
        <v>28982964</v>
      </c>
      <c r="N41" s="129"/>
      <c r="O41" s="536">
        <f t="shared" si="1"/>
        <v>7034700</v>
      </c>
      <c r="P41" s="533">
        <f t="shared" si="2"/>
        <v>28982964</v>
      </c>
      <c r="Q41" s="537">
        <f t="shared" si="7"/>
        <v>36017664</v>
      </c>
    </row>
    <row r="42" spans="1:17" s="364" customFormat="1" ht="25.5">
      <c r="B42" s="575" t="s">
        <v>982</v>
      </c>
      <c r="C42" s="569">
        <v>1</v>
      </c>
      <c r="D42" s="191" t="s">
        <v>983</v>
      </c>
      <c r="E42" s="570">
        <f>SUM(E43:E45)</f>
        <v>27983492</v>
      </c>
      <c r="F42" s="570">
        <f>SUM(F43:F45)</f>
        <v>27983492</v>
      </c>
      <c r="G42" s="567"/>
      <c r="H42" s="576">
        <f>SUM(H43:H45)</f>
        <v>83950476</v>
      </c>
      <c r="I42" s="545"/>
      <c r="J42" s="546">
        <f>SUM(J43:J45)</f>
        <v>28822997</v>
      </c>
      <c r="K42" s="544">
        <f t="shared" ref="K42:M42" si="12">SUM(K43:K45)</f>
        <v>28822997</v>
      </c>
      <c r="L42" s="424"/>
      <c r="M42" s="547">
        <f t="shared" si="12"/>
        <v>345875964</v>
      </c>
      <c r="N42" s="545"/>
      <c r="O42" s="541">
        <f t="shared" si="1"/>
        <v>83950476</v>
      </c>
      <c r="P42" s="542">
        <f t="shared" si="2"/>
        <v>345875964</v>
      </c>
      <c r="Q42" s="543">
        <f t="shared" si="7"/>
        <v>429826440</v>
      </c>
    </row>
    <row r="43" spans="1:17">
      <c r="B43" s="577" t="s">
        <v>493</v>
      </c>
      <c r="C43" s="430">
        <v>1</v>
      </c>
      <c r="D43" s="564" t="s">
        <v>957</v>
      </c>
      <c r="E43" s="568">
        <f>'7. TALLERES Y PAPELERIA'!M43</f>
        <v>5581342</v>
      </c>
      <c r="F43" s="565">
        <f t="shared" ref="F43" si="13">ROUND(E43*$C43,0)</f>
        <v>5581342</v>
      </c>
      <c r="G43" s="566">
        <v>3</v>
      </c>
      <c r="H43" s="573">
        <f t="shared" si="4"/>
        <v>16744026</v>
      </c>
      <c r="J43" s="431">
        <f t="shared" ref="J43:J49" si="14">ROUND(E43*(1+$Q$2),0)</f>
        <v>5748782</v>
      </c>
      <c r="K43" s="565">
        <f t="shared" ref="K43:K49" si="15">ROUND(J43*$C43,0)</f>
        <v>5748782</v>
      </c>
      <c r="L43" s="566">
        <v>12</v>
      </c>
      <c r="M43" s="573">
        <f t="shared" ref="M43:M49" si="16">ROUND(K43*L43,0)</f>
        <v>68985384</v>
      </c>
      <c r="O43" s="536">
        <f t="shared" si="1"/>
        <v>16744026</v>
      </c>
      <c r="P43" s="533">
        <f t="shared" si="2"/>
        <v>68985384</v>
      </c>
      <c r="Q43" s="537">
        <f t="shared" si="7"/>
        <v>85729410</v>
      </c>
    </row>
    <row r="44" spans="1:17">
      <c r="B44" s="577" t="s">
        <v>623</v>
      </c>
      <c r="C44" s="430">
        <v>1</v>
      </c>
      <c r="D44" s="564" t="s">
        <v>957</v>
      </c>
      <c r="E44" s="568">
        <f>'8. RECREO DEPORTIVAS'!M32</f>
        <v>717662</v>
      </c>
      <c r="F44" s="565">
        <f t="shared" ref="F44" si="17">ROUND(E44*$C44,0)</f>
        <v>717662</v>
      </c>
      <c r="G44" s="566">
        <v>3</v>
      </c>
      <c r="H44" s="573">
        <f t="shared" si="4"/>
        <v>2152986</v>
      </c>
      <c r="J44" s="431">
        <f t="shared" si="14"/>
        <v>739192</v>
      </c>
      <c r="K44" s="565">
        <f t="shared" si="15"/>
        <v>739192</v>
      </c>
      <c r="L44" s="566">
        <v>12</v>
      </c>
      <c r="M44" s="573">
        <f t="shared" si="16"/>
        <v>8870304</v>
      </c>
      <c r="O44" s="536">
        <f t="shared" si="1"/>
        <v>2152986</v>
      </c>
      <c r="P44" s="533">
        <f t="shared" si="2"/>
        <v>8870304</v>
      </c>
      <c r="Q44" s="537">
        <f t="shared" si="7"/>
        <v>11023290</v>
      </c>
    </row>
    <row r="45" spans="1:17">
      <c r="B45" s="577" t="s">
        <v>984</v>
      </c>
      <c r="C45" s="430">
        <v>1</v>
      </c>
      <c r="D45" s="564" t="s">
        <v>957</v>
      </c>
      <c r="E45" s="568">
        <f>'9. TALLER AGRICOLA'!N64</f>
        <v>21684488</v>
      </c>
      <c r="F45" s="565">
        <f t="shared" ref="F45" si="18">ROUND(E45*$C45,0)</f>
        <v>21684488</v>
      </c>
      <c r="G45" s="566">
        <v>3</v>
      </c>
      <c r="H45" s="573">
        <f t="shared" si="4"/>
        <v>65053464</v>
      </c>
      <c r="J45" s="431">
        <f t="shared" si="14"/>
        <v>22335023</v>
      </c>
      <c r="K45" s="565">
        <f t="shared" si="15"/>
        <v>22335023</v>
      </c>
      <c r="L45" s="566">
        <v>12</v>
      </c>
      <c r="M45" s="573">
        <f t="shared" si="16"/>
        <v>268020276</v>
      </c>
      <c r="O45" s="536">
        <f t="shared" si="1"/>
        <v>65053464</v>
      </c>
      <c r="P45" s="533">
        <f t="shared" si="2"/>
        <v>268020276</v>
      </c>
      <c r="Q45" s="537">
        <f t="shared" si="7"/>
        <v>333073740</v>
      </c>
    </row>
    <row r="46" spans="1:17" s="363" customFormat="1">
      <c r="B46" s="574" t="s">
        <v>985</v>
      </c>
      <c r="C46" s="567">
        <v>1</v>
      </c>
      <c r="D46" s="567" t="s">
        <v>957</v>
      </c>
      <c r="E46" s="568">
        <f>'12. Comp Gestion Documental'!M20</f>
        <v>954121</v>
      </c>
      <c r="F46" s="565">
        <f t="shared" ref="F46" si="19">ROUND(E46*$C46,0)</f>
        <v>954121</v>
      </c>
      <c r="G46" s="566">
        <v>3</v>
      </c>
      <c r="H46" s="573">
        <f t="shared" si="4"/>
        <v>2862363</v>
      </c>
      <c r="I46" s="129"/>
      <c r="J46" s="431">
        <f t="shared" si="14"/>
        <v>982745</v>
      </c>
      <c r="K46" s="565">
        <f t="shared" si="15"/>
        <v>982745</v>
      </c>
      <c r="L46" s="566">
        <v>12</v>
      </c>
      <c r="M46" s="573">
        <f t="shared" si="16"/>
        <v>11792940</v>
      </c>
      <c r="N46" s="129"/>
      <c r="O46" s="536">
        <f t="shared" si="1"/>
        <v>2862363</v>
      </c>
      <c r="P46" s="533">
        <f t="shared" si="2"/>
        <v>11792940</v>
      </c>
      <c r="Q46" s="537">
        <f t="shared" si="7"/>
        <v>14655303</v>
      </c>
    </row>
    <row r="47" spans="1:17" s="363" customFormat="1">
      <c r="B47" s="574" t="s">
        <v>986</v>
      </c>
      <c r="C47" s="567">
        <v>1</v>
      </c>
      <c r="D47" s="567" t="s">
        <v>957</v>
      </c>
      <c r="E47" s="568">
        <f>'16, Piezas comunic. y de difus'!M7</f>
        <v>21560</v>
      </c>
      <c r="F47" s="565">
        <f t="shared" ref="F47" si="20">ROUND(E47*$C47,0)</f>
        <v>21560</v>
      </c>
      <c r="G47" s="566">
        <v>3</v>
      </c>
      <c r="H47" s="573">
        <f t="shared" si="4"/>
        <v>64680</v>
      </c>
      <c r="I47" s="129"/>
      <c r="J47" s="431">
        <f t="shared" si="14"/>
        <v>22207</v>
      </c>
      <c r="K47" s="565">
        <f t="shared" si="15"/>
        <v>22207</v>
      </c>
      <c r="L47" s="566">
        <v>12</v>
      </c>
      <c r="M47" s="573">
        <f t="shared" si="16"/>
        <v>266484</v>
      </c>
      <c r="N47" s="129"/>
      <c r="O47" s="536">
        <f t="shared" si="1"/>
        <v>64680</v>
      </c>
      <c r="P47" s="533">
        <f t="shared" si="2"/>
        <v>266484</v>
      </c>
      <c r="Q47" s="537">
        <f t="shared" si="7"/>
        <v>331164</v>
      </c>
    </row>
    <row r="48" spans="1:17" s="363" customFormat="1">
      <c r="B48" s="578" t="s">
        <v>987</v>
      </c>
      <c r="C48" s="225">
        <v>1</v>
      </c>
      <c r="D48" s="567" t="s">
        <v>957</v>
      </c>
      <c r="E48" s="568">
        <f>'15. Rec, mant y serv Publicos'!E6</f>
        <v>54807809</v>
      </c>
      <c r="F48" s="565">
        <f t="shared" ref="F48" si="21">ROUND(E48*$C48,0)</f>
        <v>54807809</v>
      </c>
      <c r="G48" s="566">
        <v>3</v>
      </c>
      <c r="H48" s="573">
        <f t="shared" si="4"/>
        <v>164423427</v>
      </c>
      <c r="I48" s="129"/>
      <c r="J48" s="431">
        <f t="shared" si="14"/>
        <v>56452043</v>
      </c>
      <c r="K48" s="565">
        <f t="shared" si="15"/>
        <v>56452043</v>
      </c>
      <c r="L48" s="566">
        <v>12</v>
      </c>
      <c r="M48" s="573">
        <f t="shared" si="16"/>
        <v>677424516</v>
      </c>
      <c r="N48" s="129"/>
      <c r="O48" s="536">
        <f t="shared" si="1"/>
        <v>164423427</v>
      </c>
      <c r="P48" s="533">
        <f t="shared" si="2"/>
        <v>677424516</v>
      </c>
      <c r="Q48" s="537">
        <f t="shared" si="7"/>
        <v>841847943</v>
      </c>
    </row>
    <row r="49" spans="2:17" s="363" customFormat="1">
      <c r="B49" s="578" t="s">
        <v>988</v>
      </c>
      <c r="C49" s="225">
        <v>1</v>
      </c>
      <c r="D49" s="567" t="s">
        <v>957</v>
      </c>
      <c r="E49" s="568">
        <f>'15. Rec, mant y serv Publicos'!E8</f>
        <v>12058701</v>
      </c>
      <c r="F49" s="565">
        <f t="shared" ref="F49" si="22">ROUND(E49*$C49,0)</f>
        <v>12058701</v>
      </c>
      <c r="G49" s="566">
        <v>3</v>
      </c>
      <c r="H49" s="573">
        <f t="shared" si="4"/>
        <v>36176103</v>
      </c>
      <c r="I49" s="129"/>
      <c r="J49" s="431">
        <f t="shared" si="14"/>
        <v>12420462</v>
      </c>
      <c r="K49" s="565">
        <f t="shared" si="15"/>
        <v>12420462</v>
      </c>
      <c r="L49" s="566">
        <v>12</v>
      </c>
      <c r="M49" s="573">
        <f t="shared" si="16"/>
        <v>149045544</v>
      </c>
      <c r="N49" s="129"/>
      <c r="O49" s="536">
        <f t="shared" si="1"/>
        <v>36176103</v>
      </c>
      <c r="P49" s="533">
        <f t="shared" si="2"/>
        <v>149045544</v>
      </c>
      <c r="Q49" s="537">
        <f t="shared" si="7"/>
        <v>185221647</v>
      </c>
    </row>
    <row r="50" spans="2:17" ht="13.5" thickBot="1">
      <c r="B50" s="579" t="s">
        <v>989</v>
      </c>
      <c r="C50" s="580"/>
      <c r="D50" s="581"/>
      <c r="E50" s="540">
        <f>E14+E34+E35+E36+E37+E38+E39+E40+E41+E42+E46+E47+E48+E49</f>
        <v>215820680</v>
      </c>
      <c r="F50" s="539"/>
      <c r="G50" s="539"/>
      <c r="H50" s="540">
        <f>H14+H34+H35+H36+H37+H38+H39+H40+H41+H42+H46+H47+H48+H49</f>
        <v>1096895526</v>
      </c>
      <c r="I50" s="363"/>
      <c r="J50" s="540">
        <f>J14+J34+J35+J36+J37+J38+J39+J40+J41+J42+J46+J47+J48+J49</f>
        <v>224805386</v>
      </c>
      <c r="K50" s="427"/>
      <c r="L50" s="427"/>
      <c r="M50" s="426">
        <f>M14+M34+M35+M36+M37+M38+M39+M40+M41+M42+M46+M47+M48+M49</f>
        <v>4608594220</v>
      </c>
      <c r="N50" s="363"/>
      <c r="O50" s="538">
        <f>O14+O34+O35+O36+O37+O38+O39+O40+O41+O42+O46+O47+O48+O49</f>
        <v>1096895526</v>
      </c>
      <c r="P50" s="539">
        <f>P14+P34+P35+P36+P37+P38+P39+P40+P41+P42+P46+P47+P48+P49</f>
        <v>4608594220</v>
      </c>
      <c r="Q50" s="540">
        <f>Q14+Q34+Q35+Q36+Q37+Q38+Q39+Q40+Q41+Q42+Q46+Q47+Q48+Q49</f>
        <v>5705489746</v>
      </c>
    </row>
    <row r="51" spans="2:17">
      <c r="B51" s="672" t="s">
        <v>990</v>
      </c>
      <c r="C51" s="673"/>
      <c r="D51" s="673"/>
      <c r="E51" s="673"/>
      <c r="F51" s="673"/>
      <c r="G51" s="673"/>
      <c r="H51" s="674"/>
      <c r="J51" s="680" t="s">
        <v>990</v>
      </c>
      <c r="K51" s="681"/>
      <c r="L51" s="681"/>
      <c r="M51" s="682"/>
      <c r="O51" s="666" t="s">
        <v>990</v>
      </c>
      <c r="P51" s="667"/>
      <c r="Q51" s="668"/>
    </row>
    <row r="52" spans="2:17" s="363" customFormat="1">
      <c r="B52" s="553" t="s">
        <v>991</v>
      </c>
      <c r="C52" s="428">
        <v>1</v>
      </c>
      <c r="D52" s="634" t="s">
        <v>992</v>
      </c>
      <c r="E52" s="366">
        <f>'15. Rec, mant y serv Publicos'!F21</f>
        <v>471785</v>
      </c>
      <c r="F52" s="565">
        <f>E52</f>
        <v>471785</v>
      </c>
      <c r="G52" s="566">
        <v>92</v>
      </c>
      <c r="H52" s="573">
        <f>ROUND(E52*G52,0)</f>
        <v>43404220</v>
      </c>
      <c r="I52" s="129"/>
      <c r="J52" s="431">
        <f>ROUND(E52*(1+$Q$2),0)</f>
        <v>485939</v>
      </c>
      <c r="K52" s="565">
        <f>J52</f>
        <v>485939</v>
      </c>
      <c r="L52" s="566">
        <v>365</v>
      </c>
      <c r="M52" s="573">
        <f>ROUND(J52*L52,0)</f>
        <v>177367735</v>
      </c>
      <c r="N52" s="129"/>
      <c r="O52" s="536">
        <f>H52</f>
        <v>43404220</v>
      </c>
      <c r="P52" s="533">
        <f t="shared" ref="P52:P55" si="23">M52</f>
        <v>177367735</v>
      </c>
      <c r="Q52" s="537">
        <f t="shared" ref="Q52:Q55" si="24">O52+P52</f>
        <v>220771955</v>
      </c>
    </row>
    <row r="53" spans="2:17">
      <c r="B53" s="554" t="s">
        <v>993</v>
      </c>
      <c r="C53" s="428">
        <v>1</v>
      </c>
      <c r="D53" s="634" t="s">
        <v>992</v>
      </c>
      <c r="E53" s="366">
        <f>'11. ASEO PARTICIPANTES'!N30</f>
        <v>863913</v>
      </c>
      <c r="F53" s="565">
        <f t="shared" ref="F53:F55" si="25">E53</f>
        <v>863913</v>
      </c>
      <c r="G53" s="566">
        <v>92</v>
      </c>
      <c r="H53" s="573">
        <f t="shared" ref="H53:H55" si="26">ROUND(E53*G53,0)</f>
        <v>79479996</v>
      </c>
      <c r="J53" s="431">
        <f>ROUND(E53*(1+$Q$2),0)</f>
        <v>889830</v>
      </c>
      <c r="K53" s="565">
        <f t="shared" ref="K53:K55" si="27">J53</f>
        <v>889830</v>
      </c>
      <c r="L53" s="566">
        <v>365</v>
      </c>
      <c r="M53" s="573">
        <f t="shared" ref="M53:M55" si="28">ROUND(J53*L53,0)</f>
        <v>324787950</v>
      </c>
      <c r="O53" s="536">
        <f>H53</f>
        <v>79479996</v>
      </c>
      <c r="P53" s="533">
        <f t="shared" si="23"/>
        <v>324787950</v>
      </c>
      <c r="Q53" s="537">
        <f t="shared" si="24"/>
        <v>404267946</v>
      </c>
    </row>
    <row r="54" spans="2:17">
      <c r="B54" s="554" t="s">
        <v>994</v>
      </c>
      <c r="C54" s="428">
        <v>1</v>
      </c>
      <c r="D54" s="634" t="s">
        <v>992</v>
      </c>
      <c r="E54" s="366">
        <f>'10. VESTUARIO PARTICIPANTES'!N26</f>
        <v>1182853</v>
      </c>
      <c r="F54" s="565">
        <f t="shared" si="25"/>
        <v>1182853</v>
      </c>
      <c r="G54" s="566">
        <v>92</v>
      </c>
      <c r="H54" s="573">
        <f t="shared" si="26"/>
        <v>108822476</v>
      </c>
      <c r="J54" s="431">
        <f>ROUND(E54*(1+$Q$2),0)</f>
        <v>1218339</v>
      </c>
      <c r="K54" s="565">
        <f t="shared" si="27"/>
        <v>1218339</v>
      </c>
      <c r="L54" s="566">
        <v>365</v>
      </c>
      <c r="M54" s="573">
        <f t="shared" si="28"/>
        <v>444693735</v>
      </c>
      <c r="O54" s="536">
        <f>H54</f>
        <v>108822476</v>
      </c>
      <c r="P54" s="533">
        <f t="shared" si="23"/>
        <v>444693735</v>
      </c>
      <c r="Q54" s="537">
        <f t="shared" si="24"/>
        <v>553516211</v>
      </c>
    </row>
    <row r="55" spans="2:17">
      <c r="B55" s="554" t="s">
        <v>915</v>
      </c>
      <c r="C55" s="428">
        <v>1</v>
      </c>
      <c r="D55" s="634" t="s">
        <v>992</v>
      </c>
      <c r="E55" s="366">
        <f>'17. ALIMENTACION PARTICIPANTES'!I134</f>
        <v>3527447</v>
      </c>
      <c r="F55" s="565">
        <f t="shared" si="25"/>
        <v>3527447</v>
      </c>
      <c r="G55" s="566">
        <v>92</v>
      </c>
      <c r="H55" s="573">
        <f t="shared" si="26"/>
        <v>324525124</v>
      </c>
      <c r="J55" s="431">
        <f>ROUND(E55*(1+$Q$2),0)</f>
        <v>3633270</v>
      </c>
      <c r="K55" s="565">
        <f t="shared" si="27"/>
        <v>3633270</v>
      </c>
      <c r="L55" s="566">
        <v>365</v>
      </c>
      <c r="M55" s="573">
        <f t="shared" si="28"/>
        <v>1326143550</v>
      </c>
      <c r="O55" s="536">
        <f>H55</f>
        <v>324525124</v>
      </c>
      <c r="P55" s="533">
        <f t="shared" si="23"/>
        <v>1326143550</v>
      </c>
      <c r="Q55" s="537">
        <f t="shared" si="24"/>
        <v>1650668674</v>
      </c>
    </row>
    <row r="56" spans="2:17" ht="13.5" thickBot="1">
      <c r="B56" s="678" t="s">
        <v>995</v>
      </c>
      <c r="C56" s="679"/>
      <c r="D56" s="555"/>
      <c r="E56" s="426">
        <f>SUM(E52:E55)</f>
        <v>6045998</v>
      </c>
      <c r="F56" s="427"/>
      <c r="G56" s="427"/>
      <c r="H56" s="426">
        <f>SUM(H52:H55)</f>
        <v>556231816</v>
      </c>
      <c r="I56" s="363"/>
      <c r="J56" s="426">
        <f>SUM(J52:J55)</f>
        <v>6227378</v>
      </c>
      <c r="K56" s="427"/>
      <c r="L56" s="427"/>
      <c r="M56" s="426">
        <f>SUM(M52:M55)</f>
        <v>2272992970</v>
      </c>
      <c r="N56" s="363"/>
      <c r="O56" s="538">
        <f>SUM(O52:O55)</f>
        <v>556231816</v>
      </c>
      <c r="P56" s="539">
        <f>SUM(P52:P55)</f>
        <v>2272992970</v>
      </c>
      <c r="Q56" s="540">
        <f>SUM(Q52:Q55)</f>
        <v>2829224786</v>
      </c>
    </row>
    <row r="57" spans="2:17" ht="13.5" thickBot="1">
      <c r="B57" s="552"/>
      <c r="C57" s="552"/>
      <c r="D57" s="552"/>
      <c r="E57" s="586"/>
      <c r="F57" s="586"/>
      <c r="G57" s="586"/>
      <c r="H57" s="586"/>
      <c r="J57" s="586"/>
      <c r="K57" s="589"/>
      <c r="L57" s="589"/>
      <c r="M57" s="590"/>
    </row>
    <row r="58" spans="2:17" ht="15" customHeight="1" thickBot="1">
      <c r="B58" s="669" t="s">
        <v>996</v>
      </c>
      <c r="C58" s="670"/>
      <c r="D58" s="671"/>
      <c r="E58" s="588">
        <f>E50+E56</f>
        <v>221866678</v>
      </c>
      <c r="F58" s="587"/>
      <c r="G58" s="587"/>
      <c r="H58" s="588">
        <f>H50+H56</f>
        <v>1653127342</v>
      </c>
      <c r="J58" s="588">
        <f>J50+J56</f>
        <v>231032764</v>
      </c>
      <c r="K58" s="587"/>
      <c r="L58" s="587"/>
      <c r="M58" s="588">
        <f t="shared" ref="M58" si="29">M50+M56</f>
        <v>6881587190</v>
      </c>
      <c r="O58" s="583">
        <f t="shared" ref="O58:Q58" si="30">O50+O56</f>
        <v>1653127342</v>
      </c>
      <c r="P58" s="584">
        <f t="shared" si="30"/>
        <v>6881587190</v>
      </c>
      <c r="Q58" s="585">
        <f t="shared" si="30"/>
        <v>8534714532</v>
      </c>
    </row>
    <row r="61" spans="2:17" ht="15.75">
      <c r="B61" s="664" t="s">
        <v>997</v>
      </c>
      <c r="C61" s="664"/>
      <c r="D61" s="664"/>
      <c r="E61" s="664"/>
      <c r="F61" s="664"/>
      <c r="G61" s="664"/>
      <c r="H61" s="664"/>
      <c r="I61" s="664"/>
      <c r="J61" s="664"/>
      <c r="K61" s="664"/>
      <c r="L61" s="664"/>
      <c r="M61" s="664"/>
    </row>
    <row r="62" spans="2:17" ht="51" customHeight="1">
      <c r="B62" s="665" t="s">
        <v>998</v>
      </c>
      <c r="C62" s="665"/>
      <c r="D62" s="665"/>
      <c r="E62" s="665"/>
      <c r="F62" s="665"/>
      <c r="G62" s="665"/>
      <c r="H62" s="665"/>
      <c r="I62" s="665"/>
      <c r="J62" s="665"/>
      <c r="K62" s="665"/>
      <c r="L62" s="665"/>
      <c r="M62" s="665"/>
      <c r="Q62" s="367"/>
    </row>
    <row r="63" spans="2:17" ht="60.75" customHeight="1">
      <c r="B63" s="664" t="s">
        <v>999</v>
      </c>
      <c r="C63" s="664"/>
      <c r="D63" s="664"/>
      <c r="E63" s="664"/>
      <c r="F63" s="664"/>
      <c r="G63" s="664"/>
      <c r="H63" s="664"/>
      <c r="I63" s="664"/>
      <c r="J63" s="664"/>
      <c r="K63" s="664"/>
      <c r="L63" s="664"/>
      <c r="M63" s="664"/>
      <c r="Q63" s="620"/>
    </row>
    <row r="64" spans="2:17" ht="60.75" customHeight="1">
      <c r="B64" s="664" t="s">
        <v>1000</v>
      </c>
      <c r="C64" s="664"/>
      <c r="D64" s="664"/>
      <c r="E64" s="664"/>
      <c r="F64" s="664"/>
      <c r="G64" s="664"/>
      <c r="H64" s="664"/>
      <c r="I64" s="664"/>
      <c r="J64" s="664"/>
      <c r="K64" s="664"/>
      <c r="L64" s="664"/>
      <c r="M64" s="664"/>
      <c r="Q64" s="367"/>
    </row>
    <row r="65" spans="2:17" ht="60.75" customHeight="1">
      <c r="B65" s="664" t="s">
        <v>1001</v>
      </c>
      <c r="C65" s="664"/>
      <c r="D65" s="664"/>
      <c r="E65" s="664"/>
      <c r="F65" s="664"/>
      <c r="G65" s="664"/>
      <c r="H65" s="664"/>
      <c r="I65" s="664"/>
      <c r="J65" s="664"/>
      <c r="K65" s="664"/>
      <c r="L65" s="664"/>
      <c r="M65" s="664"/>
      <c r="Q65" s="620"/>
    </row>
    <row r="66" spans="2:17" ht="78.75" customHeight="1">
      <c r="B66" s="664" t="s">
        <v>1002</v>
      </c>
      <c r="C66" s="664"/>
      <c r="D66" s="664"/>
      <c r="E66" s="664"/>
      <c r="F66" s="664"/>
      <c r="G66" s="664"/>
      <c r="H66" s="664"/>
      <c r="I66" s="664"/>
      <c r="J66" s="664"/>
      <c r="K66" s="664"/>
      <c r="L66" s="664"/>
      <c r="M66" s="664"/>
    </row>
    <row r="67" spans="2:17" ht="60.75" customHeight="1">
      <c r="B67" s="665" t="s">
        <v>1003</v>
      </c>
      <c r="C67" s="665"/>
      <c r="D67" s="665"/>
      <c r="E67" s="665"/>
      <c r="F67" s="665"/>
      <c r="G67" s="665"/>
      <c r="H67" s="665"/>
      <c r="I67" s="665"/>
      <c r="J67" s="665"/>
      <c r="K67" s="665"/>
      <c r="L67" s="665"/>
      <c r="M67" s="665"/>
    </row>
    <row r="68" spans="2:17" ht="60.75" customHeight="1">
      <c r="B68" s="664" t="s">
        <v>1004</v>
      </c>
      <c r="C68" s="664"/>
      <c r="D68" s="664"/>
      <c r="E68" s="664"/>
      <c r="F68" s="664"/>
      <c r="G68" s="664"/>
      <c r="H68" s="664"/>
      <c r="I68" s="664"/>
      <c r="J68" s="664"/>
      <c r="K68" s="664"/>
      <c r="L68" s="664"/>
      <c r="M68" s="664"/>
    </row>
    <row r="69" spans="2:17" ht="60.75" customHeight="1">
      <c r="B69" s="664" t="s">
        <v>1005</v>
      </c>
      <c r="C69" s="664"/>
      <c r="D69" s="664"/>
      <c r="E69" s="664"/>
      <c r="F69" s="664"/>
      <c r="G69" s="664"/>
      <c r="H69" s="664"/>
      <c r="I69" s="664"/>
      <c r="J69" s="664"/>
      <c r="K69" s="664"/>
      <c r="L69" s="664"/>
      <c r="M69" s="664"/>
    </row>
    <row r="70" spans="2:17" ht="60.75" customHeight="1">
      <c r="B70" s="664" t="s">
        <v>1006</v>
      </c>
      <c r="C70" s="664"/>
      <c r="D70" s="664"/>
      <c r="E70" s="664"/>
      <c r="F70" s="664"/>
      <c r="G70" s="664"/>
      <c r="H70" s="664"/>
      <c r="I70" s="664"/>
      <c r="J70" s="664"/>
      <c r="K70" s="664"/>
      <c r="L70" s="664"/>
      <c r="M70" s="664"/>
    </row>
    <row r="71" spans="2:17" ht="60.75" customHeight="1">
      <c r="B71" s="664" t="s">
        <v>1007</v>
      </c>
      <c r="C71" s="664"/>
      <c r="D71" s="664"/>
      <c r="E71" s="664"/>
      <c r="F71" s="664"/>
      <c r="G71" s="664"/>
      <c r="H71" s="664"/>
      <c r="I71" s="664"/>
      <c r="J71" s="664"/>
      <c r="K71" s="664"/>
      <c r="L71" s="664"/>
      <c r="M71" s="664"/>
    </row>
    <row r="72" spans="2:17" ht="60.75" customHeight="1">
      <c r="B72" s="664" t="s">
        <v>1008</v>
      </c>
      <c r="C72" s="664"/>
      <c r="D72" s="664"/>
      <c r="E72" s="664"/>
      <c r="F72" s="664"/>
      <c r="G72" s="664"/>
      <c r="H72" s="664"/>
      <c r="I72" s="664"/>
      <c r="J72" s="664"/>
      <c r="K72" s="664"/>
      <c r="L72" s="664"/>
      <c r="M72" s="664"/>
    </row>
    <row r="73" spans="2:17" ht="60.75" customHeight="1">
      <c r="B73" s="664" t="s">
        <v>1009</v>
      </c>
      <c r="C73" s="664"/>
      <c r="D73" s="664"/>
      <c r="E73" s="664"/>
      <c r="F73" s="664"/>
      <c r="G73" s="664"/>
      <c r="H73" s="664"/>
      <c r="I73" s="664"/>
      <c r="J73" s="664"/>
      <c r="K73" s="664"/>
      <c r="L73" s="664"/>
      <c r="M73" s="664"/>
    </row>
    <row r="74" spans="2:17" ht="60.75" customHeight="1">
      <c r="B74" s="664" t="s">
        <v>1010</v>
      </c>
      <c r="C74" s="664" t="s">
        <v>1011</v>
      </c>
      <c r="D74" s="664"/>
      <c r="E74" s="664"/>
      <c r="F74" s="664"/>
      <c r="G74" s="664"/>
      <c r="H74" s="664"/>
      <c r="I74" s="664"/>
      <c r="J74" s="664"/>
      <c r="K74" s="664"/>
      <c r="L74" s="664"/>
      <c r="M74" s="664"/>
    </row>
    <row r="75" spans="2:17" ht="60.75" customHeight="1">
      <c r="B75" s="664" t="s">
        <v>1012</v>
      </c>
      <c r="C75" s="664"/>
      <c r="D75" s="664"/>
      <c r="E75" s="664"/>
      <c r="F75" s="664"/>
      <c r="G75" s="664"/>
      <c r="H75" s="664"/>
      <c r="I75" s="664"/>
      <c r="J75" s="664"/>
      <c r="K75" s="664"/>
      <c r="L75" s="664"/>
      <c r="M75" s="664"/>
    </row>
    <row r="76" spans="2:17" ht="60.75" customHeight="1">
      <c r="B76" s="664" t="s">
        <v>1013</v>
      </c>
      <c r="C76" s="664"/>
      <c r="D76" s="664"/>
      <c r="E76" s="664"/>
      <c r="F76" s="664"/>
      <c r="G76" s="664"/>
      <c r="H76" s="664"/>
      <c r="I76" s="664"/>
      <c r="J76" s="664"/>
      <c r="K76" s="664"/>
      <c r="L76" s="664"/>
      <c r="M76" s="664"/>
    </row>
    <row r="77" spans="2:17" ht="60.75" customHeight="1">
      <c r="B77" s="664" t="s">
        <v>1014</v>
      </c>
      <c r="C77" s="664"/>
      <c r="D77" s="664"/>
      <c r="E77" s="664"/>
      <c r="F77" s="664"/>
      <c r="G77" s="664"/>
      <c r="H77" s="664"/>
      <c r="I77" s="664"/>
      <c r="J77" s="664"/>
      <c r="K77" s="664"/>
      <c r="L77" s="664"/>
      <c r="M77" s="664"/>
    </row>
    <row r="78" spans="2:17" ht="60.75" customHeight="1">
      <c r="B78" s="664" t="s">
        <v>1015</v>
      </c>
      <c r="C78" s="664"/>
      <c r="D78" s="664"/>
      <c r="E78" s="664"/>
      <c r="F78" s="664"/>
      <c r="G78" s="664"/>
      <c r="H78" s="664"/>
      <c r="I78" s="664"/>
      <c r="J78" s="664"/>
      <c r="K78" s="664"/>
      <c r="L78" s="664"/>
      <c r="M78" s="664"/>
    </row>
    <row r="79" spans="2:17" ht="51" customHeight="1">
      <c r="B79" s="664" t="s">
        <v>1016</v>
      </c>
      <c r="C79" s="664"/>
      <c r="D79" s="664"/>
      <c r="E79" s="664"/>
      <c r="F79" s="664"/>
      <c r="G79" s="664"/>
      <c r="H79" s="664"/>
      <c r="I79" s="664"/>
      <c r="J79" s="664"/>
      <c r="K79" s="664"/>
      <c r="L79" s="664"/>
      <c r="M79" s="664"/>
    </row>
    <row r="80" spans="2:17" ht="51" customHeight="1">
      <c r="B80" s="664" t="s">
        <v>1017</v>
      </c>
      <c r="C80" s="664"/>
      <c r="D80" s="664"/>
      <c r="E80" s="664"/>
      <c r="F80" s="664"/>
      <c r="G80" s="664"/>
      <c r="H80" s="664"/>
      <c r="I80" s="664"/>
      <c r="J80" s="664"/>
      <c r="K80" s="664"/>
      <c r="L80" s="664"/>
      <c r="M80" s="664"/>
    </row>
    <row r="81" spans="2:13" ht="51" customHeight="1">
      <c r="B81" s="664" t="s">
        <v>1018</v>
      </c>
      <c r="C81" s="664"/>
      <c r="D81" s="664"/>
      <c r="E81" s="664"/>
      <c r="F81" s="664"/>
      <c r="G81" s="664"/>
      <c r="H81" s="664"/>
      <c r="I81" s="664"/>
      <c r="J81" s="664"/>
      <c r="K81" s="664"/>
      <c r="L81" s="664"/>
      <c r="M81" s="664"/>
    </row>
    <row r="82" spans="2:13" ht="51" customHeight="1">
      <c r="B82" s="664" t="s">
        <v>1019</v>
      </c>
      <c r="C82" s="664"/>
      <c r="D82" s="664"/>
      <c r="E82" s="664"/>
      <c r="F82" s="664"/>
      <c r="G82" s="664"/>
      <c r="H82" s="664"/>
      <c r="I82" s="664"/>
      <c r="J82" s="664"/>
      <c r="K82" s="664"/>
      <c r="L82" s="664"/>
      <c r="M82" s="664"/>
    </row>
    <row r="83" spans="2:13" ht="51" customHeight="1">
      <c r="B83" s="664" t="s">
        <v>1020</v>
      </c>
      <c r="C83" s="664"/>
      <c r="D83" s="664"/>
      <c r="E83" s="664"/>
      <c r="F83" s="664"/>
      <c r="G83" s="664"/>
      <c r="H83" s="664"/>
      <c r="I83" s="664"/>
      <c r="J83" s="664"/>
      <c r="K83" s="664"/>
      <c r="L83" s="664"/>
      <c r="M83" s="664"/>
    </row>
    <row r="84" spans="2:13" ht="51" customHeight="1">
      <c r="B84" s="664" t="s">
        <v>1021</v>
      </c>
      <c r="C84" s="664"/>
      <c r="D84" s="664"/>
      <c r="E84" s="664"/>
      <c r="F84" s="664"/>
      <c r="G84" s="664"/>
      <c r="H84" s="664"/>
      <c r="I84" s="664"/>
      <c r="J84" s="664"/>
      <c r="K84" s="664"/>
      <c r="L84" s="664"/>
      <c r="M84" s="664"/>
    </row>
    <row r="85" spans="2:13" ht="51" customHeight="1">
      <c r="B85" s="664" t="s">
        <v>1022</v>
      </c>
      <c r="C85" s="664"/>
      <c r="D85" s="664"/>
      <c r="E85" s="664"/>
      <c r="F85" s="664"/>
      <c r="G85" s="664"/>
      <c r="H85" s="664"/>
      <c r="I85" s="664"/>
      <c r="J85" s="664"/>
      <c r="K85" s="664"/>
      <c r="L85" s="664"/>
      <c r="M85" s="664"/>
    </row>
    <row r="86" spans="2:13" ht="51" customHeight="1">
      <c r="B86" s="664" t="s">
        <v>1023</v>
      </c>
      <c r="C86" s="664"/>
      <c r="D86" s="664"/>
      <c r="E86" s="664"/>
      <c r="F86" s="664"/>
      <c r="G86" s="664"/>
      <c r="H86" s="664"/>
      <c r="I86" s="664"/>
      <c r="J86" s="664"/>
      <c r="K86" s="664"/>
      <c r="L86" s="664"/>
      <c r="M86" s="664"/>
    </row>
    <row r="87" spans="2:13" ht="27" customHeight="1">
      <c r="B87" s="664" t="s">
        <v>1024</v>
      </c>
      <c r="C87" s="664"/>
      <c r="D87" s="664"/>
      <c r="E87" s="664"/>
      <c r="F87" s="664"/>
      <c r="G87" s="664"/>
      <c r="H87" s="664"/>
      <c r="I87" s="664"/>
      <c r="J87" s="664"/>
      <c r="K87" s="664"/>
      <c r="L87" s="664"/>
      <c r="M87" s="664"/>
    </row>
    <row r="88" spans="2:13" ht="36.75" customHeight="1">
      <c r="B88" s="664" t="s">
        <v>1025</v>
      </c>
      <c r="C88" s="664"/>
      <c r="D88" s="664"/>
      <c r="E88" s="664"/>
      <c r="F88" s="664"/>
      <c r="G88" s="664"/>
      <c r="H88" s="664"/>
      <c r="I88" s="664"/>
      <c r="J88" s="664"/>
      <c r="K88" s="664"/>
      <c r="L88" s="664"/>
      <c r="M88" s="664"/>
    </row>
    <row r="89" spans="2:13" ht="36.75" customHeight="1">
      <c r="B89" s="664" t="s">
        <v>1026</v>
      </c>
      <c r="C89" s="664"/>
      <c r="D89" s="664"/>
      <c r="E89" s="664"/>
      <c r="F89" s="664"/>
      <c r="G89" s="664"/>
      <c r="H89" s="664"/>
      <c r="I89" s="664"/>
      <c r="J89" s="664"/>
      <c r="K89" s="664"/>
      <c r="L89" s="664"/>
      <c r="M89" s="664"/>
    </row>
    <row r="90" spans="2:13" ht="36.75" customHeight="1">
      <c r="B90" s="664" t="s">
        <v>1027</v>
      </c>
      <c r="C90" s="664"/>
      <c r="D90" s="664"/>
      <c r="E90" s="664"/>
      <c r="F90" s="664"/>
      <c r="G90" s="664"/>
      <c r="H90" s="664"/>
      <c r="I90" s="664"/>
      <c r="J90" s="664"/>
      <c r="K90" s="664"/>
      <c r="L90" s="664"/>
      <c r="M90" s="664"/>
    </row>
  </sheetData>
  <mergeCells count="49">
    <mergeCell ref="B86:M86"/>
    <mergeCell ref="B87:M87"/>
    <mergeCell ref="B88:M88"/>
    <mergeCell ref="B89:M89"/>
    <mergeCell ref="B90:M90"/>
    <mergeCell ref="B85:M85"/>
    <mergeCell ref="B74:M74"/>
    <mergeCell ref="B75:M75"/>
    <mergeCell ref="B76:M76"/>
    <mergeCell ref="B77:M77"/>
    <mergeCell ref="B78:M78"/>
    <mergeCell ref="B79:M79"/>
    <mergeCell ref="B80:M80"/>
    <mergeCell ref="B81:M81"/>
    <mergeCell ref="B82:M82"/>
    <mergeCell ref="B83:M83"/>
    <mergeCell ref="B84:M84"/>
    <mergeCell ref="B73:M73"/>
    <mergeCell ref="B62:M62"/>
    <mergeCell ref="B63:M63"/>
    <mergeCell ref="B64:M64"/>
    <mergeCell ref="B65:M65"/>
    <mergeCell ref="B66:M66"/>
    <mergeCell ref="B67:M67"/>
    <mergeCell ref="B68:M68"/>
    <mergeCell ref="B69:M69"/>
    <mergeCell ref="B70:M70"/>
    <mergeCell ref="B71:M71"/>
    <mergeCell ref="B72:M72"/>
    <mergeCell ref="B61:M61"/>
    <mergeCell ref="O9:Q9"/>
    <mergeCell ref="C10:H10"/>
    <mergeCell ref="J10:M10"/>
    <mergeCell ref="O10:Q10"/>
    <mergeCell ref="B13:H13"/>
    <mergeCell ref="J13:M13"/>
    <mergeCell ref="O13:Q13"/>
    <mergeCell ref="C9:H9"/>
    <mergeCell ref="J9:M9"/>
    <mergeCell ref="B51:H51"/>
    <mergeCell ref="J51:M51"/>
    <mergeCell ref="O51:Q51"/>
    <mergeCell ref="B56:C56"/>
    <mergeCell ref="B58:D58"/>
    <mergeCell ref="B1:N1"/>
    <mergeCell ref="B2:N2"/>
    <mergeCell ref="B3:N3"/>
    <mergeCell ref="B4:N4"/>
    <mergeCell ref="B5:N5"/>
  </mergeCells>
  <pageMargins left="0.7" right="0.7" top="0.75" bottom="0.75" header="0.3" footer="0.3"/>
  <pageSetup orientation="portrait"/>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3:H23"/>
  <sheetViews>
    <sheetView workbookViewId="0">
      <selection activeCell="B3" sqref="B3:N3"/>
    </sheetView>
  </sheetViews>
  <sheetFormatPr defaultColWidth="11.42578125" defaultRowHeight="15"/>
  <cols>
    <col min="1" max="1" width="12.28515625" customWidth="1"/>
    <col min="2" max="2" width="15.42578125" bestFit="1" customWidth="1"/>
    <col min="3" max="4" width="16.7109375" bestFit="1" customWidth="1"/>
    <col min="7" max="7" width="19.7109375" hidden="1" customWidth="1"/>
    <col min="8" max="9" width="0" hidden="1" customWidth="1"/>
  </cols>
  <sheetData>
    <row r="3" spans="1:8">
      <c r="A3" s="610" t="s">
        <v>1034</v>
      </c>
    </row>
    <row r="4" spans="1:8">
      <c r="A4" s="610" t="s">
        <v>1035</v>
      </c>
    </row>
    <row r="5" spans="1:8">
      <c r="A5" s="646" t="s">
        <v>1036</v>
      </c>
      <c r="B5" s="646" t="s">
        <v>951</v>
      </c>
      <c r="C5" s="646" t="s">
        <v>1037</v>
      </c>
      <c r="D5" s="646" t="s">
        <v>1038</v>
      </c>
    </row>
    <row r="6" spans="1:8">
      <c r="A6" s="647" t="s">
        <v>1039</v>
      </c>
      <c r="B6" s="648">
        <f>'Est. de costos Lote 1 cupos 130'!O58</f>
        <v>1980777266</v>
      </c>
      <c r="C6" s="648">
        <f>'Est. de costos Lote 1 cupos 130'!P58</f>
        <v>8242347020</v>
      </c>
      <c r="D6" s="648">
        <f>B6+C6</f>
        <v>10223124286</v>
      </c>
      <c r="G6" s="643">
        <v>10223422732</v>
      </c>
      <c r="H6" s="643">
        <f>D6-G6</f>
        <v>-298446</v>
      </c>
    </row>
    <row r="7" spans="1:8">
      <c r="A7" s="647" t="s">
        <v>1040</v>
      </c>
      <c r="B7" s="649">
        <f>B6/1300000</f>
        <v>1523.67482</v>
      </c>
      <c r="C7" s="649">
        <f t="shared" ref="C7:D7" si="0">C6/1300000</f>
        <v>6340.2669384615383</v>
      </c>
      <c r="D7" s="649">
        <f t="shared" si="0"/>
        <v>7863.9417584615385</v>
      </c>
    </row>
    <row r="9" spans="1:8">
      <c r="A9" s="610" t="s">
        <v>1041</v>
      </c>
    </row>
    <row r="10" spans="1:8">
      <c r="A10" s="646" t="s">
        <v>1036</v>
      </c>
      <c r="B10" s="646" t="s">
        <v>951</v>
      </c>
      <c r="C10" s="646" t="s">
        <v>1037</v>
      </c>
      <c r="D10" s="646" t="s">
        <v>1038</v>
      </c>
    </row>
    <row r="11" spans="1:8">
      <c r="A11" s="647" t="s">
        <v>1039</v>
      </c>
      <c r="B11" s="648">
        <f>B6</f>
        <v>1980777266</v>
      </c>
      <c r="C11" s="648">
        <f>C6</f>
        <v>8242347020</v>
      </c>
      <c r="D11" s="648">
        <f>B11+C11</f>
        <v>10223124286</v>
      </c>
      <c r="G11" s="643">
        <v>10223422732</v>
      </c>
      <c r="H11" s="643">
        <f>D11-G11</f>
        <v>-298446</v>
      </c>
    </row>
    <row r="12" spans="1:8">
      <c r="A12" s="647" t="s">
        <v>1040</v>
      </c>
      <c r="B12" s="649">
        <f>B11/1300000</f>
        <v>1523.67482</v>
      </c>
      <c r="C12" s="649">
        <f t="shared" ref="C12" si="1">C11/1300000</f>
        <v>6340.2669384615383</v>
      </c>
      <c r="D12" s="649">
        <f t="shared" ref="D12" si="2">D11/1300000</f>
        <v>7863.9417584615385</v>
      </c>
    </row>
    <row r="14" spans="1:8">
      <c r="A14" s="610" t="s">
        <v>1042</v>
      </c>
    </row>
    <row r="15" spans="1:8">
      <c r="A15" s="646" t="s">
        <v>1036</v>
      </c>
      <c r="B15" s="646" t="s">
        <v>951</v>
      </c>
      <c r="C15" s="646" t="s">
        <v>1037</v>
      </c>
      <c r="D15" s="646" t="s">
        <v>1038</v>
      </c>
    </row>
    <row r="16" spans="1:8">
      <c r="A16" s="647" t="s">
        <v>1039</v>
      </c>
      <c r="B16" s="648">
        <f>'Est. de costos Lote 3 cupos 100'!O58</f>
        <v>1653127342</v>
      </c>
      <c r="C16" s="648">
        <f>'Est. de costos Lote 3 cupos 100'!P58</f>
        <v>6881587190</v>
      </c>
      <c r="D16" s="648">
        <f>B16+C16</f>
        <v>8534714532</v>
      </c>
      <c r="G16" s="643">
        <v>8534953265</v>
      </c>
      <c r="H16" s="643">
        <f>D16-G16</f>
        <v>-238733</v>
      </c>
    </row>
    <row r="17" spans="1:8">
      <c r="A17" s="647" t="s">
        <v>1040</v>
      </c>
      <c r="B17" s="649">
        <f>B16/1300000</f>
        <v>1271.6364169230769</v>
      </c>
      <c r="C17" s="649">
        <f t="shared" ref="C17:D17" si="3">C16/1300000</f>
        <v>5293.5286076923076</v>
      </c>
      <c r="D17" s="649">
        <f t="shared" si="3"/>
        <v>6565.1650246153849</v>
      </c>
    </row>
    <row r="20" spans="1:8">
      <c r="A20" s="610" t="s">
        <v>1043</v>
      </c>
    </row>
    <row r="21" spans="1:8">
      <c r="A21" s="647" t="s">
        <v>1036</v>
      </c>
      <c r="B21" s="646" t="s">
        <v>951</v>
      </c>
      <c r="C21" s="646" t="s">
        <v>1037</v>
      </c>
      <c r="D21" s="646" t="s">
        <v>1038</v>
      </c>
    </row>
    <row r="22" spans="1:8">
      <c r="A22" s="647" t="s">
        <v>1039</v>
      </c>
      <c r="B22" s="648">
        <f>B6+B11+B16</f>
        <v>5614681874</v>
      </c>
      <c r="C22" s="648">
        <f>C6+C11+C16</f>
        <v>23366281230</v>
      </c>
      <c r="D22" s="648">
        <f>D6+D11+D16</f>
        <v>28980963104</v>
      </c>
      <c r="H22" s="643">
        <f>H6+H11+H16</f>
        <v>-835625</v>
      </c>
    </row>
    <row r="23" spans="1:8">
      <c r="A23" s="646" t="s">
        <v>1040</v>
      </c>
      <c r="B23" s="649">
        <f>B22/1300000</f>
        <v>4318.9860569230768</v>
      </c>
      <c r="C23" s="649">
        <f t="shared" ref="C23:D23" si="4">C22/1300000</f>
        <v>17974.062484615384</v>
      </c>
      <c r="D23" s="649">
        <f t="shared" si="4"/>
        <v>22293.048541538461</v>
      </c>
    </row>
  </sheetData>
  <pageMargins left="0.7" right="0.7" top="0.75" bottom="0.75" header="0.3" footer="0.3"/>
  <pageSetup orientation="portrait" horizontalDpi="4294967292" verticalDpi="4294967292"/>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sheetPr>
  <dimension ref="A1:K28"/>
  <sheetViews>
    <sheetView tabSelected="1" topLeftCell="A10" zoomScale="85" zoomScaleNormal="85" zoomScalePageLayoutView="85" workbookViewId="0">
      <selection activeCell="B67" sqref="B67"/>
    </sheetView>
  </sheetViews>
  <sheetFormatPr defaultColWidth="11.42578125" defaultRowHeight="15"/>
  <cols>
    <col min="1" max="1" width="30.42578125" style="368" customWidth="1"/>
    <col min="2" max="2" width="31.42578125" style="389" customWidth="1"/>
    <col min="3" max="3" width="37.42578125" style="389" customWidth="1"/>
    <col min="4" max="4" width="27.42578125" style="389" customWidth="1"/>
    <col min="5" max="5" width="27.42578125" style="389" hidden="1" customWidth="1"/>
    <col min="6" max="6" width="9.42578125" style="388" customWidth="1"/>
    <col min="7" max="7" width="10.42578125" style="388" customWidth="1"/>
    <col min="8" max="8" width="19.28515625" style="184" customWidth="1"/>
    <col min="12" max="16384" width="11.42578125" style="129"/>
  </cols>
  <sheetData>
    <row r="1" spans="1:8" s="369" customFormat="1" ht="15.75" customHeight="1" thickBot="1">
      <c r="A1" s="705" t="s">
        <v>1044</v>
      </c>
      <c r="B1" s="706"/>
      <c r="C1" s="706"/>
      <c r="D1" s="706"/>
      <c r="E1" s="706"/>
      <c r="F1" s="706"/>
      <c r="G1" s="706"/>
      <c r="H1" s="706"/>
    </row>
    <row r="2" spans="1:8" s="369" customFormat="1" ht="34.5" customHeight="1">
      <c r="A2" s="707" t="s">
        <v>1045</v>
      </c>
      <c r="B2" s="715" t="s">
        <v>1046</v>
      </c>
      <c r="C2" s="717" t="s">
        <v>1047</v>
      </c>
      <c r="D2" s="717" t="s">
        <v>1048</v>
      </c>
      <c r="E2" s="717" t="s">
        <v>1049</v>
      </c>
      <c r="F2" s="712" t="s">
        <v>1050</v>
      </c>
      <c r="G2" s="712"/>
      <c r="H2" s="713" t="s">
        <v>1051</v>
      </c>
    </row>
    <row r="3" spans="1:8" s="370" customFormat="1" ht="15" customHeight="1" thickBot="1">
      <c r="A3" s="708"/>
      <c r="B3" s="716"/>
      <c r="C3" s="718"/>
      <c r="D3" s="718"/>
      <c r="E3" s="718"/>
      <c r="F3" s="548">
        <v>100</v>
      </c>
      <c r="G3" s="548">
        <v>130</v>
      </c>
      <c r="H3" s="714"/>
    </row>
    <row r="4" spans="1:8" s="263" customFormat="1" ht="76.5">
      <c r="A4" s="178" t="s">
        <v>1052</v>
      </c>
      <c r="B4" s="371" t="s">
        <v>1053</v>
      </c>
      <c r="C4" s="372" t="s">
        <v>1054</v>
      </c>
      <c r="D4" s="373" t="s">
        <v>1055</v>
      </c>
      <c r="E4" s="373">
        <v>1</v>
      </c>
      <c r="F4" s="373">
        <v>1</v>
      </c>
      <c r="G4" s="373">
        <v>1</v>
      </c>
      <c r="H4" s="374" t="s">
        <v>1056</v>
      </c>
    </row>
    <row r="5" spans="1:8">
      <c r="A5" s="179" t="s">
        <v>1057</v>
      </c>
      <c r="B5" s="549" t="s">
        <v>1058</v>
      </c>
      <c r="C5" s="550" t="s">
        <v>1058</v>
      </c>
      <c r="D5" s="550" t="s">
        <v>1058</v>
      </c>
      <c r="E5" s="550"/>
      <c r="F5" s="550" t="s">
        <v>1058</v>
      </c>
      <c r="G5" s="550" t="s">
        <v>1058</v>
      </c>
      <c r="H5" s="551" t="s">
        <v>1058</v>
      </c>
    </row>
    <row r="6" spans="1:8">
      <c r="A6" s="179" t="s">
        <v>1059</v>
      </c>
      <c r="B6" s="549" t="s">
        <v>1058</v>
      </c>
      <c r="C6" s="550" t="s">
        <v>1058</v>
      </c>
      <c r="D6" s="550" t="s">
        <v>1058</v>
      </c>
      <c r="E6" s="550">
        <v>1</v>
      </c>
      <c r="F6" s="550" t="s">
        <v>1058</v>
      </c>
      <c r="G6" s="550" t="s">
        <v>1058</v>
      </c>
      <c r="H6" s="551" t="s">
        <v>1058</v>
      </c>
    </row>
    <row r="7" spans="1:8" ht="51" customHeight="1">
      <c r="A7" s="179" t="s">
        <v>1060</v>
      </c>
      <c r="B7" s="375" t="s">
        <v>1061</v>
      </c>
      <c r="C7" s="376" t="s">
        <v>1062</v>
      </c>
      <c r="D7" s="377" t="s">
        <v>1055</v>
      </c>
      <c r="E7" s="378">
        <v>0</v>
      </c>
      <c r="F7" s="377">
        <v>1</v>
      </c>
      <c r="G7" s="377">
        <v>1</v>
      </c>
      <c r="H7" s="379" t="s">
        <v>1056</v>
      </c>
    </row>
    <row r="8" spans="1:8" ht="63.75">
      <c r="A8" s="179" t="s">
        <v>1063</v>
      </c>
      <c r="B8" s="375" t="s">
        <v>1064</v>
      </c>
      <c r="C8" s="376" t="s">
        <v>1065</v>
      </c>
      <c r="D8" s="377" t="s">
        <v>1066</v>
      </c>
      <c r="E8" s="377">
        <v>2</v>
      </c>
      <c r="F8" s="377">
        <v>2</v>
      </c>
      <c r="G8" s="377">
        <v>2</v>
      </c>
      <c r="H8" s="379" t="s">
        <v>1067</v>
      </c>
    </row>
    <row r="9" spans="1:8" ht="38.25">
      <c r="A9" s="179" t="s">
        <v>1068</v>
      </c>
      <c r="B9" s="375" t="s">
        <v>1069</v>
      </c>
      <c r="C9" s="376" t="s">
        <v>1070</v>
      </c>
      <c r="D9" s="377" t="s">
        <v>1071</v>
      </c>
      <c r="E9" s="377">
        <v>5</v>
      </c>
      <c r="F9" s="380">
        <f>ROUNDUP(((F$3/26)*1),0)</f>
        <v>4</v>
      </c>
      <c r="G9" s="380">
        <f>ROUNDUP(((G$3/26)*1),0)</f>
        <v>5</v>
      </c>
      <c r="H9" s="379" t="s">
        <v>1056</v>
      </c>
    </row>
    <row r="10" spans="1:8" ht="76.5">
      <c r="A10" s="179" t="s">
        <v>1072</v>
      </c>
      <c r="B10" s="375" t="s">
        <v>1073</v>
      </c>
      <c r="C10" s="376" t="s">
        <v>1074</v>
      </c>
      <c r="D10" s="377" t="s">
        <v>1055</v>
      </c>
      <c r="E10" s="377">
        <v>1</v>
      </c>
      <c r="F10" s="377">
        <v>1</v>
      </c>
      <c r="G10" s="377">
        <v>1</v>
      </c>
      <c r="H10" s="379" t="s">
        <v>1056</v>
      </c>
    </row>
    <row r="11" spans="1:8" ht="25.5">
      <c r="A11" s="179" t="s">
        <v>1075</v>
      </c>
      <c r="B11" s="375" t="s">
        <v>1076</v>
      </c>
      <c r="C11" s="376" t="s">
        <v>1077</v>
      </c>
      <c r="D11" s="377" t="s">
        <v>1071</v>
      </c>
      <c r="E11" s="377">
        <v>4</v>
      </c>
      <c r="F11" s="380">
        <f>ROUNDUP(((F$3/26)*1),0)</f>
        <v>4</v>
      </c>
      <c r="G11" s="380">
        <f>ROUNDUP(((G$3/26)*1),0)</f>
        <v>5</v>
      </c>
      <c r="H11" s="379" t="s">
        <v>1056</v>
      </c>
    </row>
    <row r="12" spans="1:8">
      <c r="A12" s="179" t="s">
        <v>1078</v>
      </c>
      <c r="B12" s="549" t="s">
        <v>1058</v>
      </c>
      <c r="C12" s="550" t="s">
        <v>1058</v>
      </c>
      <c r="D12" s="550" t="s">
        <v>1058</v>
      </c>
      <c r="E12" s="550"/>
      <c r="F12" s="550" t="s">
        <v>1058</v>
      </c>
      <c r="G12" s="550" t="s">
        <v>1058</v>
      </c>
      <c r="H12" s="551" t="s">
        <v>1058</v>
      </c>
    </row>
    <row r="13" spans="1:8" ht="38.25">
      <c r="A13" s="179" t="s">
        <v>1079</v>
      </c>
      <c r="B13" s="375" t="s">
        <v>1080</v>
      </c>
      <c r="C13" s="376" t="s">
        <v>1070</v>
      </c>
      <c r="D13" s="377" t="s">
        <v>1071</v>
      </c>
      <c r="E13" s="377">
        <v>5</v>
      </c>
      <c r="F13" s="380">
        <f>ROUND(((F$3/26)*1),0)</f>
        <v>4</v>
      </c>
      <c r="G13" s="380">
        <f>ROUNDUP(((G$3/26)*1),0)</f>
        <v>5</v>
      </c>
      <c r="H13" s="379" t="s">
        <v>1056</v>
      </c>
    </row>
    <row r="14" spans="1:8" ht="117.75" customHeight="1">
      <c r="A14" s="179" t="s">
        <v>1081</v>
      </c>
      <c r="B14" s="375" t="s">
        <v>1082</v>
      </c>
      <c r="C14" s="376" t="s">
        <v>1083</v>
      </c>
      <c r="D14" s="377" t="s">
        <v>1084</v>
      </c>
      <c r="E14" s="377">
        <v>2</v>
      </c>
      <c r="F14" s="380">
        <f>ROUND(((F$3/65)*1),0)</f>
        <v>2</v>
      </c>
      <c r="G14" s="380">
        <f>ROUNDUP(((G$3/65)*1),0)</f>
        <v>2</v>
      </c>
      <c r="H14" s="379" t="s">
        <v>1056</v>
      </c>
    </row>
    <row r="15" spans="1:8" ht="60.75" customHeight="1">
      <c r="A15" s="179" t="s">
        <v>1085</v>
      </c>
      <c r="B15" s="375" t="s">
        <v>1086</v>
      </c>
      <c r="C15" s="376" t="s">
        <v>1087</v>
      </c>
      <c r="D15" s="381" t="s">
        <v>1084</v>
      </c>
      <c r="E15" s="381"/>
      <c r="F15" s="382">
        <f t="shared" ref="F15:G15" si="0">ROUNDUP(((F$3/65)*1),0)</f>
        <v>2</v>
      </c>
      <c r="G15" s="380">
        <f t="shared" si="0"/>
        <v>2</v>
      </c>
      <c r="H15" s="379" t="s">
        <v>1056</v>
      </c>
    </row>
    <row r="16" spans="1:8" ht="63.75" customHeight="1">
      <c r="A16" s="179" t="s">
        <v>1088</v>
      </c>
      <c r="B16" s="549" t="s">
        <v>1058</v>
      </c>
      <c r="C16" s="550" t="s">
        <v>1058</v>
      </c>
      <c r="D16" s="550" t="s">
        <v>1058</v>
      </c>
      <c r="E16" s="550"/>
      <c r="F16" s="550" t="s">
        <v>1058</v>
      </c>
      <c r="G16" s="550" t="s">
        <v>1058</v>
      </c>
      <c r="H16" s="551" t="s">
        <v>1058</v>
      </c>
    </row>
    <row r="17" spans="1:8">
      <c r="A17" s="179" t="s">
        <v>1089</v>
      </c>
      <c r="B17" s="375" t="s">
        <v>1090</v>
      </c>
      <c r="C17" s="376" t="s">
        <v>1091</v>
      </c>
      <c r="D17" s="377" t="s">
        <v>1092</v>
      </c>
      <c r="E17" s="377">
        <v>4</v>
      </c>
      <c r="F17" s="380">
        <f>ROUNDUP(((F$3/35)*1),0)</f>
        <v>3</v>
      </c>
      <c r="G17" s="380">
        <f>ROUNDUP(((G$3/35)*1),0)</f>
        <v>4</v>
      </c>
      <c r="H17" s="379" t="s">
        <v>1056</v>
      </c>
    </row>
    <row r="18" spans="1:8" ht="76.5">
      <c r="A18" s="179" t="s">
        <v>1093</v>
      </c>
      <c r="B18" s="375" t="s">
        <v>1094</v>
      </c>
      <c r="C18" s="376" t="s">
        <v>1074</v>
      </c>
      <c r="D18" s="377" t="s">
        <v>1095</v>
      </c>
      <c r="E18" s="377">
        <v>3</v>
      </c>
      <c r="F18" s="380">
        <f>ROUNDUP(((F$3/40)*1),0)</f>
        <v>3</v>
      </c>
      <c r="G18" s="380">
        <f>ROUNDUP(((G$3/40)*1),0)</f>
        <v>4</v>
      </c>
      <c r="H18" s="379" t="s">
        <v>1056</v>
      </c>
    </row>
    <row r="19" spans="1:8" ht="51">
      <c r="A19" s="179" t="s">
        <v>1096</v>
      </c>
      <c r="B19" s="375" t="s">
        <v>1097</v>
      </c>
      <c r="C19" s="376" t="s">
        <v>1098</v>
      </c>
      <c r="D19" s="377" t="s">
        <v>1099</v>
      </c>
      <c r="E19" s="377">
        <v>20</v>
      </c>
      <c r="F19" s="380">
        <f>ROUNDUP(((F$3/33)*5),0)</f>
        <v>16</v>
      </c>
      <c r="G19" s="380">
        <f>ROUNDUP(((G$3/33)*5),0)</f>
        <v>20</v>
      </c>
      <c r="H19" s="379" t="s">
        <v>1100</v>
      </c>
    </row>
    <row r="20" spans="1:8" ht="43.5" customHeight="1">
      <c r="A20" s="179" t="s">
        <v>1101</v>
      </c>
      <c r="B20" s="549" t="s">
        <v>1058</v>
      </c>
      <c r="C20" s="550" t="s">
        <v>1058</v>
      </c>
      <c r="D20" s="550" t="s">
        <v>1058</v>
      </c>
      <c r="E20" s="550"/>
      <c r="F20" s="550" t="s">
        <v>1058</v>
      </c>
      <c r="G20" s="550" t="s">
        <v>1058</v>
      </c>
      <c r="H20" s="551" t="s">
        <v>1058</v>
      </c>
    </row>
    <row r="21" spans="1:8" ht="102.75" customHeight="1">
      <c r="A21" s="179" t="s">
        <v>1102</v>
      </c>
      <c r="B21" s="375" t="s">
        <v>1103</v>
      </c>
      <c r="C21" s="376" t="s">
        <v>1104</v>
      </c>
      <c r="D21" s="377" t="s">
        <v>1055</v>
      </c>
      <c r="E21" s="378">
        <v>0</v>
      </c>
      <c r="F21" s="376">
        <v>1</v>
      </c>
      <c r="G21" s="376">
        <v>1</v>
      </c>
      <c r="H21" s="379" t="s">
        <v>1056</v>
      </c>
    </row>
    <row r="22" spans="1:8" ht="25.5">
      <c r="A22" s="179" t="s">
        <v>1105</v>
      </c>
      <c r="B22" s="375" t="s">
        <v>1106</v>
      </c>
      <c r="C22" s="376" t="s">
        <v>1107</v>
      </c>
      <c r="D22" s="377" t="s">
        <v>1108</v>
      </c>
      <c r="E22" s="378">
        <v>0</v>
      </c>
      <c r="F22" s="380">
        <f>ROUNDUP(((F$3/65)*1),0)</f>
        <v>2</v>
      </c>
      <c r="G22" s="380">
        <f>ROUNDUP(((G$3/65)*1),0)</f>
        <v>2</v>
      </c>
      <c r="H22" s="379" t="s">
        <v>1056</v>
      </c>
    </row>
    <row r="23" spans="1:8" ht="51">
      <c r="A23" s="179" t="s">
        <v>1109</v>
      </c>
      <c r="B23" s="375" t="s">
        <v>1110</v>
      </c>
      <c r="C23" s="376" t="s">
        <v>1111</v>
      </c>
      <c r="D23" s="377" t="s">
        <v>1055</v>
      </c>
      <c r="E23" s="377">
        <v>1</v>
      </c>
      <c r="F23" s="377">
        <v>1</v>
      </c>
      <c r="G23" s="377">
        <v>1</v>
      </c>
      <c r="H23" s="379" t="s">
        <v>1056</v>
      </c>
    </row>
    <row r="24" spans="1:8" ht="127.5">
      <c r="A24" s="179" t="s">
        <v>1112</v>
      </c>
      <c r="B24" s="375" t="s">
        <v>1113</v>
      </c>
      <c r="C24" s="376" t="s">
        <v>1114</v>
      </c>
      <c r="D24" s="377" t="s">
        <v>1055</v>
      </c>
      <c r="E24" s="378">
        <v>0</v>
      </c>
      <c r="F24" s="377">
        <v>1</v>
      </c>
      <c r="G24" s="377">
        <v>1</v>
      </c>
      <c r="H24" s="379" t="s">
        <v>1056</v>
      </c>
    </row>
    <row r="25" spans="1:8" ht="127.5">
      <c r="A25" s="179" t="s">
        <v>1115</v>
      </c>
      <c r="B25" s="375" t="s">
        <v>1113</v>
      </c>
      <c r="C25" s="376" t="s">
        <v>1114</v>
      </c>
      <c r="D25" s="377" t="s">
        <v>1116</v>
      </c>
      <c r="E25" s="378">
        <v>0</v>
      </c>
      <c r="F25" s="380">
        <f>ROUNDUP(((F$3/22)*1),0)</f>
        <v>5</v>
      </c>
      <c r="G25" s="380">
        <f>ROUNDUP(((G$3/22)*1),0)</f>
        <v>6</v>
      </c>
      <c r="H25" s="379" t="s">
        <v>1056</v>
      </c>
    </row>
    <row r="26" spans="1:8" ht="53.25" customHeight="1">
      <c r="A26" s="180" t="s">
        <v>1117</v>
      </c>
      <c r="B26" s="375" t="s">
        <v>1118</v>
      </c>
      <c r="C26" s="376" t="s">
        <v>1119</v>
      </c>
      <c r="D26" s="377" t="s">
        <v>1055</v>
      </c>
      <c r="E26" s="378">
        <v>0</v>
      </c>
      <c r="F26" s="377">
        <v>1</v>
      </c>
      <c r="G26" s="377">
        <v>1</v>
      </c>
      <c r="H26" s="379" t="s">
        <v>1056</v>
      </c>
    </row>
    <row r="27" spans="1:8" ht="179.25" thickBot="1">
      <c r="A27" s="181" t="s">
        <v>1120</v>
      </c>
      <c r="B27" s="383" t="s">
        <v>1113</v>
      </c>
      <c r="C27" s="384" t="s">
        <v>1121</v>
      </c>
      <c r="D27" s="385" t="s">
        <v>1122</v>
      </c>
      <c r="E27" s="385">
        <v>8</v>
      </c>
      <c r="F27" s="386">
        <f>ROUNDUP(((F$3/33)*2),0)</f>
        <v>7</v>
      </c>
      <c r="G27" s="386">
        <f>ROUNDUP(((G$3/33)*2),0)</f>
        <v>8</v>
      </c>
      <c r="H27" s="387" t="s">
        <v>1056</v>
      </c>
    </row>
    <row r="28" spans="1:8" ht="16.5" thickBot="1">
      <c r="A28" s="182"/>
      <c r="B28" s="709" t="s">
        <v>1038</v>
      </c>
      <c r="C28" s="710"/>
      <c r="D28" s="711"/>
      <c r="E28" s="265"/>
      <c r="F28" s="183">
        <f>SUM(F4:F27)</f>
        <v>61</v>
      </c>
      <c r="G28" s="183">
        <f>SUM(G4:G27)</f>
        <v>72</v>
      </c>
    </row>
  </sheetData>
  <mergeCells count="9">
    <mergeCell ref="A1:H1"/>
    <mergeCell ref="A2:A3"/>
    <mergeCell ref="B28:D28"/>
    <mergeCell ref="F2:G2"/>
    <mergeCell ref="H2:H3"/>
    <mergeCell ref="B2:B3"/>
    <mergeCell ref="C2:C3"/>
    <mergeCell ref="D2:D3"/>
    <mergeCell ref="E2:E3"/>
  </mergeCells>
  <pageMargins left="0.7" right="0.7" top="0.75" bottom="0.75" header="0.3" footer="0.3"/>
  <pageSetup paperSize="9" orientation="portrait"/>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B050"/>
  </sheetPr>
  <dimension ref="A1:L47"/>
  <sheetViews>
    <sheetView showGridLines="0" workbookViewId="0">
      <selection activeCell="G7" sqref="G7"/>
    </sheetView>
  </sheetViews>
  <sheetFormatPr defaultColWidth="11.42578125" defaultRowHeight="11.25"/>
  <cols>
    <col min="1" max="1" width="11.42578125" style="106"/>
    <col min="2" max="2" width="36.7109375" style="106" customWidth="1"/>
    <col min="3" max="3" width="66.85546875" style="106" customWidth="1"/>
    <col min="4" max="4" width="25.42578125" style="106" customWidth="1"/>
    <col min="5" max="5" width="11.42578125" style="106" customWidth="1"/>
    <col min="6" max="6" width="13" style="106" customWidth="1"/>
    <col min="7" max="8" width="15.85546875" style="106" customWidth="1"/>
    <col min="9" max="9" width="9.7109375" style="106" customWidth="1"/>
    <col min="10" max="10" width="15.42578125" style="106" customWidth="1"/>
    <col min="11" max="16384" width="11.42578125" style="106"/>
  </cols>
  <sheetData>
    <row r="1" spans="1:12">
      <c r="A1" s="617" t="s">
        <v>1123</v>
      </c>
    </row>
    <row r="2" spans="1:12">
      <c r="A2" s="720" t="s">
        <v>1124</v>
      </c>
      <c r="B2" s="720"/>
      <c r="C2" s="720"/>
      <c r="D2" s="720"/>
      <c r="E2" s="720"/>
      <c r="F2" s="720"/>
      <c r="G2" s="720"/>
      <c r="H2" s="720"/>
      <c r="I2" s="720"/>
    </row>
    <row r="3" spans="1:12">
      <c r="A3" s="719" t="s">
        <v>1125</v>
      </c>
      <c r="B3" s="719"/>
      <c r="C3" s="719"/>
      <c r="D3" s="719"/>
      <c r="E3" s="719"/>
      <c r="F3" s="719"/>
      <c r="G3" s="719"/>
      <c r="H3" s="719"/>
      <c r="I3" s="719"/>
    </row>
    <row r="5" spans="1:12" ht="23.25" customHeight="1">
      <c r="E5" s="721" t="s">
        <v>1126</v>
      </c>
      <c r="F5" s="722"/>
      <c r="G5" s="722"/>
      <c r="H5" s="723"/>
      <c r="I5" s="724" t="s">
        <v>1127</v>
      </c>
      <c r="J5" s="725"/>
      <c r="K5" s="725"/>
      <c r="L5" s="725"/>
    </row>
    <row r="6" spans="1:12" ht="33.75">
      <c r="B6" s="468" t="s">
        <v>1128</v>
      </c>
      <c r="C6" s="468" t="s">
        <v>1129</v>
      </c>
      <c r="D6" s="468" t="s">
        <v>1130</v>
      </c>
      <c r="E6" s="468" t="s">
        <v>1131</v>
      </c>
      <c r="F6" s="468" t="s">
        <v>1132</v>
      </c>
      <c r="G6" s="468" t="s">
        <v>1133</v>
      </c>
      <c r="H6" s="468" t="s">
        <v>1134</v>
      </c>
      <c r="I6" s="468" t="s">
        <v>1131</v>
      </c>
      <c r="J6" s="468" t="s">
        <v>1132</v>
      </c>
      <c r="K6" s="468" t="s">
        <v>1135</v>
      </c>
      <c r="L6" s="468" t="s">
        <v>1134</v>
      </c>
    </row>
    <row r="7" spans="1:12" ht="33.75">
      <c r="B7" s="456" t="s">
        <v>1052</v>
      </c>
      <c r="C7" s="105" t="s">
        <v>1054</v>
      </c>
      <c r="D7" s="457">
        <v>5133210</v>
      </c>
      <c r="E7" s="396">
        <f>IFERROR(VLOOKUP($B7,'REQUISTO MIN TH'!$A$4:$H$27,6,0),0)</f>
        <v>1</v>
      </c>
      <c r="F7" s="457">
        <f>ROUND(D7*E7,0)</f>
        <v>5133210</v>
      </c>
      <c r="G7" s="632">
        <f>ROUND(F7/30,0)</f>
        <v>171107</v>
      </c>
      <c r="H7" s="632">
        <f>ROUND(G7/100,0)</f>
        <v>1711</v>
      </c>
      <c r="I7" s="396">
        <f>IFERROR(VLOOKUP($B7,'REQUISTO MIN TH'!$A$4:$H$27,7,0),0)</f>
        <v>1</v>
      </c>
      <c r="J7" s="457">
        <f>ROUND(D7*I7,0)</f>
        <v>5133210</v>
      </c>
      <c r="K7" s="632">
        <f>ROUND(J7/30,0)</f>
        <v>171107</v>
      </c>
      <c r="L7" s="632">
        <f>ROUND(K7/130,0)</f>
        <v>1316</v>
      </c>
    </row>
    <row r="8" spans="1:12" ht="22.5">
      <c r="B8" s="456" t="s">
        <v>1059</v>
      </c>
      <c r="C8" s="105" t="s">
        <v>1136</v>
      </c>
      <c r="D8" s="457">
        <v>4399725</v>
      </c>
      <c r="E8" s="396">
        <v>0</v>
      </c>
      <c r="F8" s="457">
        <f t="shared" ref="F8:F31" si="0">ROUND(D8*E8,0)</f>
        <v>0</v>
      </c>
      <c r="G8" s="632">
        <f t="shared" ref="G8:G31" si="1">ROUND(F8/30,0)</f>
        <v>0</v>
      </c>
      <c r="H8" s="632">
        <f t="shared" ref="H8:H31" si="2">ROUND(G8/100,0)</f>
        <v>0</v>
      </c>
      <c r="I8" s="396">
        <v>0</v>
      </c>
      <c r="J8" s="457">
        <f t="shared" ref="J8:J31" si="3">ROUND(D8*I8,0)</f>
        <v>0</v>
      </c>
      <c r="K8" s="632">
        <f t="shared" ref="K8:K31" si="4">ROUND(J8/30,0)</f>
        <v>0</v>
      </c>
      <c r="L8" s="632">
        <f t="shared" ref="L8:L31" si="5">ROUND(K8/130,0)</f>
        <v>0</v>
      </c>
    </row>
    <row r="9" spans="1:12" ht="33.75">
      <c r="B9" s="469" t="s">
        <v>1060</v>
      </c>
      <c r="C9" s="105" t="s">
        <v>1137</v>
      </c>
      <c r="D9" s="457">
        <v>2885920</v>
      </c>
      <c r="E9" s="396">
        <f>IFERROR(VLOOKUP($B9,'REQUISTO MIN TH'!$A$4:$H$27,6,0),0)</f>
        <v>1</v>
      </c>
      <c r="F9" s="457">
        <f t="shared" si="0"/>
        <v>2885920</v>
      </c>
      <c r="G9" s="632">
        <f t="shared" si="1"/>
        <v>96197</v>
      </c>
      <c r="H9" s="632">
        <f t="shared" si="2"/>
        <v>962</v>
      </c>
      <c r="I9" s="396">
        <f>IFERROR(VLOOKUP($B9,'REQUISTO MIN TH'!$A$4:$H$27,7,0),0)</f>
        <v>1</v>
      </c>
      <c r="J9" s="457">
        <f t="shared" si="3"/>
        <v>2885920</v>
      </c>
      <c r="K9" s="632">
        <f t="shared" si="4"/>
        <v>96197</v>
      </c>
      <c r="L9" s="632">
        <f t="shared" si="5"/>
        <v>740</v>
      </c>
    </row>
    <row r="10" spans="1:12">
      <c r="B10" s="456" t="s">
        <v>1057</v>
      </c>
      <c r="C10" s="105" t="s">
        <v>1138</v>
      </c>
      <c r="D10" s="457">
        <v>4399725</v>
      </c>
      <c r="E10" s="396">
        <v>0</v>
      </c>
      <c r="F10" s="457">
        <f t="shared" si="0"/>
        <v>0</v>
      </c>
      <c r="G10" s="632">
        <f t="shared" si="1"/>
        <v>0</v>
      </c>
      <c r="H10" s="632">
        <f t="shared" si="2"/>
        <v>0</v>
      </c>
      <c r="I10" s="396">
        <v>0</v>
      </c>
      <c r="J10" s="457">
        <f t="shared" si="3"/>
        <v>0</v>
      </c>
      <c r="K10" s="632">
        <f t="shared" si="4"/>
        <v>0</v>
      </c>
      <c r="L10" s="632">
        <f t="shared" si="5"/>
        <v>0</v>
      </c>
    </row>
    <row r="11" spans="1:12" ht="22.5">
      <c r="B11" s="456" t="s">
        <v>1063</v>
      </c>
      <c r="C11" s="105" t="s">
        <v>1139</v>
      </c>
      <c r="D11" s="457">
        <v>4399725</v>
      </c>
      <c r="E11" s="396">
        <f>IFERROR(VLOOKUP($B11,'REQUISTO MIN TH'!$A$4:$H$27,6,0),0)</f>
        <v>2</v>
      </c>
      <c r="F11" s="457">
        <f t="shared" si="0"/>
        <v>8799450</v>
      </c>
      <c r="G11" s="632">
        <f t="shared" si="1"/>
        <v>293315</v>
      </c>
      <c r="H11" s="632">
        <f t="shared" si="2"/>
        <v>2933</v>
      </c>
      <c r="I11" s="396">
        <f>IFERROR(VLOOKUP($B11,'REQUISTO MIN TH'!$A$4:$H$27,7,0),0)</f>
        <v>2</v>
      </c>
      <c r="J11" s="457">
        <f t="shared" si="3"/>
        <v>8799450</v>
      </c>
      <c r="K11" s="632">
        <f t="shared" si="4"/>
        <v>293315</v>
      </c>
      <c r="L11" s="632">
        <f t="shared" si="5"/>
        <v>2256</v>
      </c>
    </row>
    <row r="12" spans="1:12" ht="22.5">
      <c r="B12" s="456" t="s">
        <v>1068</v>
      </c>
      <c r="C12" s="105" t="s">
        <v>1070</v>
      </c>
      <c r="D12" s="457">
        <v>4399725</v>
      </c>
      <c r="E12" s="396">
        <f>IFERROR(VLOOKUP($B12,'REQUISTO MIN TH'!$A$4:$H$27,6,0),0)</f>
        <v>4</v>
      </c>
      <c r="F12" s="457">
        <f t="shared" si="0"/>
        <v>17598900</v>
      </c>
      <c r="G12" s="632">
        <f t="shared" si="1"/>
        <v>586630</v>
      </c>
      <c r="H12" s="632">
        <f t="shared" si="2"/>
        <v>5866</v>
      </c>
      <c r="I12" s="396">
        <f>IFERROR(VLOOKUP($B12,'REQUISTO MIN TH'!$A$4:$H$27,7,0),0)</f>
        <v>5</v>
      </c>
      <c r="J12" s="457">
        <f t="shared" si="3"/>
        <v>21998625</v>
      </c>
      <c r="K12" s="632">
        <f t="shared" si="4"/>
        <v>733288</v>
      </c>
      <c r="L12" s="632">
        <f t="shared" si="5"/>
        <v>5641</v>
      </c>
    </row>
    <row r="13" spans="1:12">
      <c r="B13" s="456" t="s">
        <v>1072</v>
      </c>
      <c r="C13" s="105" t="s">
        <v>1140</v>
      </c>
      <c r="D13" s="457">
        <v>2885920</v>
      </c>
      <c r="E13" s="396">
        <f>IFERROR(VLOOKUP($B13,'REQUISTO MIN TH'!$A$4:$H$27,6,0),0)</f>
        <v>1</v>
      </c>
      <c r="F13" s="457">
        <f t="shared" si="0"/>
        <v>2885920</v>
      </c>
      <c r="G13" s="632">
        <f t="shared" si="1"/>
        <v>96197</v>
      </c>
      <c r="H13" s="632">
        <f t="shared" si="2"/>
        <v>962</v>
      </c>
      <c r="I13" s="396">
        <f>IFERROR(VLOOKUP($B13,'REQUISTO MIN TH'!$A$4:$H$27,7,0),0)</f>
        <v>1</v>
      </c>
      <c r="J13" s="457">
        <f t="shared" si="3"/>
        <v>2885920</v>
      </c>
      <c r="K13" s="632">
        <f t="shared" si="4"/>
        <v>96197</v>
      </c>
      <c r="L13" s="632">
        <f t="shared" si="5"/>
        <v>740</v>
      </c>
    </row>
    <row r="14" spans="1:12">
      <c r="B14" s="456" t="s">
        <v>1075</v>
      </c>
      <c r="C14" s="105" t="s">
        <v>1141</v>
      </c>
      <c r="D14" s="457">
        <v>4399725</v>
      </c>
      <c r="E14" s="396">
        <f>IFERROR(VLOOKUP($B14,'REQUISTO MIN TH'!$A$4:$H$27,6,0),0)</f>
        <v>4</v>
      </c>
      <c r="F14" s="457">
        <f t="shared" si="0"/>
        <v>17598900</v>
      </c>
      <c r="G14" s="632">
        <f t="shared" si="1"/>
        <v>586630</v>
      </c>
      <c r="H14" s="632">
        <f t="shared" si="2"/>
        <v>5866</v>
      </c>
      <c r="I14" s="396">
        <f>IFERROR(VLOOKUP($B14,'REQUISTO MIN TH'!$A$4:$H$27,7,0),0)</f>
        <v>5</v>
      </c>
      <c r="J14" s="457">
        <f t="shared" si="3"/>
        <v>21998625</v>
      </c>
      <c r="K14" s="632">
        <f t="shared" si="4"/>
        <v>733288</v>
      </c>
      <c r="L14" s="632">
        <f t="shared" si="5"/>
        <v>5641</v>
      </c>
    </row>
    <row r="15" spans="1:12" ht="22.5">
      <c r="B15" s="456" t="s">
        <v>1078</v>
      </c>
      <c r="C15" s="105" t="s">
        <v>1070</v>
      </c>
      <c r="D15" s="457">
        <v>4399725</v>
      </c>
      <c r="E15" s="396">
        <v>0</v>
      </c>
      <c r="F15" s="457">
        <f t="shared" si="0"/>
        <v>0</v>
      </c>
      <c r="G15" s="632">
        <f t="shared" si="1"/>
        <v>0</v>
      </c>
      <c r="H15" s="632">
        <f t="shared" si="2"/>
        <v>0</v>
      </c>
      <c r="I15" s="396">
        <v>0</v>
      </c>
      <c r="J15" s="457">
        <f t="shared" si="3"/>
        <v>0</v>
      </c>
      <c r="K15" s="632">
        <f t="shared" si="4"/>
        <v>0</v>
      </c>
      <c r="L15" s="632">
        <f t="shared" si="5"/>
        <v>0</v>
      </c>
    </row>
    <row r="16" spans="1:12" ht="22.5">
      <c r="B16" s="456" t="s">
        <v>1079</v>
      </c>
      <c r="C16" s="105" t="s">
        <v>1070</v>
      </c>
      <c r="D16" s="457">
        <v>4399725</v>
      </c>
      <c r="E16" s="396">
        <f>IFERROR(VLOOKUP($B16,'REQUISTO MIN TH'!$A$4:$H$27,6,0),0)</f>
        <v>4</v>
      </c>
      <c r="F16" s="457">
        <f t="shared" si="0"/>
        <v>17598900</v>
      </c>
      <c r="G16" s="632">
        <f t="shared" si="1"/>
        <v>586630</v>
      </c>
      <c r="H16" s="632">
        <f t="shared" si="2"/>
        <v>5866</v>
      </c>
      <c r="I16" s="396">
        <f>IFERROR(VLOOKUP($B16,'REQUISTO MIN TH'!$A$4:$H$27,7,0),0)</f>
        <v>5</v>
      </c>
      <c r="J16" s="457">
        <f t="shared" si="3"/>
        <v>21998625</v>
      </c>
      <c r="K16" s="632">
        <f t="shared" si="4"/>
        <v>733288</v>
      </c>
      <c r="L16" s="632">
        <f t="shared" si="5"/>
        <v>5641</v>
      </c>
    </row>
    <row r="17" spans="2:12" ht="56.25">
      <c r="B17" s="456" t="s">
        <v>1142</v>
      </c>
      <c r="C17" s="105" t="s">
        <v>1143</v>
      </c>
      <c r="D17" s="457">
        <v>5133210</v>
      </c>
      <c r="E17" s="396">
        <f>IFERROR(VLOOKUP($B17,'REQUISTO MIN TH'!$A$4:$H$27,6,0),0)</f>
        <v>0</v>
      </c>
      <c r="F17" s="457">
        <f t="shared" si="0"/>
        <v>0</v>
      </c>
      <c r="G17" s="632">
        <f t="shared" si="1"/>
        <v>0</v>
      </c>
      <c r="H17" s="632">
        <f t="shared" si="2"/>
        <v>0</v>
      </c>
      <c r="I17" s="396">
        <f>IFERROR(VLOOKUP($B17,'REQUISTO MIN TH'!$A$4:$H$27,7,0),0)</f>
        <v>0</v>
      </c>
      <c r="J17" s="457">
        <f t="shared" si="3"/>
        <v>0</v>
      </c>
      <c r="K17" s="632">
        <f t="shared" si="4"/>
        <v>0</v>
      </c>
      <c r="L17" s="632">
        <f t="shared" si="5"/>
        <v>0</v>
      </c>
    </row>
    <row r="18" spans="2:12">
      <c r="B18" s="456" t="s">
        <v>1081</v>
      </c>
      <c r="C18" s="105" t="s">
        <v>1083</v>
      </c>
      <c r="D18" s="457">
        <v>3666240</v>
      </c>
      <c r="E18" s="396">
        <f>IFERROR(VLOOKUP($B18,'REQUISTO MIN TH'!$A$4:$H$27,6,0),0)</f>
        <v>2</v>
      </c>
      <c r="F18" s="457">
        <f t="shared" si="0"/>
        <v>7332480</v>
      </c>
      <c r="G18" s="632">
        <f t="shared" si="1"/>
        <v>244416</v>
      </c>
      <c r="H18" s="632">
        <f t="shared" si="2"/>
        <v>2444</v>
      </c>
      <c r="I18" s="396">
        <f>IFERROR(VLOOKUP($B18,'REQUISTO MIN TH'!$A$4:$H$27,7,0),0)</f>
        <v>2</v>
      </c>
      <c r="J18" s="457">
        <f t="shared" si="3"/>
        <v>7332480</v>
      </c>
      <c r="K18" s="632">
        <f t="shared" si="4"/>
        <v>244416</v>
      </c>
      <c r="L18" s="632">
        <f t="shared" si="5"/>
        <v>1880</v>
      </c>
    </row>
    <row r="19" spans="2:12">
      <c r="B19" s="456" t="s">
        <v>1089</v>
      </c>
      <c r="C19" s="105" t="s">
        <v>1144</v>
      </c>
      <c r="D19" s="457">
        <v>2885920</v>
      </c>
      <c r="E19" s="396">
        <f>IFERROR(VLOOKUP($B19,'REQUISTO MIN TH'!$A$4:$H$27,6,0),0)</f>
        <v>3</v>
      </c>
      <c r="F19" s="457">
        <f t="shared" si="0"/>
        <v>8657760</v>
      </c>
      <c r="G19" s="632">
        <f t="shared" si="1"/>
        <v>288592</v>
      </c>
      <c r="H19" s="632">
        <f t="shared" si="2"/>
        <v>2886</v>
      </c>
      <c r="I19" s="396">
        <f>IFERROR(VLOOKUP($B19,'REQUISTO MIN TH'!$A$4:$H$27,7,0),0)</f>
        <v>4</v>
      </c>
      <c r="J19" s="457">
        <f t="shared" si="3"/>
        <v>11543680</v>
      </c>
      <c r="K19" s="632">
        <f t="shared" si="4"/>
        <v>384789</v>
      </c>
      <c r="L19" s="632">
        <f t="shared" si="5"/>
        <v>2960</v>
      </c>
    </row>
    <row r="20" spans="2:12">
      <c r="B20" s="456" t="s">
        <v>1093</v>
      </c>
      <c r="C20" s="105" t="s">
        <v>1145</v>
      </c>
      <c r="D20" s="457">
        <v>2885920</v>
      </c>
      <c r="E20" s="396">
        <f>IFERROR(VLOOKUP($B20,'REQUISTO MIN TH'!$A$4:$H$27,6,0),0)</f>
        <v>3</v>
      </c>
      <c r="F20" s="457">
        <f t="shared" si="0"/>
        <v>8657760</v>
      </c>
      <c r="G20" s="632">
        <f t="shared" si="1"/>
        <v>288592</v>
      </c>
      <c r="H20" s="632">
        <f t="shared" si="2"/>
        <v>2886</v>
      </c>
      <c r="I20" s="396">
        <f>IFERROR(VLOOKUP($B20,'REQUISTO MIN TH'!$A$4:$H$27,7,0),0)</f>
        <v>4</v>
      </c>
      <c r="J20" s="457">
        <f t="shared" si="3"/>
        <v>11543680</v>
      </c>
      <c r="K20" s="632">
        <f t="shared" si="4"/>
        <v>384789</v>
      </c>
      <c r="L20" s="632">
        <f t="shared" si="5"/>
        <v>2960</v>
      </c>
    </row>
    <row r="21" spans="2:12" ht="33.75">
      <c r="B21" s="456" t="s">
        <v>1085</v>
      </c>
      <c r="C21" s="105" t="s">
        <v>1146</v>
      </c>
      <c r="D21" s="457">
        <v>4399725</v>
      </c>
      <c r="E21" s="396">
        <f>IFERROR(VLOOKUP($B21,'REQUISTO MIN TH'!$A$4:$H$27,6,0),0)</f>
        <v>2</v>
      </c>
      <c r="F21" s="457">
        <f t="shared" si="0"/>
        <v>8799450</v>
      </c>
      <c r="G21" s="632">
        <f t="shared" si="1"/>
        <v>293315</v>
      </c>
      <c r="H21" s="632">
        <f t="shared" si="2"/>
        <v>2933</v>
      </c>
      <c r="I21" s="396">
        <f>IFERROR(VLOOKUP($B21,'REQUISTO MIN TH'!$A$4:$H$27,7,0),0)</f>
        <v>2</v>
      </c>
      <c r="J21" s="457">
        <f t="shared" si="3"/>
        <v>8799450</v>
      </c>
      <c r="K21" s="632">
        <f t="shared" si="4"/>
        <v>293315</v>
      </c>
      <c r="L21" s="632">
        <f t="shared" si="5"/>
        <v>2256</v>
      </c>
    </row>
    <row r="22" spans="2:12">
      <c r="B22" s="456" t="s">
        <v>1096</v>
      </c>
      <c r="C22" s="105" t="s">
        <v>1147</v>
      </c>
      <c r="D22" s="457">
        <v>2445690</v>
      </c>
      <c r="E22" s="396">
        <f>IFERROR(VLOOKUP($B22,'REQUISTO MIN TH'!$A$4:$H$27,6,0),0)</f>
        <v>16</v>
      </c>
      <c r="F22" s="457">
        <f t="shared" si="0"/>
        <v>39131040</v>
      </c>
      <c r="G22" s="632">
        <f t="shared" si="1"/>
        <v>1304368</v>
      </c>
      <c r="H22" s="632">
        <f t="shared" si="2"/>
        <v>13044</v>
      </c>
      <c r="I22" s="396">
        <f>IFERROR(VLOOKUP($B22,'REQUISTO MIN TH'!$A$4:$H$27,7,0),0)</f>
        <v>20</v>
      </c>
      <c r="J22" s="457">
        <f t="shared" si="3"/>
        <v>48913800</v>
      </c>
      <c r="K22" s="632">
        <f t="shared" si="4"/>
        <v>1630460</v>
      </c>
      <c r="L22" s="632">
        <f t="shared" si="5"/>
        <v>12542</v>
      </c>
    </row>
    <row r="23" spans="2:12">
      <c r="B23" s="456" t="s">
        <v>1148</v>
      </c>
      <c r="C23" s="105" t="s">
        <v>1149</v>
      </c>
      <c r="D23" s="457">
        <v>2445690</v>
      </c>
      <c r="E23" s="396">
        <f>IFERROR(VLOOKUP($B23,'REQUISTO MIN TH'!$A$4:$H$27,6,0),0)</f>
        <v>0</v>
      </c>
      <c r="F23" s="457">
        <f t="shared" si="0"/>
        <v>0</v>
      </c>
      <c r="G23" s="632">
        <f t="shared" si="1"/>
        <v>0</v>
      </c>
      <c r="H23" s="632">
        <f t="shared" si="2"/>
        <v>0</v>
      </c>
      <c r="I23" s="396">
        <f>IFERROR(VLOOKUP($B23,'REQUISTO MIN TH'!$A$4:$H$27,7,0),0)</f>
        <v>0</v>
      </c>
      <c r="J23" s="457">
        <f t="shared" si="3"/>
        <v>0</v>
      </c>
      <c r="K23" s="632">
        <f t="shared" si="4"/>
        <v>0</v>
      </c>
      <c r="L23" s="632">
        <f t="shared" si="5"/>
        <v>0</v>
      </c>
    </row>
    <row r="24" spans="2:12">
      <c r="B24" s="456" t="s">
        <v>1102</v>
      </c>
      <c r="C24" s="105" t="s">
        <v>1149</v>
      </c>
      <c r="D24" s="457">
        <v>2885920</v>
      </c>
      <c r="E24" s="396">
        <f>IFERROR(VLOOKUP($B24,'REQUISTO MIN TH'!$A$4:$H$27,6,0),0)</f>
        <v>1</v>
      </c>
      <c r="F24" s="457">
        <f t="shared" si="0"/>
        <v>2885920</v>
      </c>
      <c r="G24" s="632">
        <f t="shared" si="1"/>
        <v>96197</v>
      </c>
      <c r="H24" s="632">
        <f t="shared" si="2"/>
        <v>962</v>
      </c>
      <c r="I24" s="396">
        <f>IFERROR(VLOOKUP($B24,'REQUISTO MIN TH'!$A$4:$H$27,7,0),0)</f>
        <v>1</v>
      </c>
      <c r="J24" s="457">
        <f t="shared" si="3"/>
        <v>2885920</v>
      </c>
      <c r="K24" s="632">
        <f t="shared" si="4"/>
        <v>96197</v>
      </c>
      <c r="L24" s="632">
        <f t="shared" si="5"/>
        <v>740</v>
      </c>
    </row>
    <row r="25" spans="2:12">
      <c r="B25" s="456" t="s">
        <v>1150</v>
      </c>
      <c r="C25" s="105" t="s">
        <v>1151</v>
      </c>
      <c r="D25" s="457">
        <v>2665805</v>
      </c>
      <c r="E25" s="396">
        <f>IFERROR(VLOOKUP($B25,'REQUISTO MIN TH'!$A$4:$H$27,6,0),0)</f>
        <v>0</v>
      </c>
      <c r="F25" s="457">
        <f t="shared" si="0"/>
        <v>0</v>
      </c>
      <c r="G25" s="632">
        <f t="shared" si="1"/>
        <v>0</v>
      </c>
      <c r="H25" s="632">
        <f t="shared" si="2"/>
        <v>0</v>
      </c>
      <c r="I25" s="396">
        <f>IFERROR(VLOOKUP($B25,'REQUISTO MIN TH'!$A$4:$H$27,7,0),0)</f>
        <v>0</v>
      </c>
      <c r="J25" s="457">
        <f t="shared" si="3"/>
        <v>0</v>
      </c>
      <c r="K25" s="632">
        <f t="shared" si="4"/>
        <v>0</v>
      </c>
      <c r="L25" s="632">
        <f t="shared" si="5"/>
        <v>0</v>
      </c>
    </row>
    <row r="26" spans="2:12">
      <c r="B26" s="456" t="s">
        <v>1117</v>
      </c>
      <c r="C26" s="105" t="s">
        <v>1119</v>
      </c>
      <c r="D26" s="457">
        <v>2445690</v>
      </c>
      <c r="E26" s="396">
        <f>IFERROR(VLOOKUP($B26,'REQUISTO MIN TH'!$A$4:$H$27,6,0),0)</f>
        <v>1</v>
      </c>
      <c r="F26" s="457">
        <f t="shared" si="0"/>
        <v>2445690</v>
      </c>
      <c r="G26" s="632">
        <f t="shared" si="1"/>
        <v>81523</v>
      </c>
      <c r="H26" s="632">
        <f t="shared" si="2"/>
        <v>815</v>
      </c>
      <c r="I26" s="396">
        <f>IFERROR(VLOOKUP($B26,'REQUISTO MIN TH'!$A$4:$H$27,7,0),0)</f>
        <v>1</v>
      </c>
      <c r="J26" s="457">
        <f t="shared" si="3"/>
        <v>2445690</v>
      </c>
      <c r="K26" s="632">
        <f t="shared" si="4"/>
        <v>81523</v>
      </c>
      <c r="L26" s="632">
        <f t="shared" si="5"/>
        <v>627</v>
      </c>
    </row>
    <row r="27" spans="2:12" ht="33.75">
      <c r="B27" s="456" t="s">
        <v>1105</v>
      </c>
      <c r="C27" s="105" t="s">
        <v>1152</v>
      </c>
      <c r="D27" s="457">
        <v>2281433</v>
      </c>
      <c r="E27" s="396">
        <f>IFERROR(VLOOKUP($B27,'REQUISTO MIN TH'!$A$4:$H$27,6,0),0)</f>
        <v>2</v>
      </c>
      <c r="F27" s="457">
        <f t="shared" si="0"/>
        <v>4562866</v>
      </c>
      <c r="G27" s="632">
        <f t="shared" si="1"/>
        <v>152096</v>
      </c>
      <c r="H27" s="632">
        <f t="shared" si="2"/>
        <v>1521</v>
      </c>
      <c r="I27" s="396">
        <f>IFERROR(VLOOKUP($B27,'REQUISTO MIN TH'!$A$4:$H$27,7,0),0)</f>
        <v>2</v>
      </c>
      <c r="J27" s="457">
        <f t="shared" si="3"/>
        <v>4562866</v>
      </c>
      <c r="K27" s="632">
        <f t="shared" si="4"/>
        <v>152096</v>
      </c>
      <c r="L27" s="632">
        <f t="shared" si="5"/>
        <v>1170</v>
      </c>
    </row>
    <row r="28" spans="2:12">
      <c r="B28" s="456" t="s">
        <v>1109</v>
      </c>
      <c r="C28" s="105" t="s">
        <v>1111</v>
      </c>
      <c r="D28" s="457">
        <v>2885920</v>
      </c>
      <c r="E28" s="396">
        <f>IFERROR(VLOOKUP($B28,'REQUISTO MIN TH'!$A$4:$H$27,6,0),0)</f>
        <v>1</v>
      </c>
      <c r="F28" s="457">
        <f t="shared" si="0"/>
        <v>2885920</v>
      </c>
      <c r="G28" s="632">
        <f t="shared" si="1"/>
        <v>96197</v>
      </c>
      <c r="H28" s="632">
        <f t="shared" si="2"/>
        <v>962</v>
      </c>
      <c r="I28" s="396">
        <f>IFERROR(VLOOKUP($B28,'REQUISTO MIN TH'!$A$4:$H$27,7,0),0)</f>
        <v>1</v>
      </c>
      <c r="J28" s="457">
        <f t="shared" si="3"/>
        <v>2885920</v>
      </c>
      <c r="K28" s="632">
        <f t="shared" si="4"/>
        <v>96197</v>
      </c>
      <c r="L28" s="632">
        <f t="shared" si="5"/>
        <v>740</v>
      </c>
    </row>
    <row r="29" spans="2:12" ht="33.75">
      <c r="B29" s="456" t="s">
        <v>1112</v>
      </c>
      <c r="C29" s="105" t="s">
        <v>1153</v>
      </c>
      <c r="D29" s="457">
        <v>2281433</v>
      </c>
      <c r="E29" s="396">
        <f>IFERROR(VLOOKUP($B29,'REQUISTO MIN TH'!$A$4:$H$27,6,0),0)</f>
        <v>1</v>
      </c>
      <c r="F29" s="457">
        <f t="shared" si="0"/>
        <v>2281433</v>
      </c>
      <c r="G29" s="632">
        <f t="shared" si="1"/>
        <v>76048</v>
      </c>
      <c r="H29" s="632">
        <f t="shared" si="2"/>
        <v>760</v>
      </c>
      <c r="I29" s="396">
        <f>IFERROR(VLOOKUP($B29,'REQUISTO MIN TH'!$A$4:$H$27,7,0),0)</f>
        <v>1</v>
      </c>
      <c r="J29" s="457">
        <f t="shared" si="3"/>
        <v>2281433</v>
      </c>
      <c r="K29" s="632">
        <f t="shared" si="4"/>
        <v>76048</v>
      </c>
      <c r="L29" s="632">
        <f t="shared" si="5"/>
        <v>585</v>
      </c>
    </row>
    <row r="30" spans="2:12" ht="33.75">
      <c r="B30" s="456" t="s">
        <v>1115</v>
      </c>
      <c r="C30" s="105" t="s">
        <v>1154</v>
      </c>
      <c r="D30" s="457">
        <v>2281433</v>
      </c>
      <c r="E30" s="396">
        <f>IFERROR(VLOOKUP($B30,'REQUISTO MIN TH'!$A$4:$H$27,6,0),0)</f>
        <v>5</v>
      </c>
      <c r="F30" s="457">
        <f t="shared" si="0"/>
        <v>11407165</v>
      </c>
      <c r="G30" s="632">
        <f t="shared" si="1"/>
        <v>380239</v>
      </c>
      <c r="H30" s="632">
        <f t="shared" si="2"/>
        <v>3802</v>
      </c>
      <c r="I30" s="396">
        <f>IFERROR(VLOOKUP($B30,'REQUISTO MIN TH'!$A$4:$H$27,7,0),0)</f>
        <v>6</v>
      </c>
      <c r="J30" s="457">
        <f t="shared" si="3"/>
        <v>13688598</v>
      </c>
      <c r="K30" s="632">
        <f t="shared" si="4"/>
        <v>456287</v>
      </c>
      <c r="L30" s="632">
        <f t="shared" si="5"/>
        <v>3510</v>
      </c>
    </row>
    <row r="31" spans="2:12" ht="56.25">
      <c r="B31" s="456" t="s">
        <v>1120</v>
      </c>
      <c r="C31" s="105" t="s">
        <v>1155</v>
      </c>
      <c r="D31" s="457">
        <v>2281433</v>
      </c>
      <c r="E31" s="396">
        <f>IFERROR(VLOOKUP($B31,'REQUISTO MIN TH'!$A$4:$H$27,6,0),0)</f>
        <v>7</v>
      </c>
      <c r="F31" s="457">
        <f t="shared" si="0"/>
        <v>15970031</v>
      </c>
      <c r="G31" s="632">
        <f t="shared" si="1"/>
        <v>532334</v>
      </c>
      <c r="H31" s="632">
        <f t="shared" si="2"/>
        <v>5323</v>
      </c>
      <c r="I31" s="396">
        <f>IFERROR(VLOOKUP($B31,'REQUISTO MIN TH'!$A$4:$H$27,7,0),0)</f>
        <v>8</v>
      </c>
      <c r="J31" s="457">
        <f t="shared" si="3"/>
        <v>18251464</v>
      </c>
      <c r="K31" s="632">
        <f t="shared" si="4"/>
        <v>608382</v>
      </c>
      <c r="L31" s="632">
        <f t="shared" si="5"/>
        <v>4680</v>
      </c>
    </row>
    <row r="32" spans="2:12" ht="12" thickBot="1">
      <c r="B32" s="458"/>
      <c r="C32" s="459"/>
      <c r="D32" s="459"/>
      <c r="E32" s="396">
        <f>SUM(E7:E31)</f>
        <v>61</v>
      </c>
      <c r="F32" s="457">
        <f>SUM(F7:F31)</f>
        <v>187518715</v>
      </c>
      <c r="G32" s="457">
        <f>SUM(G7:G31)</f>
        <v>6250623</v>
      </c>
      <c r="H32" s="457">
        <f t="shared" ref="H32" si="6">SUM(H7:H31)</f>
        <v>62504</v>
      </c>
      <c r="I32" s="396">
        <f>SUM(I7:I31)</f>
        <v>72</v>
      </c>
      <c r="J32" s="457">
        <f>SUM(J7:J31)</f>
        <v>220835356</v>
      </c>
      <c r="K32" s="632">
        <f>SUM(K7:K31)</f>
        <v>7361179</v>
      </c>
      <c r="L32" s="632">
        <f>SUM(L7:L31)</f>
        <v>56625</v>
      </c>
    </row>
    <row r="33" spans="2:4">
      <c r="B33" s="460" t="s">
        <v>1156</v>
      </c>
      <c r="C33" s="461">
        <v>733485</v>
      </c>
      <c r="D33" s="462"/>
    </row>
    <row r="34" spans="2:4">
      <c r="B34" s="463" t="s">
        <v>1157</v>
      </c>
      <c r="C34" s="464">
        <v>5133210</v>
      </c>
      <c r="D34" s="462" t="s">
        <v>1158</v>
      </c>
    </row>
    <row r="35" spans="2:4">
      <c r="B35" s="463" t="s">
        <v>1159</v>
      </c>
      <c r="C35" s="464">
        <v>4399725</v>
      </c>
      <c r="D35" s="462" t="s">
        <v>1160</v>
      </c>
    </row>
    <row r="36" spans="2:4" ht="12" thickBot="1">
      <c r="B36" s="465" t="s">
        <v>1161</v>
      </c>
      <c r="C36" s="466">
        <v>3666240</v>
      </c>
      <c r="D36" s="462"/>
    </row>
    <row r="37" spans="2:4">
      <c r="B37" s="460" t="s">
        <v>1162</v>
      </c>
      <c r="C37" s="461">
        <v>440230</v>
      </c>
      <c r="D37" s="462"/>
    </row>
    <row r="38" spans="2:4">
      <c r="B38" s="463" t="s">
        <v>1163</v>
      </c>
      <c r="C38" s="464">
        <v>3766380</v>
      </c>
      <c r="D38" s="462"/>
    </row>
    <row r="39" spans="2:4">
      <c r="B39" s="463" t="s">
        <v>1157</v>
      </c>
      <c r="C39" s="464">
        <v>3326150</v>
      </c>
      <c r="D39" s="462"/>
    </row>
    <row r="40" spans="2:4">
      <c r="B40" s="463" t="s">
        <v>1159</v>
      </c>
      <c r="C40" s="464">
        <v>2885920</v>
      </c>
      <c r="D40" s="462"/>
    </row>
    <row r="41" spans="2:4">
      <c r="B41" s="463" t="s">
        <v>1164</v>
      </c>
      <c r="C41" s="464">
        <v>2665805</v>
      </c>
      <c r="D41" s="462" t="s">
        <v>1165</v>
      </c>
    </row>
    <row r="42" spans="2:4" ht="12" thickBot="1">
      <c r="B42" s="465" t="s">
        <v>1161</v>
      </c>
      <c r="C42" s="466">
        <v>2445690</v>
      </c>
      <c r="D42" s="462"/>
    </row>
    <row r="43" spans="2:4">
      <c r="B43" s="460" t="s">
        <v>1166</v>
      </c>
      <c r="C43" s="467">
        <v>400485</v>
      </c>
      <c r="D43" s="462"/>
    </row>
    <row r="44" spans="2:4">
      <c r="B44" s="463" t="s">
        <v>1163</v>
      </c>
      <c r="C44" s="464">
        <v>2882160</v>
      </c>
      <c r="D44" s="462"/>
    </row>
    <row r="45" spans="2:4">
      <c r="B45" s="463" t="s">
        <v>1157</v>
      </c>
      <c r="C45" s="464">
        <v>2481675</v>
      </c>
      <c r="D45" s="462"/>
    </row>
    <row r="46" spans="2:4">
      <c r="B46" s="463" t="s">
        <v>1167</v>
      </c>
      <c r="C46" s="464">
        <v>2281433</v>
      </c>
      <c r="D46" s="462" t="s">
        <v>1168</v>
      </c>
    </row>
    <row r="47" spans="2:4" ht="12" thickBot="1">
      <c r="B47" s="465" t="s">
        <v>1159</v>
      </c>
      <c r="C47" s="466">
        <v>2081190</v>
      </c>
      <c r="D47" s="462"/>
    </row>
  </sheetData>
  <mergeCells count="4">
    <mergeCell ref="A3:I3"/>
    <mergeCell ref="A2:I2"/>
    <mergeCell ref="E5:H5"/>
    <mergeCell ref="I5:L5"/>
  </mergeCells>
  <pageMargins left="0.7" right="0.7" top="0.75" bottom="0.75" header="0.3" footer="0.3"/>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B050"/>
  </sheetPr>
  <dimension ref="A1:O21"/>
  <sheetViews>
    <sheetView showGridLines="0" topLeftCell="B1" workbookViewId="0">
      <selection activeCell="O20" sqref="O20"/>
    </sheetView>
  </sheetViews>
  <sheetFormatPr defaultColWidth="11.42578125" defaultRowHeight="11.25" customHeight="1"/>
  <cols>
    <col min="1" max="1" width="30.85546875" style="106" customWidth="1"/>
    <col min="2" max="2" width="57.42578125" style="106" customWidth="1"/>
    <col min="3" max="3" width="12.42578125" style="106" customWidth="1"/>
    <col min="4" max="7" width="11.42578125" style="106" customWidth="1"/>
    <col min="8" max="8" width="11.42578125" style="106"/>
    <col min="9" max="9" width="13.42578125" style="106" customWidth="1"/>
    <col min="10" max="10" width="11.42578125" style="106"/>
    <col min="11" max="11" width="13.42578125" style="106" customWidth="1"/>
    <col min="12" max="15" width="11.42578125" style="106" customWidth="1"/>
    <col min="16" max="16384" width="11.42578125" style="106"/>
  </cols>
  <sheetData>
    <row r="1" spans="1:15" ht="11.25" customHeight="1">
      <c r="A1" s="602" t="s">
        <v>1169</v>
      </c>
      <c r="B1" s="603"/>
      <c r="C1" s="603"/>
      <c r="D1" s="603"/>
      <c r="E1" s="603"/>
      <c r="F1" s="603"/>
      <c r="G1" s="603"/>
      <c r="H1" s="603"/>
      <c r="I1" s="603"/>
      <c r="J1" s="603"/>
      <c r="K1" s="603"/>
      <c r="L1" s="603"/>
      <c r="M1" s="603"/>
    </row>
    <row r="2" spans="1:15" ht="30.75" customHeight="1">
      <c r="A2" s="726" t="s">
        <v>1170</v>
      </c>
      <c r="B2" s="726"/>
      <c r="C2" s="726"/>
      <c r="D2" s="726"/>
      <c r="E2" s="726"/>
      <c r="F2" s="726"/>
      <c r="G2" s="726"/>
      <c r="H2" s="726"/>
      <c r="I2" s="726"/>
      <c r="J2" s="726"/>
      <c r="K2" s="726"/>
      <c r="L2" s="726"/>
      <c r="M2" s="726"/>
      <c r="N2" s="726"/>
      <c r="O2" s="726"/>
    </row>
    <row r="3" spans="1:15" ht="11.25" customHeight="1">
      <c r="A3" s="603"/>
      <c r="B3" s="603"/>
      <c r="C3" s="603"/>
      <c r="D3" s="603"/>
      <c r="E3" s="603"/>
      <c r="F3" s="603"/>
      <c r="G3" s="603"/>
      <c r="H3" s="603"/>
      <c r="I3" s="603"/>
      <c r="J3" s="603"/>
      <c r="K3" s="603"/>
      <c r="L3" s="603"/>
      <c r="M3" s="603"/>
    </row>
    <row r="4" spans="1:15" s="390" customFormat="1" ht="45" customHeight="1">
      <c r="A4" s="731" t="s">
        <v>87</v>
      </c>
      <c r="B4" s="731" t="s">
        <v>88</v>
      </c>
      <c r="C4" s="731" t="s">
        <v>1171</v>
      </c>
      <c r="D4" s="731" t="s">
        <v>1172</v>
      </c>
      <c r="E4" s="731"/>
      <c r="F4" s="731" t="s">
        <v>89</v>
      </c>
      <c r="G4" s="731" t="s">
        <v>90</v>
      </c>
      <c r="H4" s="731" t="s">
        <v>1173</v>
      </c>
      <c r="I4" s="731" t="s">
        <v>1174</v>
      </c>
      <c r="J4" s="731" t="s">
        <v>1175</v>
      </c>
      <c r="K4" s="728" t="s">
        <v>1176</v>
      </c>
      <c r="L4" s="731" t="s">
        <v>1177</v>
      </c>
      <c r="M4" s="727" t="s">
        <v>1178</v>
      </c>
      <c r="N4" s="470" t="s">
        <v>1179</v>
      </c>
      <c r="O4" s="470" t="s">
        <v>1179</v>
      </c>
    </row>
    <row r="5" spans="1:15" s="390" customFormat="1">
      <c r="A5" s="731"/>
      <c r="B5" s="731"/>
      <c r="C5" s="731"/>
      <c r="D5" s="731" t="s">
        <v>1180</v>
      </c>
      <c r="E5" s="731"/>
      <c r="F5" s="731"/>
      <c r="G5" s="731"/>
      <c r="H5" s="731"/>
      <c r="I5" s="731"/>
      <c r="J5" s="731"/>
      <c r="K5" s="729"/>
      <c r="L5" s="731"/>
      <c r="M5" s="727"/>
      <c r="N5" s="470" t="s">
        <v>1180</v>
      </c>
      <c r="O5" s="470" t="s">
        <v>1180</v>
      </c>
    </row>
    <row r="6" spans="1:15" s="390" customFormat="1">
      <c r="A6" s="731"/>
      <c r="B6" s="731"/>
      <c r="C6" s="731"/>
      <c r="D6" s="468">
        <v>100</v>
      </c>
      <c r="E6" s="468">
        <v>130</v>
      </c>
      <c r="F6" s="731"/>
      <c r="G6" s="731"/>
      <c r="H6" s="731"/>
      <c r="I6" s="731"/>
      <c r="J6" s="731"/>
      <c r="K6" s="730"/>
      <c r="L6" s="731"/>
      <c r="M6" s="727"/>
      <c r="N6" s="470">
        <v>100</v>
      </c>
      <c r="O6" s="470">
        <v>130</v>
      </c>
    </row>
    <row r="7" spans="1:15" ht="33.75">
      <c r="A7" s="394" t="s">
        <v>97</v>
      </c>
      <c r="B7" s="395" t="s">
        <v>98</v>
      </c>
      <c r="C7" s="395" t="s">
        <v>1181</v>
      </c>
      <c r="D7" s="391">
        <v>53</v>
      </c>
      <c r="E7" s="391">
        <v>63</v>
      </c>
      <c r="F7" s="396" t="s">
        <v>99</v>
      </c>
      <c r="G7" s="396" t="s">
        <v>84</v>
      </c>
      <c r="H7" s="397">
        <f>VLOOKUP($A7,'INDEXACIÓN PRODUCTOS MES A MES'!$B$2:$W$396,22,0)</f>
        <v>0</v>
      </c>
      <c r="I7" s="398">
        <f>VLOOKUP($A7,'INDEXACIÓN PRODUCTOS MES A MES'!$B$2:$W$396,20,0)</f>
        <v>218088</v>
      </c>
      <c r="J7" s="398">
        <f t="shared" ref="J7:J17" si="0">I7-K7</f>
        <v>34821</v>
      </c>
      <c r="K7" s="398">
        <f>ROUND((I7/1.19),0)</f>
        <v>183267</v>
      </c>
      <c r="L7" s="391">
        <v>12</v>
      </c>
      <c r="M7" s="392">
        <f>ROUND((I7/(L7)),0)</f>
        <v>18174</v>
      </c>
      <c r="N7" s="392">
        <f>ROUND($M7*D7,0)</f>
        <v>963222</v>
      </c>
      <c r="O7" s="392">
        <f>ROUND($M7*E7,0)</f>
        <v>1144962</v>
      </c>
    </row>
    <row r="8" spans="1:15" ht="33.75">
      <c r="A8" s="394" t="s">
        <v>102</v>
      </c>
      <c r="B8" s="395" t="s">
        <v>103</v>
      </c>
      <c r="C8" s="395" t="s">
        <v>1182</v>
      </c>
      <c r="D8" s="391">
        <v>33</v>
      </c>
      <c r="E8" s="391">
        <v>39</v>
      </c>
      <c r="F8" s="396" t="s">
        <v>99</v>
      </c>
      <c r="G8" s="396" t="s">
        <v>84</v>
      </c>
      <c r="H8" s="397">
        <f>VLOOKUP($A8,'INDEXACIÓN PRODUCTOS MES A MES'!$B$2:$W$396,22,0)</f>
        <v>0</v>
      </c>
      <c r="I8" s="398">
        <f>VLOOKUP($A8,'INDEXACIÓN PRODUCTOS MES A MES'!$B$2:$W$396,20,0)</f>
        <v>83785</v>
      </c>
      <c r="J8" s="398">
        <f t="shared" si="0"/>
        <v>13377</v>
      </c>
      <c r="K8" s="398">
        <f t="shared" ref="K8:K17" si="1">ROUND((I8/1.19),0)</f>
        <v>70408</v>
      </c>
      <c r="L8" s="391">
        <v>4</v>
      </c>
      <c r="M8" s="392">
        <f t="shared" ref="M8:M17" si="2">ROUND((I8/(L8)),0)</f>
        <v>20946</v>
      </c>
      <c r="N8" s="392">
        <f t="shared" ref="N8:N12" si="3">ROUND($M8*D8,0)</f>
        <v>691218</v>
      </c>
      <c r="O8" s="392">
        <f t="shared" ref="O8:O12" si="4">ROUND($M8*E8,0)</f>
        <v>816894</v>
      </c>
    </row>
    <row r="9" spans="1:15" ht="22.5">
      <c r="A9" s="394" t="s">
        <v>110</v>
      </c>
      <c r="B9" s="395" t="s">
        <v>111</v>
      </c>
      <c r="C9" s="395" t="s">
        <v>1183</v>
      </c>
      <c r="D9" s="391">
        <v>32</v>
      </c>
      <c r="E9" s="391">
        <v>40</v>
      </c>
      <c r="F9" s="396" t="s">
        <v>99</v>
      </c>
      <c r="G9" s="391" t="s">
        <v>84</v>
      </c>
      <c r="H9" s="397">
        <f>VLOOKUP($A9,'INDEXACIÓN PRODUCTOS MES A MES'!$B$2:$W$396,22,0)</f>
        <v>0</v>
      </c>
      <c r="I9" s="398">
        <f>VLOOKUP($A9,'INDEXACIÓN PRODUCTOS MES A MES'!$B$2:$W$396,20,0)</f>
        <v>102814</v>
      </c>
      <c r="J9" s="398">
        <f t="shared" si="0"/>
        <v>16416</v>
      </c>
      <c r="K9" s="398">
        <f t="shared" si="1"/>
        <v>86398</v>
      </c>
      <c r="L9" s="391">
        <v>12</v>
      </c>
      <c r="M9" s="392">
        <f t="shared" si="2"/>
        <v>8568</v>
      </c>
      <c r="N9" s="392">
        <f t="shared" si="3"/>
        <v>274176</v>
      </c>
      <c r="O9" s="392">
        <f t="shared" si="4"/>
        <v>342720</v>
      </c>
    </row>
    <row r="10" spans="1:15">
      <c r="A10" s="105" t="s">
        <v>112</v>
      </c>
      <c r="B10" s="399" t="s">
        <v>113</v>
      </c>
      <c r="C10" s="399" t="s">
        <v>1183</v>
      </c>
      <c r="D10" s="391">
        <v>14</v>
      </c>
      <c r="E10" s="391">
        <v>16</v>
      </c>
      <c r="F10" s="400" t="s">
        <v>108</v>
      </c>
      <c r="G10" s="401" t="s">
        <v>64</v>
      </c>
      <c r="H10" s="397">
        <f>VLOOKUP($A10,'INDEXACIÓN PRODUCTOS MES A MES'!$B$2:$W$396,22,0)</f>
        <v>0</v>
      </c>
      <c r="I10" s="398">
        <f>VLOOKUP($A10,'INDEXACIÓN PRODUCTOS MES A MES'!$B$2:$W$396,20,0)</f>
        <v>31104</v>
      </c>
      <c r="J10" s="398">
        <f t="shared" si="0"/>
        <v>4966</v>
      </c>
      <c r="K10" s="398">
        <f t="shared" si="1"/>
        <v>26138</v>
      </c>
      <c r="L10" s="391">
        <v>2</v>
      </c>
      <c r="M10" s="392">
        <f t="shared" si="2"/>
        <v>15552</v>
      </c>
      <c r="N10" s="392">
        <f t="shared" si="3"/>
        <v>217728</v>
      </c>
      <c r="O10" s="392">
        <f t="shared" si="4"/>
        <v>248832</v>
      </c>
    </row>
    <row r="11" spans="1:15" ht="33.75">
      <c r="A11" s="394" t="s">
        <v>122</v>
      </c>
      <c r="B11" s="395" t="s">
        <v>123</v>
      </c>
      <c r="C11" s="402" t="s">
        <v>1184</v>
      </c>
      <c r="D11" s="391">
        <v>18</v>
      </c>
      <c r="E11" s="391">
        <v>27</v>
      </c>
      <c r="F11" s="400" t="s">
        <v>124</v>
      </c>
      <c r="G11" s="401" t="s">
        <v>64</v>
      </c>
      <c r="H11" s="397">
        <f>VLOOKUP($A11,'INDEXACIÓN PRODUCTOS MES A MES'!$B$2:$W$396,22,0)</f>
        <v>0</v>
      </c>
      <c r="I11" s="398">
        <f>VLOOKUP($A11,'INDEXACIÓN PRODUCTOS MES A MES'!$B$2:$W$396,20,0)</f>
        <v>49216</v>
      </c>
      <c r="J11" s="398">
        <f t="shared" si="0"/>
        <v>7858</v>
      </c>
      <c r="K11" s="398">
        <f t="shared" si="1"/>
        <v>41358</v>
      </c>
      <c r="L11" s="391">
        <v>4</v>
      </c>
      <c r="M11" s="392">
        <f t="shared" si="2"/>
        <v>12304</v>
      </c>
      <c r="N11" s="392">
        <f t="shared" si="3"/>
        <v>221472</v>
      </c>
      <c r="O11" s="392">
        <f t="shared" si="4"/>
        <v>332208</v>
      </c>
    </row>
    <row r="12" spans="1:15">
      <c r="A12" s="394" t="s">
        <v>125</v>
      </c>
      <c r="B12" s="403" t="s">
        <v>1185</v>
      </c>
      <c r="C12" s="402" t="s">
        <v>1184</v>
      </c>
      <c r="D12" s="391">
        <v>18</v>
      </c>
      <c r="E12" s="391">
        <v>27</v>
      </c>
      <c r="F12" s="400" t="s">
        <v>124</v>
      </c>
      <c r="G12" s="400" t="s">
        <v>36</v>
      </c>
      <c r="H12" s="397">
        <f>VLOOKUP($A12,'INDEXACIÓN PRODUCTOS MES A MES'!$B$2:$W$396,22,0)</f>
        <v>9.1162447115707479E-2</v>
      </c>
      <c r="I12" s="398">
        <f>VLOOKUP($A12,'INDEXACIÓN PRODUCTOS MES A MES'!$B$2:$W$396,20,0)</f>
        <v>64994</v>
      </c>
      <c r="J12" s="398">
        <f t="shared" si="0"/>
        <v>10377</v>
      </c>
      <c r="K12" s="398">
        <f t="shared" si="1"/>
        <v>54617</v>
      </c>
      <c r="L12" s="391">
        <v>4</v>
      </c>
      <c r="M12" s="392">
        <f t="shared" si="2"/>
        <v>16249</v>
      </c>
      <c r="N12" s="392">
        <f t="shared" si="3"/>
        <v>292482</v>
      </c>
      <c r="O12" s="392">
        <f t="shared" si="4"/>
        <v>438723</v>
      </c>
    </row>
    <row r="13" spans="1:15" ht="22.5">
      <c r="A13" s="394" t="s">
        <v>117</v>
      </c>
      <c r="B13" s="395" t="s">
        <v>118</v>
      </c>
      <c r="C13" s="399" t="s">
        <v>1186</v>
      </c>
      <c r="D13" s="391">
        <v>36</v>
      </c>
      <c r="E13" s="391">
        <v>46</v>
      </c>
      <c r="F13" s="400" t="s">
        <v>119</v>
      </c>
      <c r="G13" s="401" t="s">
        <v>38</v>
      </c>
      <c r="H13" s="397">
        <f>VLOOKUP($A13,'INDEXACIÓN PRODUCTOS MES A MES'!$B$2:$W$396,22,0)</f>
        <v>7.9894423729523656E-2</v>
      </c>
      <c r="I13" s="398">
        <f>VLOOKUP($A13,'INDEXACIÓN PRODUCTOS MES A MES'!$B$2:$W$396,20,0)</f>
        <v>77328</v>
      </c>
      <c r="J13" s="398">
        <f>I13-K13</f>
        <v>12346</v>
      </c>
      <c r="K13" s="398">
        <f>ROUND((I13/1.19),0)</f>
        <v>64982</v>
      </c>
      <c r="L13" s="391">
        <v>1</v>
      </c>
      <c r="M13" s="392">
        <f t="shared" si="2"/>
        <v>77328</v>
      </c>
      <c r="N13" s="392">
        <f>ROUND($M13*D13/12,0)</f>
        <v>231984</v>
      </c>
      <c r="O13" s="392">
        <f t="shared" ref="O13:O17" si="5">ROUND($M13*E13/12,0)</f>
        <v>296424</v>
      </c>
    </row>
    <row r="14" spans="1:15" ht="22.5">
      <c r="A14" s="394" t="s">
        <v>120</v>
      </c>
      <c r="B14" s="395" t="s">
        <v>121</v>
      </c>
      <c r="C14" s="399" t="s">
        <v>1186</v>
      </c>
      <c r="D14" s="391">
        <v>60</v>
      </c>
      <c r="E14" s="391">
        <v>60</v>
      </c>
      <c r="F14" s="400" t="s">
        <v>119</v>
      </c>
      <c r="G14" s="401" t="s">
        <v>36</v>
      </c>
      <c r="H14" s="397">
        <f>VLOOKUP($A14,'INDEXACIÓN PRODUCTOS MES A MES'!$B$2:$W$396,22,0)</f>
        <v>9.0858648911083362E-2</v>
      </c>
      <c r="I14" s="398">
        <f>VLOOKUP($A14,'INDEXACIÓN PRODUCTOS MES A MES'!$B$2:$W$396,20,0)</f>
        <v>15728</v>
      </c>
      <c r="J14" s="398">
        <f>I14-K14</f>
        <v>2511</v>
      </c>
      <c r="K14" s="398">
        <f>ROUND((I14/1.19),0)</f>
        <v>13217</v>
      </c>
      <c r="L14" s="391">
        <v>1</v>
      </c>
      <c r="M14" s="392">
        <f t="shared" si="2"/>
        <v>15728</v>
      </c>
      <c r="N14" s="392">
        <f t="shared" ref="N14:N17" si="6">ROUND($M14*D14/12,0)</f>
        <v>78640</v>
      </c>
      <c r="O14" s="392">
        <f t="shared" si="5"/>
        <v>78640</v>
      </c>
    </row>
    <row r="15" spans="1:15">
      <c r="A15" s="394" t="s">
        <v>719</v>
      </c>
      <c r="B15" s="395" t="s">
        <v>720</v>
      </c>
      <c r="C15" s="399" t="s">
        <v>108</v>
      </c>
      <c r="D15" s="106">
        <v>7</v>
      </c>
      <c r="E15" s="391">
        <v>9</v>
      </c>
      <c r="F15" s="400" t="s">
        <v>108</v>
      </c>
      <c r="G15" s="391" t="s">
        <v>38</v>
      </c>
      <c r="H15" s="397">
        <f>VLOOKUP($A15,'INDEXACIÓN PRODUCTOS MES A MES'!$B$2:$W$396,22,0)</f>
        <v>7.9567201530987786E-2</v>
      </c>
      <c r="I15" s="398">
        <f>VLOOKUP($A15,'INDEXACIÓN PRODUCTOS MES A MES'!$B$2:$W$396,20,0)</f>
        <v>14667</v>
      </c>
      <c r="J15" s="398">
        <f>I15-K15</f>
        <v>2342</v>
      </c>
      <c r="K15" s="398">
        <f>ROUND((I15/1.19),0)</f>
        <v>12325</v>
      </c>
      <c r="L15" s="391">
        <v>12</v>
      </c>
      <c r="M15" s="392">
        <f t="shared" ref="M15" si="7">ROUND((I15/(L15)),0)</f>
        <v>1222</v>
      </c>
      <c r="N15" s="392">
        <f t="shared" ref="N15" si="8">ROUND($M15*D15/12,0)</f>
        <v>713</v>
      </c>
      <c r="O15" s="392">
        <f t="shared" ref="O15" si="9">ROUND($M15*E15/12,0)</f>
        <v>917</v>
      </c>
    </row>
    <row r="16" spans="1:15" ht="22.5">
      <c r="A16" s="404" t="s">
        <v>127</v>
      </c>
      <c r="B16" s="395" t="s">
        <v>128</v>
      </c>
      <c r="C16" s="399" t="s">
        <v>1186</v>
      </c>
      <c r="D16" s="391">
        <v>60</v>
      </c>
      <c r="E16" s="391">
        <v>46</v>
      </c>
      <c r="F16" s="400" t="s">
        <v>119</v>
      </c>
      <c r="G16" s="401" t="s">
        <v>38</v>
      </c>
      <c r="H16" s="397">
        <f>VLOOKUP($A16,'INDEXACIÓN PRODUCTOS MES A MES'!$B$2:$W$396,22,0)</f>
        <v>7.9894423729523656E-2</v>
      </c>
      <c r="I16" s="398">
        <f>VLOOKUP($A16,'INDEXACIÓN PRODUCTOS MES A MES'!$B$2:$W$396,20,0)</f>
        <v>77328</v>
      </c>
      <c r="J16" s="398">
        <f t="shared" si="0"/>
        <v>12346</v>
      </c>
      <c r="K16" s="398">
        <f t="shared" si="1"/>
        <v>64982</v>
      </c>
      <c r="L16" s="391">
        <v>1</v>
      </c>
      <c r="M16" s="392">
        <f t="shared" si="2"/>
        <v>77328</v>
      </c>
      <c r="N16" s="392">
        <f t="shared" si="6"/>
        <v>386640</v>
      </c>
      <c r="O16" s="392">
        <f t="shared" si="5"/>
        <v>296424</v>
      </c>
    </row>
    <row r="17" spans="1:15" ht="22.5">
      <c r="A17" s="404" t="s">
        <v>129</v>
      </c>
      <c r="B17" s="395" t="s">
        <v>130</v>
      </c>
      <c r="C17" s="399" t="s">
        <v>1186</v>
      </c>
      <c r="D17" s="391">
        <v>60</v>
      </c>
      <c r="E17" s="391">
        <v>78</v>
      </c>
      <c r="F17" s="400" t="s">
        <v>131</v>
      </c>
      <c r="G17" s="401" t="s">
        <v>36</v>
      </c>
      <c r="H17" s="397">
        <f>VLOOKUP($A17,'INDEXACIÓN PRODUCTOS MES A MES'!$B$2:$W$396,22,0)</f>
        <v>9.0809448128459466E-2</v>
      </c>
      <c r="I17" s="398">
        <f>VLOOKUP($A17,'INDEXACIÓN PRODUCTOS MES A MES'!$B$2:$W$396,20,0)</f>
        <v>19904</v>
      </c>
      <c r="J17" s="398">
        <f t="shared" si="0"/>
        <v>3178</v>
      </c>
      <c r="K17" s="398">
        <f t="shared" si="1"/>
        <v>16726</v>
      </c>
      <c r="L17" s="391">
        <v>1</v>
      </c>
      <c r="M17" s="392">
        <f t="shared" si="2"/>
        <v>19904</v>
      </c>
      <c r="N17" s="392">
        <f t="shared" si="6"/>
        <v>99520</v>
      </c>
      <c r="O17" s="392">
        <f t="shared" si="5"/>
        <v>129376</v>
      </c>
    </row>
    <row r="19" spans="1:15">
      <c r="L19" s="393" t="s">
        <v>1187</v>
      </c>
      <c r="M19" s="393"/>
      <c r="N19" s="591">
        <f>SUM(N7:N17)</f>
        <v>3457795</v>
      </c>
      <c r="O19" s="591">
        <f>SUM(O7:O17)</f>
        <v>4126120</v>
      </c>
    </row>
    <row r="20" spans="1:15">
      <c r="L20" s="393" t="s">
        <v>1188</v>
      </c>
      <c r="M20" s="393"/>
      <c r="N20" s="591">
        <f>ROUND((N19/100),0)</f>
        <v>34578</v>
      </c>
      <c r="O20" s="591">
        <f>ROUND((O19/30),0)</f>
        <v>137537</v>
      </c>
    </row>
    <row r="21" spans="1:15">
      <c r="L21" s="393" t="s">
        <v>1189</v>
      </c>
      <c r="M21" s="393"/>
      <c r="N21" s="591">
        <f>ROUNDUP((N20/30),0)</f>
        <v>1153</v>
      </c>
      <c r="O21" s="591">
        <f>ROUNDUP((O20/130),0)</f>
        <v>1058</v>
      </c>
    </row>
  </sheetData>
  <mergeCells count="14">
    <mergeCell ref="A2:O2"/>
    <mergeCell ref="M4:M6"/>
    <mergeCell ref="K4:K6"/>
    <mergeCell ref="D4:E4"/>
    <mergeCell ref="D5:E5"/>
    <mergeCell ref="H4:H6"/>
    <mergeCell ref="I4:I6"/>
    <mergeCell ref="J4:J6"/>
    <mergeCell ref="L4:L6"/>
    <mergeCell ref="A4:A6"/>
    <mergeCell ref="B4:B6"/>
    <mergeCell ref="C4:C6"/>
    <mergeCell ref="F4:F6"/>
    <mergeCell ref="G4:G6"/>
  </mergeCells>
  <conditionalFormatting sqref="G7:G14 G16:G17">
    <cfRule type="containsBlanks" dxfId="12" priority="1">
      <formula>LEN(TRIM(G7))=0</formula>
    </cfRule>
  </conditionalFormatting>
  <pageMargins left="0.7" right="0.7" top="0.75" bottom="0.75" header="0.3" footer="0.3"/>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B050"/>
  </sheetPr>
  <dimension ref="A1:AP17"/>
  <sheetViews>
    <sheetView showGridLines="0" topLeftCell="B10" zoomScale="85" zoomScaleNormal="85" zoomScalePageLayoutView="85" workbookViewId="0">
      <selection activeCell="N7" sqref="N7"/>
    </sheetView>
  </sheetViews>
  <sheetFormatPr defaultColWidth="11.42578125" defaultRowHeight="12.75"/>
  <cols>
    <col min="1" max="1" width="19.85546875" style="129" customWidth="1"/>
    <col min="2" max="2" width="21" style="129" customWidth="1"/>
    <col min="3" max="3" width="26.7109375" style="129" customWidth="1"/>
    <col min="4" max="4" width="17.7109375" style="129" customWidth="1"/>
    <col min="5" max="5" width="13.140625" style="129" customWidth="1"/>
    <col min="6" max="6" width="14" style="129" customWidth="1"/>
    <col min="7" max="7" width="14.7109375" style="129" customWidth="1"/>
    <col min="8" max="8" width="11.42578125" style="129" bestFit="1" customWidth="1"/>
    <col min="9" max="9" width="14.28515625" style="129" customWidth="1"/>
    <col min="10" max="10" width="15.85546875" style="129" customWidth="1"/>
    <col min="11" max="11" width="17.28515625" style="129" customWidth="1"/>
    <col min="12" max="12" width="16.85546875" style="129" customWidth="1"/>
    <col min="13" max="13" width="13.28515625" style="129" bestFit="1" customWidth="1"/>
    <col min="14" max="14" width="14.28515625" style="129" bestFit="1" customWidth="1"/>
    <col min="15" max="17" width="13.28515625" style="129" bestFit="1" customWidth="1"/>
    <col min="18" max="40" width="11.42578125" style="129"/>
    <col min="41" max="41" width="11.42578125" style="129" bestFit="1" customWidth="1"/>
    <col min="42" max="16384" width="11.42578125" style="129"/>
  </cols>
  <sheetData>
    <row r="1" spans="1:42" ht="13.5" customHeight="1">
      <c r="A1" s="735" t="s">
        <v>1190</v>
      </c>
      <c r="B1" s="735"/>
      <c r="C1" s="735"/>
      <c r="D1" s="735"/>
      <c r="E1" s="735"/>
      <c r="F1" s="735"/>
      <c r="G1" s="735"/>
      <c r="H1" s="735"/>
      <c r="I1" s="735"/>
      <c r="J1" s="735"/>
      <c r="K1" s="735"/>
      <c r="L1" s="735"/>
      <c r="M1" s="735"/>
      <c r="N1" s="735"/>
      <c r="O1" s="735"/>
      <c r="P1"/>
      <c r="Q1"/>
      <c r="R1"/>
      <c r="S1"/>
      <c r="T1"/>
      <c r="U1"/>
      <c r="V1"/>
      <c r="W1"/>
      <c r="X1"/>
      <c r="Y1"/>
      <c r="Z1"/>
      <c r="AA1"/>
      <c r="AB1"/>
      <c r="AC1"/>
      <c r="AD1"/>
      <c r="AE1"/>
      <c r="AF1"/>
      <c r="AG1"/>
      <c r="AH1"/>
      <c r="AI1"/>
      <c r="AJ1"/>
      <c r="AK1"/>
      <c r="AL1"/>
      <c r="AM1"/>
      <c r="AN1"/>
    </row>
    <row r="2" spans="1:42" ht="82.5" customHeight="1">
      <c r="A2" s="736" t="s">
        <v>1191</v>
      </c>
      <c r="B2" s="737"/>
      <c r="C2" s="737"/>
      <c r="D2" s="737"/>
      <c r="E2" s="737"/>
      <c r="F2" s="737"/>
      <c r="G2" s="737"/>
      <c r="H2" s="737"/>
      <c r="I2" s="737"/>
      <c r="J2" s="737"/>
      <c r="K2" s="737"/>
      <c r="L2" s="737"/>
      <c r="M2" s="737"/>
      <c r="N2" s="737"/>
      <c r="O2" s="737"/>
      <c r="P2" s="444"/>
      <c r="Q2" s="444"/>
      <c r="R2"/>
      <c r="S2"/>
      <c r="T2"/>
      <c r="U2"/>
      <c r="V2"/>
      <c r="W2"/>
      <c r="X2"/>
      <c r="Y2"/>
      <c r="Z2"/>
      <c r="AA2"/>
      <c r="AB2"/>
      <c r="AC2"/>
      <c r="AD2"/>
      <c r="AE2"/>
      <c r="AF2"/>
      <c r="AG2"/>
      <c r="AH2"/>
      <c r="AI2"/>
      <c r="AJ2"/>
      <c r="AK2"/>
      <c r="AL2"/>
      <c r="AM2"/>
      <c r="AN2"/>
    </row>
    <row r="3" spans="1:42" ht="42" customHeight="1">
      <c r="A3" s="736" t="s">
        <v>1192</v>
      </c>
      <c r="B3" s="737"/>
      <c r="C3" s="737"/>
      <c r="D3" s="737"/>
      <c r="E3" s="737"/>
      <c r="F3" s="737"/>
      <c r="G3" s="737"/>
      <c r="H3" s="737"/>
      <c r="I3" s="737"/>
      <c r="J3" s="737"/>
      <c r="K3" s="737"/>
      <c r="L3" s="737"/>
      <c r="M3" s="737"/>
      <c r="N3" s="737"/>
      <c r="O3" s="737"/>
      <c r="P3" s="444"/>
      <c r="Q3" s="444"/>
      <c r="R3"/>
      <c r="S3"/>
      <c r="T3"/>
      <c r="U3"/>
      <c r="V3"/>
      <c r="W3"/>
      <c r="X3"/>
      <c r="Y3"/>
      <c r="Z3"/>
      <c r="AA3"/>
      <c r="AB3"/>
      <c r="AC3"/>
      <c r="AD3"/>
      <c r="AE3"/>
      <c r="AF3"/>
      <c r="AG3"/>
      <c r="AH3"/>
      <c r="AI3"/>
      <c r="AJ3"/>
      <c r="AK3"/>
      <c r="AL3"/>
      <c r="AM3"/>
      <c r="AN3"/>
    </row>
    <row r="4" spans="1:42" ht="56.25" customHeight="1">
      <c r="A4" s="736" t="s">
        <v>1193</v>
      </c>
      <c r="B4" s="737"/>
      <c r="C4" s="737"/>
      <c r="D4" s="737"/>
      <c r="E4" s="737"/>
      <c r="F4" s="737"/>
      <c r="G4" s="737"/>
      <c r="H4" s="737"/>
      <c r="I4" s="737"/>
      <c r="J4" s="737"/>
      <c r="K4" s="737"/>
      <c r="L4" s="737"/>
      <c r="M4" s="737"/>
      <c r="N4" s="737"/>
      <c r="O4" s="737"/>
      <c r="P4" s="444"/>
      <c r="Q4" s="444"/>
      <c r="R4"/>
      <c r="S4"/>
      <c r="T4"/>
      <c r="U4"/>
      <c r="V4"/>
      <c r="W4"/>
      <c r="X4"/>
      <c r="Y4"/>
      <c r="Z4"/>
      <c r="AA4"/>
      <c r="AB4"/>
      <c r="AC4"/>
      <c r="AD4"/>
      <c r="AE4"/>
      <c r="AF4"/>
      <c r="AG4"/>
      <c r="AH4"/>
      <c r="AI4"/>
      <c r="AJ4"/>
      <c r="AK4"/>
      <c r="AL4"/>
      <c r="AM4"/>
      <c r="AN4"/>
    </row>
    <row r="5" spans="1:42" ht="15">
      <c r="A5"/>
      <c r="B5" s="363" t="s">
        <v>1194</v>
      </c>
      <c r="C5"/>
      <c r="D5"/>
      <c r="E5"/>
      <c r="F5"/>
      <c r="G5"/>
      <c r="H5"/>
      <c r="I5"/>
      <c r="J5"/>
      <c r="K5"/>
      <c r="L5"/>
      <c r="M5"/>
      <c r="N5"/>
      <c r="O5"/>
      <c r="P5"/>
      <c r="Q5"/>
      <c r="R5"/>
      <c r="S5"/>
      <c r="T5"/>
      <c r="U5"/>
      <c r="V5"/>
      <c r="W5"/>
      <c r="X5"/>
      <c r="Y5"/>
      <c r="Z5"/>
      <c r="AA5"/>
      <c r="AB5"/>
      <c r="AC5"/>
      <c r="AD5"/>
      <c r="AE5"/>
      <c r="AF5"/>
      <c r="AG5"/>
      <c r="AH5"/>
      <c r="AI5"/>
      <c r="AJ5"/>
      <c r="AK5"/>
      <c r="AL5"/>
      <c r="AM5"/>
      <c r="AN5"/>
    </row>
    <row r="6" spans="1:42" ht="51">
      <c r="A6" s="447" t="s">
        <v>1195</v>
      </c>
      <c r="B6" s="447" t="s">
        <v>1190</v>
      </c>
      <c r="C6" s="447" t="s">
        <v>1196</v>
      </c>
      <c r="D6" s="447" t="s">
        <v>1197</v>
      </c>
      <c r="E6" s="447" t="s">
        <v>1198</v>
      </c>
      <c r="F6" s="447" t="s">
        <v>1199</v>
      </c>
      <c r="G6" s="447" t="s">
        <v>1200</v>
      </c>
      <c r="H6" s="447" t="s">
        <v>1201</v>
      </c>
      <c r="I6" s="447" t="s">
        <v>1202</v>
      </c>
      <c r="J6" s="447" t="s">
        <v>1203</v>
      </c>
      <c r="K6" s="447" t="s">
        <v>1204</v>
      </c>
      <c r="L6" s="447" t="s">
        <v>1205</v>
      </c>
      <c r="M6" s="447" t="s">
        <v>1206</v>
      </c>
      <c r="N6" s="447" t="s">
        <v>1207</v>
      </c>
      <c r="O6" s="447" t="s">
        <v>1208</v>
      </c>
      <c r="P6" s="633" t="s">
        <v>1209</v>
      </c>
      <c r="Q6" s="633" t="s">
        <v>1210</v>
      </c>
      <c r="R6"/>
      <c r="S6"/>
      <c r="T6"/>
      <c r="U6"/>
      <c r="V6"/>
      <c r="W6"/>
      <c r="X6"/>
      <c r="Y6"/>
      <c r="Z6"/>
      <c r="AA6"/>
      <c r="AB6"/>
      <c r="AC6"/>
      <c r="AD6"/>
      <c r="AE6"/>
      <c r="AF6"/>
      <c r="AG6"/>
      <c r="AH6"/>
      <c r="AI6"/>
      <c r="AJ6"/>
      <c r="AK6"/>
      <c r="AL6"/>
      <c r="AM6"/>
      <c r="AN6"/>
      <c r="AO6"/>
      <c r="AP6"/>
    </row>
    <row r="7" spans="1:42" ht="25.5">
      <c r="A7" s="133" t="s">
        <v>1211</v>
      </c>
      <c r="B7" s="133" t="s">
        <v>1212</v>
      </c>
      <c r="C7" s="133" t="s">
        <v>1213</v>
      </c>
      <c r="D7" s="445">
        <v>11778000</v>
      </c>
      <c r="E7" s="445">
        <v>3064</v>
      </c>
      <c r="F7" s="445">
        <f>D7+E7</f>
        <v>11781064</v>
      </c>
      <c r="G7" s="446">
        <v>0.08</v>
      </c>
      <c r="H7" s="445">
        <f>ROUND(F7*G7,0)</f>
        <v>942485</v>
      </c>
      <c r="I7" s="445">
        <f>F7+H7</f>
        <v>12723549</v>
      </c>
      <c r="J7" s="445">
        <f>ROUND(I7*10%,0)</f>
        <v>1272355</v>
      </c>
      <c r="K7" s="445">
        <f>ROUND(J7*19%,0)</f>
        <v>241747</v>
      </c>
      <c r="L7" s="445">
        <f>I7+K7</f>
        <v>12965296</v>
      </c>
      <c r="M7" s="223">
        <v>2</v>
      </c>
      <c r="N7" s="445">
        <f>ROUND(L7*M7,0)</f>
        <v>25930592</v>
      </c>
      <c r="O7" s="445">
        <f>ROUND(N7/30,0)</f>
        <v>864353</v>
      </c>
      <c r="P7" s="445">
        <f>ROUND(O7/100,0)</f>
        <v>8644</v>
      </c>
      <c r="Q7" s="445">
        <f>ROUND(O7/130,0)</f>
        <v>6649</v>
      </c>
      <c r="R7"/>
      <c r="S7"/>
      <c r="T7"/>
      <c r="U7"/>
      <c r="V7"/>
      <c r="W7"/>
      <c r="X7"/>
      <c r="Y7"/>
      <c r="Z7"/>
      <c r="AA7"/>
      <c r="AB7"/>
      <c r="AC7"/>
      <c r="AD7"/>
      <c r="AE7"/>
      <c r="AF7"/>
      <c r="AG7"/>
      <c r="AH7"/>
      <c r="AI7"/>
      <c r="AJ7"/>
      <c r="AK7"/>
      <c r="AL7"/>
      <c r="AM7"/>
      <c r="AN7"/>
      <c r="AO7"/>
      <c r="AP7"/>
    </row>
    <row r="8" spans="1:42" ht="38.25">
      <c r="A8" s="133" t="s">
        <v>1211</v>
      </c>
      <c r="B8" s="133" t="s">
        <v>1212</v>
      </c>
      <c r="C8" s="133" t="s">
        <v>1214</v>
      </c>
      <c r="D8" s="445">
        <v>11882000</v>
      </c>
      <c r="E8" s="445">
        <v>3064</v>
      </c>
      <c r="F8" s="445">
        <f>D8+E8</f>
        <v>11885064</v>
      </c>
      <c r="G8" s="446">
        <v>0.08</v>
      </c>
      <c r="H8" s="445">
        <f>ROUND(F8*G8,0)</f>
        <v>950805</v>
      </c>
      <c r="I8" s="445">
        <f>F8+H8</f>
        <v>12835869</v>
      </c>
      <c r="J8" s="445">
        <f>ROUND(I8*10%,0)</f>
        <v>1283587</v>
      </c>
      <c r="K8" s="445">
        <f>ROUND(J8*19%,0)</f>
        <v>243882</v>
      </c>
      <c r="L8" s="445">
        <f>I8+K8</f>
        <v>13079751</v>
      </c>
      <c r="M8" s="223">
        <v>2</v>
      </c>
      <c r="N8" s="445">
        <f>ROUND(L8*M8,0)</f>
        <v>26159502</v>
      </c>
      <c r="O8" s="445">
        <f>ROUND(N8/30,0)</f>
        <v>871983</v>
      </c>
      <c r="P8" s="445">
        <f>ROUND(O8/100,0)</f>
        <v>8720</v>
      </c>
      <c r="Q8" s="445">
        <f>ROUND(O8/130,0)</f>
        <v>6708</v>
      </c>
      <c r="R8"/>
      <c r="S8"/>
      <c r="T8"/>
      <c r="U8"/>
      <c r="V8"/>
      <c r="W8"/>
      <c r="X8"/>
      <c r="Y8"/>
      <c r="Z8"/>
      <c r="AA8"/>
      <c r="AB8"/>
      <c r="AC8"/>
      <c r="AD8"/>
      <c r="AE8"/>
      <c r="AF8"/>
      <c r="AG8"/>
      <c r="AH8"/>
      <c r="AI8"/>
      <c r="AJ8"/>
      <c r="AK8"/>
      <c r="AL8"/>
      <c r="AM8"/>
      <c r="AN8"/>
      <c r="AO8"/>
      <c r="AP8"/>
    </row>
    <row r="9" spans="1:42" ht="15" hidden="1">
      <c r="A9" s="435" t="s">
        <v>1215</v>
      </c>
      <c r="B9" s="436">
        <v>792134</v>
      </c>
      <c r="C9" s="441">
        <v>6128</v>
      </c>
      <c r="D9" s="436">
        <v>798262</v>
      </c>
      <c r="E9" s="442">
        <v>0.08</v>
      </c>
      <c r="F9" s="443">
        <v>63861</v>
      </c>
      <c r="G9" s="443">
        <v>862123</v>
      </c>
      <c r="H9" s="443">
        <v>86212</v>
      </c>
      <c r="I9" s="443">
        <v>16380</v>
      </c>
      <c r="J9" s="443">
        <v>878503</v>
      </c>
      <c r="K9" s="437"/>
      <c r="L9" s="437">
        <v>0</v>
      </c>
      <c r="M9" s="440">
        <v>0</v>
      </c>
      <c r="N9"/>
      <c r="O9"/>
      <c r="P9"/>
      <c r="Q9"/>
      <c r="R9"/>
      <c r="S9"/>
      <c r="T9"/>
      <c r="U9"/>
      <c r="V9"/>
      <c r="W9"/>
      <c r="X9"/>
      <c r="Y9"/>
      <c r="Z9"/>
      <c r="AA9"/>
      <c r="AB9"/>
      <c r="AC9"/>
      <c r="AD9"/>
      <c r="AE9"/>
      <c r="AF9"/>
      <c r="AG9"/>
      <c r="AH9"/>
      <c r="AI9"/>
      <c r="AJ9"/>
      <c r="AK9"/>
      <c r="AL9"/>
      <c r="AM9"/>
      <c r="AN9"/>
    </row>
    <row r="10" spans="1:42">
      <c r="A10" s="441"/>
      <c r="B10" s="441"/>
      <c r="C10" s="441"/>
      <c r="D10" s="441"/>
      <c r="E10" s="441"/>
      <c r="F10" s="441"/>
      <c r="G10" s="441"/>
      <c r="H10" s="441"/>
      <c r="I10" s="441"/>
      <c r="J10" s="441"/>
      <c r="K10" s="441"/>
      <c r="L10" s="441"/>
      <c r="M10" s="441"/>
      <c r="N10" s="441"/>
      <c r="O10" s="441"/>
      <c r="P10" s="441"/>
      <c r="Q10" s="441"/>
      <c r="R10" s="441"/>
      <c r="S10" s="441"/>
      <c r="T10" s="441"/>
      <c r="U10" s="441"/>
      <c r="V10" s="441"/>
      <c r="W10" s="441"/>
      <c r="X10" s="441"/>
      <c r="Y10" s="441"/>
      <c r="Z10" s="441"/>
      <c r="AA10" s="441"/>
      <c r="AB10" s="441"/>
      <c r="AC10" s="441"/>
      <c r="AD10" s="441"/>
      <c r="AE10" s="441"/>
      <c r="AF10" s="441"/>
      <c r="AG10" s="441"/>
      <c r="AH10" s="441"/>
      <c r="AI10" s="441"/>
      <c r="AJ10" s="441"/>
      <c r="AK10" s="441"/>
      <c r="AL10" s="441"/>
      <c r="AM10" s="441"/>
    </row>
    <row r="11" spans="1:42" ht="15">
      <c r="A11"/>
      <c r="B11" s="440"/>
      <c r="C11"/>
      <c r="D11"/>
      <c r="E11"/>
      <c r="F11"/>
      <c r="G11"/>
      <c r="H11"/>
      <c r="I11"/>
      <c r="J11"/>
      <c r="K11"/>
      <c r="L11"/>
      <c r="M11"/>
      <c r="N11"/>
      <c r="O11"/>
      <c r="P11"/>
      <c r="Q11"/>
      <c r="R11"/>
      <c r="S11"/>
      <c r="T11"/>
      <c r="U11"/>
      <c r="V11"/>
      <c r="W11"/>
      <c r="X11"/>
      <c r="Y11"/>
      <c r="Z11"/>
      <c r="AA11"/>
      <c r="AB11"/>
      <c r="AC11"/>
      <c r="AD11"/>
      <c r="AE11"/>
      <c r="AF11"/>
      <c r="AG11"/>
      <c r="AH11"/>
      <c r="AI11"/>
      <c r="AJ11"/>
      <c r="AK11"/>
      <c r="AL11"/>
      <c r="AM11"/>
      <c r="AN11"/>
    </row>
    <row r="12" spans="1:42" s="370" customFormat="1" ht="63.75">
      <c r="A12" s="448" t="s">
        <v>1036</v>
      </c>
      <c r="B12" s="434" t="s">
        <v>87</v>
      </c>
      <c r="C12" s="738" t="s">
        <v>1216</v>
      </c>
      <c r="D12" s="738"/>
      <c r="E12" s="738"/>
      <c r="F12" s="738"/>
      <c r="G12" s="738"/>
      <c r="H12" s="434" t="s">
        <v>89</v>
      </c>
      <c r="I12" s="434" t="s">
        <v>90</v>
      </c>
      <c r="J12" s="434" t="s">
        <v>942</v>
      </c>
      <c r="K12" s="434" t="s">
        <v>1217</v>
      </c>
      <c r="L12" s="434" t="s">
        <v>1218</v>
      </c>
      <c r="M12" s="434" t="s">
        <v>1174</v>
      </c>
      <c r="N12" s="434" t="s">
        <v>1175</v>
      </c>
      <c r="O12" s="434" t="s">
        <v>1219</v>
      </c>
      <c r="P12" s="434" t="s">
        <v>1220</v>
      </c>
      <c r="AM12" s="129">
        <v>1</v>
      </c>
      <c r="AN12" s="129" t="s">
        <v>1221</v>
      </c>
      <c r="AO12" s="129" t="s">
        <v>1221</v>
      </c>
    </row>
    <row r="13" spans="1:42" s="263" customFormat="1" ht="112.5" customHeight="1">
      <c r="A13" s="173" t="s">
        <v>1222</v>
      </c>
      <c r="B13" s="215" t="s">
        <v>1223</v>
      </c>
      <c r="C13" s="734" t="s">
        <v>1224</v>
      </c>
      <c r="D13" s="734"/>
      <c r="E13" s="734"/>
      <c r="F13" s="734"/>
      <c r="G13" s="734"/>
      <c r="H13" s="76" t="s">
        <v>89</v>
      </c>
      <c r="I13" s="77" t="s">
        <v>68</v>
      </c>
      <c r="J13" s="77">
        <v>1</v>
      </c>
      <c r="K13" s="405">
        <v>1820680</v>
      </c>
      <c r="L13" s="405">
        <v>0</v>
      </c>
      <c r="M13" s="405">
        <v>1820680</v>
      </c>
      <c r="N13" s="405">
        <v>290697</v>
      </c>
      <c r="O13" s="405">
        <v>1529983</v>
      </c>
      <c r="P13" s="405">
        <v>1820680</v>
      </c>
    </row>
    <row r="14" spans="1:42">
      <c r="P14" s="129" t="s">
        <v>1225</v>
      </c>
      <c r="Q14" s="129" t="s">
        <v>1226</v>
      </c>
    </row>
    <row r="15" spans="1:42" ht="15">
      <c r="A15"/>
      <c r="B15"/>
      <c r="C15"/>
      <c r="D15"/>
      <c r="E15"/>
      <c r="F15"/>
      <c r="G15"/>
      <c r="H15"/>
      <c r="I15"/>
      <c r="J15"/>
      <c r="K15"/>
      <c r="L15"/>
      <c r="M15" s="732" t="s">
        <v>1227</v>
      </c>
      <c r="N15" s="732"/>
      <c r="O15" s="733"/>
      <c r="P15" s="405">
        <f>ROUND((P13/30),0)</f>
        <v>60689</v>
      </c>
      <c r="Q15" s="405">
        <f>ROUND(P15/130,0)</f>
        <v>467</v>
      </c>
      <c r="R15"/>
      <c r="S15"/>
      <c r="T15"/>
      <c r="U15"/>
      <c r="V15"/>
      <c r="W15"/>
      <c r="X15"/>
      <c r="Y15"/>
      <c r="Z15"/>
      <c r="AA15"/>
      <c r="AB15"/>
      <c r="AC15"/>
      <c r="AD15"/>
      <c r="AE15"/>
      <c r="AF15"/>
      <c r="AG15"/>
      <c r="AH15"/>
      <c r="AI15"/>
      <c r="AJ15"/>
      <c r="AK15"/>
      <c r="AL15"/>
      <c r="AM15"/>
      <c r="AN15"/>
    </row>
    <row r="16" spans="1:42">
      <c r="L16" s="438"/>
      <c r="M16" s="732" t="s">
        <v>1228</v>
      </c>
      <c r="N16" s="732"/>
      <c r="O16" s="733"/>
      <c r="P16" s="405">
        <f>ROUND((P13/30),0)</f>
        <v>60689</v>
      </c>
      <c r="Q16" s="405">
        <f>ROUND(P16/100,0)</f>
        <v>607</v>
      </c>
      <c r="R16" s="405"/>
    </row>
    <row r="17" spans="12:17" ht="15">
      <c r="L17"/>
      <c r="M17"/>
      <c r="N17"/>
      <c r="O17"/>
      <c r="P17"/>
      <c r="Q17" s="439"/>
    </row>
  </sheetData>
  <mergeCells count="8">
    <mergeCell ref="M16:O16"/>
    <mergeCell ref="C13:G13"/>
    <mergeCell ref="A1:O1"/>
    <mergeCell ref="A2:O2"/>
    <mergeCell ref="A4:O4"/>
    <mergeCell ref="M15:O15"/>
    <mergeCell ref="C12:G12"/>
    <mergeCell ref="A3:O3"/>
  </mergeCells>
  <conditionalFormatting sqref="D12">
    <cfRule type="duplicateValues" dxfId="11" priority="2"/>
  </conditionalFormatting>
  <conditionalFormatting sqref="D13">
    <cfRule type="duplicateValues" dxfId="10" priority="1"/>
  </conditionalFormatting>
  <pageMargins left="0.7" right="0.7" top="0.75" bottom="0.75" header="0.3" footer="0.3"/>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B050"/>
  </sheetPr>
  <dimension ref="A1:AJ15"/>
  <sheetViews>
    <sheetView showGridLines="0" workbookViewId="0">
      <selection activeCell="J15" sqref="J15:K15"/>
    </sheetView>
  </sheetViews>
  <sheetFormatPr defaultColWidth="11.42578125" defaultRowHeight="15"/>
  <cols>
    <col min="1" max="1" width="11.28515625" customWidth="1"/>
    <col min="2" max="2" width="18.85546875" customWidth="1"/>
    <col min="3" max="3" width="14.42578125" customWidth="1"/>
    <col min="4" max="4" width="55.28515625" customWidth="1"/>
    <col min="5" max="5" width="26.42578125" customWidth="1"/>
    <col min="8" max="8" width="14.7109375" customWidth="1"/>
    <col min="9" max="9" width="12.140625" bestFit="1" customWidth="1"/>
    <col min="10" max="11" width="12.140625" customWidth="1"/>
    <col min="12" max="12" width="19.7109375" customWidth="1"/>
  </cols>
  <sheetData>
    <row r="1" spans="1:36">
      <c r="A1" s="449" t="s">
        <v>1229</v>
      </c>
    </row>
    <row r="2" spans="1:36">
      <c r="A2" s="740" t="s">
        <v>1230</v>
      </c>
      <c r="B2" s="740"/>
      <c r="C2" s="740"/>
      <c r="D2" s="740"/>
      <c r="E2" s="740"/>
      <c r="F2" s="740"/>
      <c r="G2" s="740"/>
      <c r="H2" s="740"/>
      <c r="I2" s="740"/>
      <c r="J2" s="740"/>
      <c r="K2" s="740"/>
      <c r="L2" s="740"/>
      <c r="M2" s="450"/>
    </row>
    <row r="3" spans="1:36" ht="9" customHeight="1"/>
    <row r="4" spans="1:36" ht="9" customHeight="1"/>
    <row r="5" spans="1:36" ht="9" customHeight="1"/>
    <row r="6" spans="1:36" ht="25.5">
      <c r="A6" s="452" t="s">
        <v>1231</v>
      </c>
      <c r="B6" s="452" t="s">
        <v>1036</v>
      </c>
      <c r="C6" s="452" t="s">
        <v>87</v>
      </c>
      <c r="D6" s="452" t="s">
        <v>1216</v>
      </c>
      <c r="E6" s="452" t="s">
        <v>89</v>
      </c>
      <c r="F6" s="452" t="s">
        <v>1232</v>
      </c>
      <c r="G6" s="452" t="s">
        <v>942</v>
      </c>
      <c r="H6" s="453" t="s">
        <v>1233</v>
      </c>
      <c r="I6" s="453" t="s">
        <v>1175</v>
      </c>
      <c r="J6" s="452" t="s">
        <v>1234</v>
      </c>
      <c r="K6" s="452" t="s">
        <v>1235</v>
      </c>
      <c r="L6" s="453" t="s">
        <v>1234</v>
      </c>
      <c r="M6" s="370"/>
      <c r="N6" s="370"/>
      <c r="O6" s="370"/>
      <c r="P6" s="370"/>
      <c r="Q6" s="370"/>
      <c r="R6" s="370"/>
      <c r="S6" s="370"/>
      <c r="T6" s="370"/>
      <c r="U6" s="370"/>
      <c r="V6" s="370"/>
      <c r="W6" s="370"/>
      <c r="X6" s="370"/>
      <c r="Y6" s="370"/>
      <c r="Z6" s="370"/>
      <c r="AA6" s="370"/>
      <c r="AB6" s="370"/>
      <c r="AC6" s="370"/>
      <c r="AD6" s="370"/>
      <c r="AE6" s="370"/>
      <c r="AF6" s="370"/>
      <c r="AG6" s="370"/>
      <c r="AH6" s="370"/>
      <c r="AI6" s="129">
        <v>1</v>
      </c>
      <c r="AJ6" s="129" t="s">
        <v>1221</v>
      </c>
    </row>
    <row r="7" spans="1:36" ht="51">
      <c r="A7" s="214">
        <v>4</v>
      </c>
      <c r="B7" s="214" t="s">
        <v>981</v>
      </c>
      <c r="C7" s="133" t="s">
        <v>1236</v>
      </c>
      <c r="D7" s="136" t="s">
        <v>1237</v>
      </c>
      <c r="E7" s="214" t="s">
        <v>1238</v>
      </c>
      <c r="F7" s="223" t="s">
        <v>84</v>
      </c>
      <c r="G7" s="223">
        <v>1</v>
      </c>
      <c r="H7" s="228">
        <v>19365411</v>
      </c>
      <c r="I7" s="228">
        <v>0</v>
      </c>
      <c r="J7" s="228">
        <f>H7+I7</f>
        <v>19365411</v>
      </c>
      <c r="K7" s="223">
        <v>2024</v>
      </c>
      <c r="L7" s="228">
        <f>ROUND((G7*H7),0)</f>
        <v>19365411</v>
      </c>
    </row>
    <row r="8" spans="1:36" ht="51">
      <c r="A8" s="214">
        <v>4</v>
      </c>
      <c r="B8" s="214" t="s">
        <v>981</v>
      </c>
      <c r="C8" s="133" t="s">
        <v>1236</v>
      </c>
      <c r="D8" s="136" t="s">
        <v>1239</v>
      </c>
      <c r="E8" s="214" t="s">
        <v>1238</v>
      </c>
      <c r="F8" s="223" t="s">
        <v>84</v>
      </c>
      <c r="G8" s="223">
        <v>1</v>
      </c>
      <c r="H8" s="228">
        <v>13394173</v>
      </c>
      <c r="I8" s="228">
        <v>0</v>
      </c>
      <c r="J8" s="228">
        <f>H8+I8</f>
        <v>13394173</v>
      </c>
      <c r="K8" s="223">
        <v>2024</v>
      </c>
      <c r="L8" s="228">
        <f>ROUND((G8*H8),0)</f>
        <v>13394173</v>
      </c>
    </row>
    <row r="9" spans="1:36">
      <c r="A9" s="129"/>
      <c r="B9" s="129"/>
      <c r="C9" s="129"/>
      <c r="D9" s="129"/>
      <c r="E9" s="129"/>
      <c r="F9" s="129"/>
      <c r="G9" s="129"/>
      <c r="H9" s="129"/>
      <c r="I9" s="129"/>
      <c r="J9" s="129"/>
      <c r="K9" s="129"/>
      <c r="L9" s="129"/>
    </row>
    <row r="10" spans="1:36">
      <c r="A10" s="129"/>
      <c r="B10" s="129"/>
      <c r="C10" s="129"/>
      <c r="D10" s="129"/>
      <c r="E10" s="129"/>
      <c r="F10" s="129"/>
      <c r="G10" s="129"/>
      <c r="H10" s="129"/>
      <c r="I10" s="129"/>
      <c r="J10" s="739" t="s">
        <v>1240</v>
      </c>
      <c r="K10" s="739"/>
      <c r="L10" s="451">
        <f>SUM(L7:L8)</f>
        <v>32759584</v>
      </c>
    </row>
    <row r="11" spans="1:36">
      <c r="A11" s="129"/>
      <c r="B11" s="129"/>
      <c r="C11" s="129"/>
      <c r="D11" s="129"/>
      <c r="E11" s="129"/>
      <c r="F11" s="129"/>
      <c r="G11" s="129"/>
      <c r="H11" s="129"/>
      <c r="I11" s="129"/>
      <c r="J11" s="739" t="s">
        <v>1241</v>
      </c>
      <c r="K11" s="739"/>
      <c r="L11" s="451">
        <f>ROUND((L10/30),0)</f>
        <v>1091986</v>
      </c>
    </row>
    <row r="12" spans="1:36">
      <c r="A12" s="129"/>
      <c r="B12" s="129"/>
      <c r="C12" s="129"/>
      <c r="D12" s="129"/>
      <c r="E12" s="129"/>
      <c r="F12" s="129"/>
      <c r="G12" s="129"/>
      <c r="H12" s="129"/>
      <c r="I12" s="129"/>
      <c r="J12" s="739" t="s">
        <v>1242</v>
      </c>
      <c r="K12" s="739"/>
      <c r="L12" s="451">
        <f>ROUND((L11/130),0)</f>
        <v>8400</v>
      </c>
    </row>
    <row r="14" spans="1:36">
      <c r="I14" s="129" t="s">
        <v>1243</v>
      </c>
      <c r="J14" s="739" t="s">
        <v>1244</v>
      </c>
      <c r="K14" s="739"/>
      <c r="L14" s="451">
        <f>ROUND((L10/30),0)</f>
        <v>1091986</v>
      </c>
    </row>
    <row r="15" spans="1:36">
      <c r="J15" s="739" t="s">
        <v>1242</v>
      </c>
      <c r="K15" s="739"/>
      <c r="L15" s="451">
        <f>ROUND((L14/100),0)</f>
        <v>10920</v>
      </c>
    </row>
  </sheetData>
  <mergeCells count="6">
    <mergeCell ref="J15:K15"/>
    <mergeCell ref="A2:L2"/>
    <mergeCell ref="J10:K10"/>
    <mergeCell ref="J11:K11"/>
    <mergeCell ref="J12:K12"/>
    <mergeCell ref="J14:K14"/>
  </mergeCells>
  <conditionalFormatting sqref="C6">
    <cfRule type="duplicateValues" dxfId="9" priority="1"/>
  </conditionalFormatting>
  <pageMargins left="0.7" right="0.7" top="0.75" bottom="0.75" header="0.3" footer="0.3"/>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FF00"/>
  </sheetPr>
  <dimension ref="A1:J61"/>
  <sheetViews>
    <sheetView workbookViewId="0">
      <selection activeCell="G22" sqref="G22"/>
    </sheetView>
  </sheetViews>
  <sheetFormatPr defaultColWidth="11.42578125" defaultRowHeight="15"/>
  <cols>
    <col min="4" max="5" width="46.7109375" customWidth="1"/>
    <col min="6" max="6" width="11.7109375" customWidth="1"/>
    <col min="8" max="8" width="19" customWidth="1"/>
  </cols>
  <sheetData>
    <row r="1" spans="1:10">
      <c r="A1" s="743" t="s">
        <v>1245</v>
      </c>
      <c r="B1" s="744"/>
      <c r="C1" s="745"/>
      <c r="D1" s="752" t="s">
        <v>1246</v>
      </c>
      <c r="E1" s="752" t="s">
        <v>1247</v>
      </c>
      <c r="F1" s="742" t="s">
        <v>1248</v>
      </c>
      <c r="G1" s="742"/>
      <c r="H1" s="752" t="s">
        <v>1249</v>
      </c>
    </row>
    <row r="2" spans="1:10">
      <c r="A2" s="746"/>
      <c r="B2" s="747"/>
      <c r="C2" s="748"/>
      <c r="D2" s="753"/>
      <c r="E2" s="753"/>
      <c r="F2" s="742" t="s">
        <v>1250</v>
      </c>
      <c r="G2" s="742"/>
      <c r="H2" s="753"/>
    </row>
    <row r="3" spans="1:10">
      <c r="A3" s="749"/>
      <c r="B3" s="750"/>
      <c r="C3" s="751"/>
      <c r="D3" s="754"/>
      <c r="E3" s="754"/>
      <c r="F3" s="102">
        <v>100</v>
      </c>
      <c r="G3" s="102">
        <v>130</v>
      </c>
      <c r="H3" s="754"/>
      <c r="J3">
        <f>F3/G3</f>
        <v>0.76923076923076927</v>
      </c>
    </row>
    <row r="4" spans="1:10" ht="24">
      <c r="A4" s="755">
        <v>1</v>
      </c>
      <c r="B4" s="765" t="s">
        <v>1251</v>
      </c>
      <c r="C4" s="766"/>
      <c r="D4" s="771" t="s">
        <v>1252</v>
      </c>
      <c r="E4" s="73" t="s">
        <v>1253</v>
      </c>
      <c r="F4" s="72">
        <v>1</v>
      </c>
      <c r="G4" s="72">
        <v>1</v>
      </c>
      <c r="H4" s="19"/>
    </row>
    <row r="5" spans="1:10">
      <c r="A5" s="756"/>
      <c r="B5" s="767"/>
      <c r="C5" s="768"/>
      <c r="D5" s="772"/>
      <c r="E5" s="73" t="s">
        <v>1254</v>
      </c>
      <c r="F5" s="72">
        <v>1</v>
      </c>
      <c r="G5" s="72">
        <v>1</v>
      </c>
      <c r="H5" s="19"/>
    </row>
    <row r="6" spans="1:10">
      <c r="A6" s="756"/>
      <c r="B6" s="767"/>
      <c r="C6" s="768"/>
      <c r="D6" s="772"/>
      <c r="E6" s="19" t="s">
        <v>1255</v>
      </c>
      <c r="F6" s="72">
        <v>1</v>
      </c>
      <c r="G6" s="72">
        <v>1</v>
      </c>
      <c r="H6" s="19"/>
    </row>
    <row r="7" spans="1:10">
      <c r="A7" s="757"/>
      <c r="B7" s="769"/>
      <c r="C7" s="770"/>
      <c r="D7" s="773"/>
      <c r="E7" s="19" t="s">
        <v>1256</v>
      </c>
      <c r="F7" s="72">
        <v>3</v>
      </c>
      <c r="G7" s="72">
        <v>3</v>
      </c>
      <c r="H7" s="19"/>
    </row>
    <row r="8" spans="1:10" ht="36" customHeight="1">
      <c r="A8" s="755">
        <v>2</v>
      </c>
      <c r="B8" s="774" t="s">
        <v>1257</v>
      </c>
      <c r="C8" s="775"/>
      <c r="D8" s="780" t="s">
        <v>1258</v>
      </c>
      <c r="E8" s="73" t="s">
        <v>1259</v>
      </c>
      <c r="F8" s="72">
        <v>2</v>
      </c>
      <c r="G8" s="72">
        <v>2</v>
      </c>
      <c r="H8" s="19"/>
    </row>
    <row r="9" spans="1:10">
      <c r="A9" s="756"/>
      <c r="B9" s="776"/>
      <c r="C9" s="777"/>
      <c r="D9" s="781"/>
      <c r="E9" s="19" t="s">
        <v>1260</v>
      </c>
      <c r="F9" s="72">
        <v>2</v>
      </c>
      <c r="G9" s="72">
        <v>2</v>
      </c>
      <c r="H9" s="19"/>
    </row>
    <row r="10" spans="1:10">
      <c r="A10" s="756"/>
      <c r="B10" s="776"/>
      <c r="C10" s="777"/>
      <c r="D10" s="781"/>
      <c r="E10" s="19" t="s">
        <v>1256</v>
      </c>
      <c r="F10" s="72">
        <v>4</v>
      </c>
      <c r="G10" s="72">
        <v>4</v>
      </c>
      <c r="H10" s="19"/>
    </row>
    <row r="11" spans="1:10">
      <c r="A11" s="756"/>
      <c r="B11" s="776"/>
      <c r="C11" s="777"/>
      <c r="D11" s="781"/>
      <c r="E11" s="19" t="s">
        <v>1261</v>
      </c>
      <c r="F11" s="72">
        <v>2</v>
      </c>
      <c r="G11" s="72">
        <v>2</v>
      </c>
      <c r="H11" s="19"/>
    </row>
    <row r="12" spans="1:10" ht="30">
      <c r="A12" s="756"/>
      <c r="B12" s="776"/>
      <c r="C12" s="777"/>
      <c r="D12" s="781"/>
      <c r="E12" s="19" t="s">
        <v>1262</v>
      </c>
      <c r="F12" s="72">
        <v>1</v>
      </c>
      <c r="G12" s="72">
        <v>1</v>
      </c>
      <c r="H12" s="19"/>
    </row>
    <row r="13" spans="1:10">
      <c r="A13" s="756"/>
      <c r="B13" s="776"/>
      <c r="C13" s="777"/>
      <c r="D13" s="781"/>
      <c r="E13" s="19" t="s">
        <v>1263</v>
      </c>
      <c r="F13" s="72">
        <v>1</v>
      </c>
      <c r="G13" s="72">
        <v>1</v>
      </c>
      <c r="H13" s="19"/>
    </row>
    <row r="14" spans="1:10">
      <c r="A14" s="756"/>
      <c r="B14" s="776"/>
      <c r="C14" s="777"/>
      <c r="D14" s="781"/>
      <c r="E14" s="19" t="s">
        <v>1264</v>
      </c>
      <c r="F14" s="72">
        <v>1</v>
      </c>
      <c r="G14" s="72">
        <v>1</v>
      </c>
      <c r="H14" s="19"/>
    </row>
    <row r="15" spans="1:10">
      <c r="A15" s="757"/>
      <c r="B15" s="778"/>
      <c r="C15" s="779"/>
      <c r="D15" s="782"/>
      <c r="E15" s="19" t="s">
        <v>1265</v>
      </c>
      <c r="F15" s="72">
        <v>1</v>
      </c>
      <c r="G15" s="72">
        <v>1</v>
      </c>
      <c r="H15" s="19"/>
    </row>
    <row r="16" spans="1:10" ht="24" customHeight="1">
      <c r="A16" s="755">
        <v>3</v>
      </c>
      <c r="B16" s="758" t="s">
        <v>1266</v>
      </c>
      <c r="C16" s="759"/>
      <c r="D16" s="780" t="s">
        <v>1267</v>
      </c>
      <c r="E16" s="73" t="s">
        <v>1268</v>
      </c>
      <c r="F16" s="72">
        <v>6</v>
      </c>
      <c r="G16" s="72">
        <v>6</v>
      </c>
      <c r="H16" s="19"/>
    </row>
    <row r="17" spans="1:8">
      <c r="A17" s="756"/>
      <c r="B17" s="760"/>
      <c r="C17" s="761"/>
      <c r="D17" s="781"/>
      <c r="E17" s="19" t="s">
        <v>1269</v>
      </c>
      <c r="F17" s="72">
        <v>6</v>
      </c>
      <c r="G17" s="72">
        <v>6</v>
      </c>
      <c r="H17" s="19"/>
    </row>
    <row r="18" spans="1:8">
      <c r="A18" s="756"/>
      <c r="B18" s="760"/>
      <c r="C18" s="761"/>
      <c r="D18" s="781"/>
      <c r="E18" s="19" t="s">
        <v>1270</v>
      </c>
      <c r="F18" s="72">
        <v>12</v>
      </c>
      <c r="G18" s="72">
        <v>12</v>
      </c>
      <c r="H18" s="19"/>
    </row>
    <row r="19" spans="1:8">
      <c r="A19" s="756"/>
      <c r="B19" s="760"/>
      <c r="C19" s="761"/>
      <c r="D19" s="781"/>
      <c r="E19" s="19" t="s">
        <v>1271</v>
      </c>
      <c r="F19" s="72">
        <v>3</v>
      </c>
      <c r="G19" s="72">
        <v>3</v>
      </c>
      <c r="H19" s="19"/>
    </row>
    <row r="20" spans="1:8">
      <c r="A20" s="757"/>
      <c r="B20" s="762"/>
      <c r="C20" s="763"/>
      <c r="D20" s="782"/>
      <c r="E20" s="19" t="s">
        <v>1272</v>
      </c>
      <c r="F20" s="72">
        <v>4</v>
      </c>
      <c r="G20" s="72">
        <v>4</v>
      </c>
      <c r="H20" s="19"/>
    </row>
    <row r="21" spans="1:8" ht="36">
      <c r="A21" s="67">
        <v>4</v>
      </c>
      <c r="B21" s="741" t="s">
        <v>1273</v>
      </c>
      <c r="C21" s="741"/>
      <c r="D21" s="69" t="s">
        <v>1274</v>
      </c>
      <c r="E21" s="70" t="s">
        <v>1275</v>
      </c>
      <c r="F21" s="72">
        <v>10</v>
      </c>
      <c r="G21" s="72">
        <v>10</v>
      </c>
      <c r="H21" s="19"/>
    </row>
    <row r="22" spans="1:8" ht="36" customHeight="1">
      <c r="A22" s="755">
        <v>5</v>
      </c>
      <c r="B22" s="758" t="s">
        <v>1276</v>
      </c>
      <c r="C22" s="759"/>
      <c r="D22" s="783" t="s">
        <v>1277</v>
      </c>
      <c r="E22" s="73" t="s">
        <v>1278</v>
      </c>
      <c r="F22" s="72">
        <v>1</v>
      </c>
      <c r="G22" s="72">
        <v>1</v>
      </c>
      <c r="H22" s="19"/>
    </row>
    <row r="23" spans="1:8">
      <c r="A23" s="756"/>
      <c r="B23" s="760"/>
      <c r="C23" s="761"/>
      <c r="D23" s="784"/>
      <c r="E23" s="73" t="s">
        <v>1279</v>
      </c>
      <c r="F23" s="72">
        <v>1</v>
      </c>
      <c r="G23" s="72">
        <v>1</v>
      </c>
      <c r="H23" s="19"/>
    </row>
    <row r="24" spans="1:8" ht="24" customHeight="1">
      <c r="A24" s="756"/>
      <c r="B24" s="760"/>
      <c r="C24" s="761"/>
      <c r="D24" s="784"/>
      <c r="E24" s="73" t="s">
        <v>1280</v>
      </c>
      <c r="F24" s="72">
        <v>2</v>
      </c>
      <c r="G24" s="72">
        <v>2</v>
      </c>
      <c r="H24" s="19"/>
    </row>
    <row r="25" spans="1:8">
      <c r="A25" s="756"/>
      <c r="B25" s="760"/>
      <c r="C25" s="761"/>
      <c r="D25" s="784"/>
      <c r="E25" s="73" t="s">
        <v>1281</v>
      </c>
      <c r="F25" s="72">
        <v>1</v>
      </c>
      <c r="G25" s="72">
        <v>1</v>
      </c>
      <c r="H25" s="19"/>
    </row>
    <row r="26" spans="1:8" ht="24">
      <c r="A26" s="756"/>
      <c r="B26" s="760"/>
      <c r="C26" s="761"/>
      <c r="D26" s="784"/>
      <c r="E26" s="73" t="s">
        <v>1282</v>
      </c>
      <c r="F26" s="72">
        <v>1</v>
      </c>
      <c r="G26" s="72">
        <v>1</v>
      </c>
      <c r="H26" s="19"/>
    </row>
    <row r="27" spans="1:8">
      <c r="A27" s="756"/>
      <c r="B27" s="760"/>
      <c r="C27" s="761"/>
      <c r="D27" s="784"/>
      <c r="E27" s="73" t="s">
        <v>1283</v>
      </c>
      <c r="F27" s="72">
        <v>1</v>
      </c>
      <c r="G27" s="72">
        <v>1</v>
      </c>
      <c r="H27" s="19"/>
    </row>
    <row r="28" spans="1:8">
      <c r="A28" s="756"/>
      <c r="B28" s="760"/>
      <c r="C28" s="761"/>
      <c r="D28" s="784"/>
      <c r="E28" s="73" t="s">
        <v>1284</v>
      </c>
      <c r="F28" s="72">
        <v>2</v>
      </c>
      <c r="G28" s="72">
        <v>2</v>
      </c>
      <c r="H28" s="19"/>
    </row>
    <row r="29" spans="1:8">
      <c r="A29" s="756"/>
      <c r="B29" s="760"/>
      <c r="C29" s="761"/>
      <c r="D29" s="784"/>
      <c r="E29" s="73" t="s">
        <v>1285</v>
      </c>
      <c r="F29" s="72">
        <v>1</v>
      </c>
      <c r="G29" s="72">
        <v>1</v>
      </c>
      <c r="H29" s="19"/>
    </row>
    <row r="30" spans="1:8" ht="36">
      <c r="A30" s="757"/>
      <c r="B30" s="762"/>
      <c r="C30" s="763"/>
      <c r="D30" s="785"/>
      <c r="E30" s="73" t="s">
        <v>1286</v>
      </c>
      <c r="F30" s="72">
        <v>100</v>
      </c>
      <c r="G30" s="72">
        <v>130</v>
      </c>
      <c r="H30" s="19"/>
    </row>
    <row r="31" spans="1:8" ht="48">
      <c r="A31" s="755">
        <v>6</v>
      </c>
      <c r="B31" s="758" t="s">
        <v>1287</v>
      </c>
      <c r="C31" s="759"/>
      <c r="D31" s="783" t="s">
        <v>1288</v>
      </c>
      <c r="E31" s="73" t="s">
        <v>1289</v>
      </c>
      <c r="F31" s="72">
        <v>100</v>
      </c>
      <c r="G31" s="72">
        <v>130</v>
      </c>
      <c r="H31" s="19"/>
    </row>
    <row r="32" spans="1:8">
      <c r="A32" s="756"/>
      <c r="B32" s="760"/>
      <c r="C32" s="761"/>
      <c r="D32" s="784"/>
      <c r="E32" s="73" t="s">
        <v>1290</v>
      </c>
      <c r="F32" s="72">
        <v>17</v>
      </c>
      <c r="G32" s="72">
        <v>22</v>
      </c>
      <c r="H32" s="19"/>
    </row>
    <row r="33" spans="1:8">
      <c r="A33" s="756"/>
      <c r="B33" s="760"/>
      <c r="C33" s="761"/>
      <c r="D33" s="784"/>
      <c r="E33" s="73" t="s">
        <v>1291</v>
      </c>
      <c r="F33" s="72">
        <v>2</v>
      </c>
      <c r="G33" s="72">
        <v>2</v>
      </c>
      <c r="H33" s="19"/>
    </row>
    <row r="34" spans="1:8">
      <c r="A34" s="756"/>
      <c r="B34" s="760"/>
      <c r="C34" s="761"/>
      <c r="D34" s="784"/>
      <c r="E34" s="73" t="s">
        <v>1292</v>
      </c>
      <c r="F34" s="72">
        <v>2</v>
      </c>
      <c r="G34" s="72">
        <v>2</v>
      </c>
      <c r="H34" s="19"/>
    </row>
    <row r="35" spans="1:8">
      <c r="A35" s="756"/>
      <c r="B35" s="760"/>
      <c r="C35" s="761"/>
      <c r="D35" s="784"/>
      <c r="E35" s="73" t="s">
        <v>1293</v>
      </c>
      <c r="F35" s="72">
        <v>2</v>
      </c>
      <c r="G35" s="72">
        <v>2</v>
      </c>
      <c r="H35" s="19"/>
    </row>
    <row r="36" spans="1:8" ht="24">
      <c r="A36" s="756"/>
      <c r="B36" s="760"/>
      <c r="C36" s="761"/>
      <c r="D36" s="784"/>
      <c r="E36" s="73" t="s">
        <v>1294</v>
      </c>
      <c r="F36" s="72">
        <v>1</v>
      </c>
      <c r="G36" s="72">
        <v>1</v>
      </c>
      <c r="H36" s="19"/>
    </row>
    <row r="37" spans="1:8">
      <c r="A37" s="756"/>
      <c r="B37" s="760"/>
      <c r="C37" s="761"/>
      <c r="D37" s="784"/>
      <c r="E37" s="73" t="s">
        <v>1295</v>
      </c>
      <c r="F37" s="72">
        <v>2</v>
      </c>
      <c r="G37" s="72">
        <v>2</v>
      </c>
      <c r="H37" s="19"/>
    </row>
    <row r="38" spans="1:8" ht="24">
      <c r="A38" s="756"/>
      <c r="B38" s="760"/>
      <c r="C38" s="761"/>
      <c r="D38" s="784"/>
      <c r="E38" s="73" t="s">
        <v>1296</v>
      </c>
      <c r="F38" s="72">
        <f>ROUNDUP(G38*J3,0)</f>
        <v>20</v>
      </c>
      <c r="G38" s="72">
        <v>25</v>
      </c>
      <c r="H38" s="19"/>
    </row>
    <row r="39" spans="1:8" ht="24">
      <c r="A39" s="755">
        <v>7</v>
      </c>
      <c r="B39" s="758" t="s">
        <v>1297</v>
      </c>
      <c r="C39" s="759"/>
      <c r="D39" s="780" t="s">
        <v>1298</v>
      </c>
      <c r="E39" s="73" t="s">
        <v>1299</v>
      </c>
      <c r="F39" s="72">
        <v>4</v>
      </c>
      <c r="G39" s="72">
        <v>4</v>
      </c>
      <c r="H39" s="19"/>
    </row>
    <row r="40" spans="1:8">
      <c r="A40" s="756"/>
      <c r="B40" s="760"/>
      <c r="C40" s="761"/>
      <c r="D40" s="781"/>
      <c r="E40" s="19" t="s">
        <v>1300</v>
      </c>
      <c r="F40" s="72">
        <v>24</v>
      </c>
      <c r="G40" s="72">
        <v>24</v>
      </c>
      <c r="H40" s="19"/>
    </row>
    <row r="41" spans="1:8">
      <c r="A41" s="757"/>
      <c r="B41" s="762"/>
      <c r="C41" s="763"/>
      <c r="D41" s="782"/>
      <c r="E41" s="19" t="s">
        <v>1301</v>
      </c>
      <c r="F41" s="72">
        <v>4</v>
      </c>
      <c r="G41" s="72">
        <v>4</v>
      </c>
      <c r="H41" s="19"/>
    </row>
    <row r="42" spans="1:8" ht="60">
      <c r="A42" s="67">
        <v>8</v>
      </c>
      <c r="B42" s="741" t="s">
        <v>1302</v>
      </c>
      <c r="C42" s="741"/>
      <c r="D42" s="69" t="s">
        <v>1303</v>
      </c>
      <c r="E42" s="19" t="s">
        <v>1304</v>
      </c>
      <c r="F42" s="72"/>
      <c r="G42" s="72"/>
      <c r="H42" s="19"/>
    </row>
    <row r="43" spans="1:8" ht="72">
      <c r="A43" s="67">
        <v>9</v>
      </c>
      <c r="B43" s="741" t="s">
        <v>1305</v>
      </c>
      <c r="C43" s="741"/>
      <c r="D43" s="69" t="s">
        <v>1306</v>
      </c>
      <c r="E43" s="19"/>
      <c r="F43" s="72"/>
      <c r="G43" s="72"/>
      <c r="H43" s="19"/>
    </row>
    <row r="44" spans="1:8" ht="48">
      <c r="A44" s="67">
        <v>10</v>
      </c>
      <c r="B44" s="741" t="s">
        <v>1307</v>
      </c>
      <c r="C44" s="741"/>
      <c r="D44" s="68" t="s">
        <v>1308</v>
      </c>
      <c r="E44" s="19" t="s">
        <v>1309</v>
      </c>
      <c r="F44" s="72"/>
      <c r="G44" s="72"/>
      <c r="H44" s="19"/>
    </row>
    <row r="45" spans="1:8" ht="36">
      <c r="A45" s="71">
        <v>11</v>
      </c>
      <c r="B45" s="741" t="s">
        <v>1310</v>
      </c>
      <c r="C45" s="741"/>
      <c r="D45" s="69" t="s">
        <v>1311</v>
      </c>
      <c r="E45" s="19"/>
      <c r="F45" s="72"/>
      <c r="G45" s="72"/>
      <c r="H45" s="19"/>
    </row>
    <row r="46" spans="1:8" ht="132">
      <c r="A46" s="67">
        <v>12</v>
      </c>
      <c r="B46" s="741" t="s">
        <v>1312</v>
      </c>
      <c r="C46" s="741"/>
      <c r="D46" s="69" t="s">
        <v>1313</v>
      </c>
      <c r="E46" s="19"/>
      <c r="F46" s="72"/>
      <c r="G46" s="72"/>
      <c r="H46" s="19"/>
    </row>
    <row r="47" spans="1:8" ht="48">
      <c r="A47" s="67">
        <v>13</v>
      </c>
      <c r="B47" s="741" t="s">
        <v>1314</v>
      </c>
      <c r="C47" s="741"/>
      <c r="D47" s="68" t="s">
        <v>1315</v>
      </c>
      <c r="E47" s="19" t="s">
        <v>1316</v>
      </c>
      <c r="F47" s="72"/>
      <c r="G47" s="72"/>
      <c r="H47" s="19"/>
    </row>
    <row r="48" spans="1:8" ht="36">
      <c r="A48" s="67">
        <v>14</v>
      </c>
      <c r="B48" s="741" t="s">
        <v>1317</v>
      </c>
      <c r="C48" s="741"/>
      <c r="D48" s="69" t="s">
        <v>1318</v>
      </c>
      <c r="E48" s="19"/>
      <c r="F48" s="72"/>
      <c r="G48" s="72"/>
      <c r="H48" s="19"/>
    </row>
    <row r="49" spans="1:8" ht="24">
      <c r="A49" s="71">
        <v>15</v>
      </c>
      <c r="B49" s="764" t="s">
        <v>1319</v>
      </c>
      <c r="C49" s="764"/>
      <c r="D49" s="68" t="s">
        <v>1320</v>
      </c>
      <c r="E49" s="70" t="s">
        <v>1321</v>
      </c>
      <c r="F49" s="72"/>
      <c r="G49" s="72"/>
      <c r="H49" s="19"/>
    </row>
    <row r="50" spans="1:8" ht="72">
      <c r="A50" s="67">
        <v>16</v>
      </c>
      <c r="B50" s="741" t="s">
        <v>1322</v>
      </c>
      <c r="C50" s="741"/>
      <c r="D50" s="69" t="s">
        <v>1323</v>
      </c>
      <c r="E50" s="19" t="s">
        <v>1324</v>
      </c>
      <c r="F50" s="72"/>
      <c r="G50" s="72"/>
      <c r="H50" s="19"/>
    </row>
    <row r="51" spans="1:8" ht="72">
      <c r="A51" s="67">
        <v>17</v>
      </c>
      <c r="B51" s="741" t="s">
        <v>1325</v>
      </c>
      <c r="C51" s="741"/>
      <c r="D51" s="69" t="s">
        <v>1326</v>
      </c>
      <c r="E51" s="70" t="s">
        <v>1327</v>
      </c>
      <c r="F51" s="72"/>
      <c r="G51" s="72"/>
      <c r="H51" s="19"/>
    </row>
    <row r="52" spans="1:8" ht="72">
      <c r="A52" s="67">
        <v>18</v>
      </c>
      <c r="B52" s="741" t="s">
        <v>1328</v>
      </c>
      <c r="C52" s="741"/>
      <c r="D52" s="69" t="s">
        <v>1329</v>
      </c>
      <c r="E52" s="70" t="s">
        <v>1327</v>
      </c>
      <c r="F52" s="72"/>
      <c r="G52" s="72"/>
      <c r="H52" s="19"/>
    </row>
    <row r="53" spans="1:8" ht="36">
      <c r="A53" s="71">
        <v>19</v>
      </c>
      <c r="B53" s="741" t="s">
        <v>1330</v>
      </c>
      <c r="C53" s="741"/>
      <c r="D53" s="69" t="s">
        <v>1331</v>
      </c>
      <c r="E53" s="19" t="s">
        <v>1332</v>
      </c>
      <c r="F53" s="72"/>
      <c r="G53" s="72"/>
      <c r="H53" s="19"/>
    </row>
    <row r="54" spans="1:8">
      <c r="A54" s="71">
        <v>20</v>
      </c>
      <c r="B54" s="741" t="s">
        <v>1333</v>
      </c>
      <c r="C54" s="741"/>
      <c r="D54" s="68" t="s">
        <v>1334</v>
      </c>
      <c r="E54" s="70" t="s">
        <v>1335</v>
      </c>
      <c r="F54" s="72"/>
      <c r="G54" s="72"/>
      <c r="H54" s="16"/>
    </row>
    <row r="55" spans="1:8" ht="60">
      <c r="A55" s="755">
        <v>21</v>
      </c>
      <c r="B55" s="758" t="s">
        <v>1336</v>
      </c>
      <c r="C55" s="759"/>
      <c r="D55" s="783" t="s">
        <v>1337</v>
      </c>
      <c r="E55" s="73" t="s">
        <v>1338</v>
      </c>
      <c r="F55" s="72"/>
      <c r="G55" s="72"/>
      <c r="H55" s="19"/>
    </row>
    <row r="56" spans="1:8">
      <c r="A56" s="756"/>
      <c r="B56" s="760"/>
      <c r="C56" s="761"/>
      <c r="D56" s="784"/>
      <c r="E56" s="19" t="s">
        <v>1339</v>
      </c>
      <c r="F56" s="72">
        <v>1</v>
      </c>
      <c r="G56" s="72">
        <v>1</v>
      </c>
      <c r="H56" s="19"/>
    </row>
    <row r="57" spans="1:8">
      <c r="A57" s="757"/>
      <c r="B57" s="762"/>
      <c r="C57" s="763"/>
      <c r="D57" s="785"/>
      <c r="E57" s="19" t="s">
        <v>1340</v>
      </c>
      <c r="F57" s="72">
        <v>3</v>
      </c>
      <c r="G57" s="72">
        <v>3</v>
      </c>
      <c r="H57" s="19"/>
    </row>
    <row r="58" spans="1:8" ht="24">
      <c r="A58" s="71">
        <v>22</v>
      </c>
      <c r="B58" s="764" t="s">
        <v>1341</v>
      </c>
      <c r="C58" s="764"/>
      <c r="D58" s="68" t="s">
        <v>1342</v>
      </c>
      <c r="E58" s="70" t="s">
        <v>1343</v>
      </c>
      <c r="F58" s="72">
        <v>66</v>
      </c>
      <c r="G58" s="72">
        <v>6</v>
      </c>
      <c r="H58" s="19"/>
    </row>
    <row r="59" spans="1:8" ht="48">
      <c r="A59" s="67">
        <v>23</v>
      </c>
      <c r="B59" s="741" t="s">
        <v>1344</v>
      </c>
      <c r="C59" s="741"/>
      <c r="D59" s="69" t="s">
        <v>1345</v>
      </c>
      <c r="E59" s="19"/>
      <c r="F59" s="72"/>
      <c r="G59" s="72"/>
      <c r="H59" s="19"/>
    </row>
    <row r="60" spans="1:8" ht="60">
      <c r="A60" s="67">
        <v>24</v>
      </c>
      <c r="B60" s="741" t="s">
        <v>1346</v>
      </c>
      <c r="C60" s="741"/>
      <c r="D60" s="69" t="s">
        <v>1347</v>
      </c>
      <c r="E60" s="19"/>
      <c r="F60" s="72"/>
      <c r="G60" s="72"/>
      <c r="H60" s="19"/>
    </row>
    <row r="61" spans="1:8" ht="36">
      <c r="A61" s="71">
        <v>25</v>
      </c>
      <c r="B61" s="741" t="s">
        <v>1348</v>
      </c>
      <c r="C61" s="741"/>
      <c r="D61" s="69" t="s">
        <v>1349</v>
      </c>
      <c r="E61" s="19"/>
      <c r="F61" s="72"/>
      <c r="G61" s="72"/>
      <c r="H61" s="19"/>
    </row>
  </sheetData>
  <mergeCells count="45">
    <mergeCell ref="A39:A41"/>
    <mergeCell ref="B39:C41"/>
    <mergeCell ref="D39:D41"/>
    <mergeCell ref="A55:A57"/>
    <mergeCell ref="B55:C57"/>
    <mergeCell ref="D55:D57"/>
    <mergeCell ref="B48:C48"/>
    <mergeCell ref="B49:C49"/>
    <mergeCell ref="B50:C50"/>
    <mergeCell ref="B51:C51"/>
    <mergeCell ref="B42:C42"/>
    <mergeCell ref="B43:C43"/>
    <mergeCell ref="B44:C44"/>
    <mergeCell ref="B45:C45"/>
    <mergeCell ref="D22:D30"/>
    <mergeCell ref="A16:A20"/>
    <mergeCell ref="B16:C20"/>
    <mergeCell ref="D16:D20"/>
    <mergeCell ref="A31:A38"/>
    <mergeCell ref="B31:C38"/>
    <mergeCell ref="D31:D38"/>
    <mergeCell ref="B21:C21"/>
    <mergeCell ref="H1:H3"/>
    <mergeCell ref="B4:C7"/>
    <mergeCell ref="A4:A7"/>
    <mergeCell ref="D4:D7"/>
    <mergeCell ref="A8:A15"/>
    <mergeCell ref="B8:C15"/>
    <mergeCell ref="D8:D15"/>
    <mergeCell ref="B60:C60"/>
    <mergeCell ref="B61:C61"/>
    <mergeCell ref="F1:G1"/>
    <mergeCell ref="F2:G2"/>
    <mergeCell ref="A1:C3"/>
    <mergeCell ref="D1:D3"/>
    <mergeCell ref="E1:E3"/>
    <mergeCell ref="A22:A30"/>
    <mergeCell ref="B22:C30"/>
    <mergeCell ref="B52:C52"/>
    <mergeCell ref="B53:C53"/>
    <mergeCell ref="B54:C54"/>
    <mergeCell ref="B58:C58"/>
    <mergeCell ref="B59:C59"/>
    <mergeCell ref="B46:C46"/>
    <mergeCell ref="B47:C47"/>
  </mergeCells>
  <pageMargins left="0.7" right="0.7" top="0.75" bottom="0.75" header="0.3" footer="0.3"/>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R65"/>
  <sheetViews>
    <sheetView workbookViewId="0">
      <selection activeCell="D5" sqref="D5"/>
    </sheetView>
  </sheetViews>
  <sheetFormatPr defaultColWidth="11.42578125" defaultRowHeight="15"/>
  <cols>
    <col min="2" max="2" width="38.28515625" bestFit="1" customWidth="1"/>
    <col min="3" max="3" width="47.28515625" style="31" bestFit="1" customWidth="1"/>
    <col min="4" max="9" width="16.42578125" style="31" customWidth="1"/>
  </cols>
  <sheetData>
    <row r="1" spans="1:18" ht="36" customHeight="1" thickBot="1">
      <c r="A1" s="790" t="s">
        <v>1350</v>
      </c>
      <c r="B1" s="790"/>
      <c r="C1" s="793" t="s">
        <v>1351</v>
      </c>
      <c r="D1" s="5"/>
      <c r="E1" s="5"/>
      <c r="F1" s="5"/>
      <c r="G1" s="5"/>
      <c r="H1" s="5"/>
      <c r="I1" s="5"/>
      <c r="J1" s="6" t="s">
        <v>1352</v>
      </c>
      <c r="K1" s="7" t="s">
        <v>1353</v>
      </c>
      <c r="L1" s="7" t="s">
        <v>1354</v>
      </c>
    </row>
    <row r="2" spans="1:18">
      <c r="A2" s="791"/>
      <c r="B2" s="791"/>
      <c r="C2" s="794"/>
      <c r="D2" s="787" t="s">
        <v>1050</v>
      </c>
      <c r="E2" s="788"/>
      <c r="F2" s="788"/>
      <c r="G2" s="788"/>
      <c r="H2" s="788"/>
      <c r="I2" s="789"/>
      <c r="J2" s="8"/>
      <c r="K2" s="9"/>
      <c r="L2" s="9"/>
      <c r="M2">
        <v>55</v>
      </c>
      <c r="N2">
        <v>110</v>
      </c>
      <c r="O2">
        <v>165</v>
      </c>
      <c r="P2">
        <v>220</v>
      </c>
      <c r="Q2">
        <v>275</v>
      </c>
      <c r="R2">
        <v>330</v>
      </c>
    </row>
    <row r="3" spans="1:18">
      <c r="A3" s="791"/>
      <c r="B3" s="791"/>
      <c r="C3" s="794"/>
      <c r="D3" s="2">
        <v>55</v>
      </c>
      <c r="E3" s="2">
        <v>110</v>
      </c>
      <c r="F3" s="2">
        <v>165</v>
      </c>
      <c r="G3" s="2">
        <v>220</v>
      </c>
      <c r="H3" s="2">
        <v>275</v>
      </c>
      <c r="I3" s="2">
        <v>330</v>
      </c>
      <c r="J3" s="8">
        <v>150</v>
      </c>
      <c r="K3" s="9"/>
      <c r="L3" s="9"/>
      <c r="M3">
        <f>M2/$J$3</f>
        <v>0.36666666666666664</v>
      </c>
      <c r="N3">
        <f t="shared" ref="N3:R3" si="0">N2/$J$3</f>
        <v>0.73333333333333328</v>
      </c>
      <c r="O3">
        <f t="shared" si="0"/>
        <v>1.1000000000000001</v>
      </c>
      <c r="P3">
        <f t="shared" si="0"/>
        <v>1.4666666666666666</v>
      </c>
      <c r="Q3">
        <f t="shared" si="0"/>
        <v>1.8333333333333333</v>
      </c>
      <c r="R3">
        <f t="shared" si="0"/>
        <v>2.2000000000000002</v>
      </c>
    </row>
    <row r="4" spans="1:18">
      <c r="A4" s="792"/>
      <c r="B4" s="792"/>
      <c r="C4" s="795"/>
      <c r="D4" s="2" t="s">
        <v>1355</v>
      </c>
      <c r="E4" s="2" t="s">
        <v>1356</v>
      </c>
      <c r="F4" s="2" t="s">
        <v>1357</v>
      </c>
      <c r="G4" s="2" t="s">
        <v>1358</v>
      </c>
      <c r="H4" s="2" t="s">
        <v>1359</v>
      </c>
      <c r="I4" s="2" t="s">
        <v>1360</v>
      </c>
      <c r="J4" s="8"/>
      <c r="K4" s="9"/>
      <c r="L4" s="9"/>
    </row>
    <row r="5" spans="1:18" ht="15" customHeight="1">
      <c r="A5" s="786" t="s">
        <v>1361</v>
      </c>
      <c r="B5" s="10" t="s">
        <v>1362</v>
      </c>
      <c r="C5" s="11" t="s">
        <v>1363</v>
      </c>
      <c r="D5" s="32">
        <f>ROUNDUP(($J5*M$3),0)</f>
        <v>10</v>
      </c>
      <c r="E5" s="32">
        <f t="shared" ref="E5:E65" si="1">ROUNDUP(($J5*N$3),0)</f>
        <v>19</v>
      </c>
      <c r="F5" s="32">
        <f t="shared" ref="F5:F65" si="2">ROUNDUP(($J5*O$3),0)</f>
        <v>28</v>
      </c>
      <c r="G5" s="32">
        <f t="shared" ref="G5:G65" si="3">ROUNDUP(($J5*P$3),0)</f>
        <v>37</v>
      </c>
      <c r="H5" s="32">
        <f t="shared" ref="H5:H65" si="4">ROUNDUP(($J5*Q$3),0)</f>
        <v>46</v>
      </c>
      <c r="I5" s="32">
        <f t="shared" ref="I5:I65" si="5">ROUNDUP(($J5*R$3),0)</f>
        <v>55</v>
      </c>
      <c r="J5" s="12">
        <v>25</v>
      </c>
      <c r="K5" s="13">
        <v>25</v>
      </c>
      <c r="L5" s="13">
        <v>25</v>
      </c>
    </row>
    <row r="6" spans="1:18" ht="15" customHeight="1">
      <c r="A6" s="786"/>
      <c r="B6" s="786" t="s">
        <v>1364</v>
      </c>
      <c r="C6" s="11" t="s">
        <v>1365</v>
      </c>
      <c r="D6" s="32">
        <f t="shared" ref="D6:D65" si="6">ROUNDUP(($J6*M$3),0)</f>
        <v>1</v>
      </c>
      <c r="E6" s="32">
        <f t="shared" si="1"/>
        <v>1</v>
      </c>
      <c r="F6" s="32">
        <f t="shared" si="2"/>
        <v>2</v>
      </c>
      <c r="G6" s="32">
        <f t="shared" si="3"/>
        <v>2</v>
      </c>
      <c r="H6" s="32">
        <f t="shared" si="4"/>
        <v>2</v>
      </c>
      <c r="I6" s="32">
        <f t="shared" si="5"/>
        <v>3</v>
      </c>
      <c r="J6" s="14">
        <v>1</v>
      </c>
      <c r="K6" s="15">
        <v>1</v>
      </c>
      <c r="L6" s="15">
        <v>1</v>
      </c>
    </row>
    <row r="7" spans="1:18" ht="15" customHeight="1">
      <c r="A7" s="786"/>
      <c r="B7" s="786"/>
      <c r="C7" s="11" t="s">
        <v>1366</v>
      </c>
      <c r="D7" s="32">
        <f t="shared" si="6"/>
        <v>2</v>
      </c>
      <c r="E7" s="32">
        <f t="shared" si="1"/>
        <v>3</v>
      </c>
      <c r="F7" s="32">
        <f t="shared" si="2"/>
        <v>4</v>
      </c>
      <c r="G7" s="32">
        <f t="shared" si="3"/>
        <v>5</v>
      </c>
      <c r="H7" s="32">
        <f t="shared" si="4"/>
        <v>6</v>
      </c>
      <c r="I7" s="32">
        <f t="shared" si="5"/>
        <v>7</v>
      </c>
      <c r="J7" s="14">
        <v>3</v>
      </c>
      <c r="K7" s="15">
        <v>3</v>
      </c>
      <c r="L7" s="15">
        <v>3</v>
      </c>
    </row>
    <row r="8" spans="1:18">
      <c r="A8" s="786"/>
      <c r="B8" s="786"/>
      <c r="C8" s="11" t="s">
        <v>1367</v>
      </c>
      <c r="D8" s="32">
        <f t="shared" si="6"/>
        <v>4</v>
      </c>
      <c r="E8" s="32">
        <f t="shared" si="1"/>
        <v>8</v>
      </c>
      <c r="F8" s="32">
        <f t="shared" si="2"/>
        <v>11</v>
      </c>
      <c r="G8" s="32">
        <f t="shared" si="3"/>
        <v>15</v>
      </c>
      <c r="H8" s="32">
        <f t="shared" si="4"/>
        <v>19</v>
      </c>
      <c r="I8" s="32">
        <f t="shared" si="5"/>
        <v>22</v>
      </c>
      <c r="J8" s="14">
        <v>10</v>
      </c>
      <c r="K8" s="15">
        <v>10</v>
      </c>
      <c r="L8" s="15">
        <v>10</v>
      </c>
    </row>
    <row r="9" spans="1:18" ht="15" customHeight="1">
      <c r="A9" s="786"/>
      <c r="B9" s="786"/>
      <c r="C9" s="11" t="s">
        <v>1368</v>
      </c>
      <c r="D9" s="32">
        <f t="shared" si="6"/>
        <v>4</v>
      </c>
      <c r="E9" s="32">
        <f t="shared" si="1"/>
        <v>8</v>
      </c>
      <c r="F9" s="32">
        <f t="shared" si="2"/>
        <v>11</v>
      </c>
      <c r="G9" s="32">
        <f t="shared" si="3"/>
        <v>15</v>
      </c>
      <c r="H9" s="32">
        <f t="shared" si="4"/>
        <v>19</v>
      </c>
      <c r="I9" s="32">
        <f t="shared" si="5"/>
        <v>22</v>
      </c>
      <c r="J9" s="14">
        <v>10</v>
      </c>
      <c r="K9" s="15">
        <v>10</v>
      </c>
      <c r="L9" s="15">
        <v>10</v>
      </c>
    </row>
    <row r="10" spans="1:18" ht="15" customHeight="1">
      <c r="A10" s="786"/>
      <c r="B10" s="11" t="s">
        <v>1369</v>
      </c>
      <c r="C10" s="16"/>
      <c r="D10" s="32">
        <f t="shared" si="6"/>
        <v>1</v>
      </c>
      <c r="E10" s="32">
        <f t="shared" si="1"/>
        <v>1</v>
      </c>
      <c r="F10" s="32">
        <f t="shared" si="2"/>
        <v>2</v>
      </c>
      <c r="G10" s="32">
        <f t="shared" si="3"/>
        <v>2</v>
      </c>
      <c r="H10" s="32">
        <f t="shared" si="4"/>
        <v>2</v>
      </c>
      <c r="I10" s="32">
        <f t="shared" si="5"/>
        <v>3</v>
      </c>
      <c r="J10" s="14">
        <v>1</v>
      </c>
      <c r="K10" s="15">
        <v>1</v>
      </c>
      <c r="L10" s="15">
        <v>1</v>
      </c>
    </row>
    <row r="11" spans="1:18" ht="15" customHeight="1">
      <c r="A11" s="786"/>
      <c r="B11" s="17" t="s">
        <v>1370</v>
      </c>
      <c r="C11" s="11" t="s">
        <v>1371</v>
      </c>
      <c r="D11" s="32">
        <f t="shared" si="6"/>
        <v>8</v>
      </c>
      <c r="E11" s="32">
        <f t="shared" si="1"/>
        <v>15</v>
      </c>
      <c r="F11" s="32">
        <f t="shared" si="2"/>
        <v>22</v>
      </c>
      <c r="G11" s="32">
        <f t="shared" si="3"/>
        <v>30</v>
      </c>
      <c r="H11" s="32">
        <f t="shared" si="4"/>
        <v>37</v>
      </c>
      <c r="I11" s="32">
        <f t="shared" si="5"/>
        <v>44</v>
      </c>
      <c r="J11" s="14">
        <v>20</v>
      </c>
      <c r="K11" s="15">
        <v>20</v>
      </c>
      <c r="L11" s="15">
        <v>20</v>
      </c>
    </row>
    <row r="12" spans="1:18" ht="15" customHeight="1">
      <c r="A12" s="786"/>
      <c r="B12" s="11" t="s">
        <v>1372</v>
      </c>
      <c r="C12" s="18"/>
      <c r="D12" s="32">
        <f t="shared" si="6"/>
        <v>1</v>
      </c>
      <c r="E12" s="32">
        <f t="shared" si="1"/>
        <v>2</v>
      </c>
      <c r="F12" s="32">
        <f t="shared" si="2"/>
        <v>3</v>
      </c>
      <c r="G12" s="32">
        <f t="shared" si="3"/>
        <v>3</v>
      </c>
      <c r="H12" s="32">
        <f t="shared" si="4"/>
        <v>4</v>
      </c>
      <c r="I12" s="32">
        <f t="shared" si="5"/>
        <v>5</v>
      </c>
      <c r="J12" s="14">
        <v>2</v>
      </c>
      <c r="K12" s="15">
        <v>2</v>
      </c>
      <c r="L12" s="15">
        <v>2</v>
      </c>
    </row>
    <row r="13" spans="1:18" ht="15" customHeight="1">
      <c r="A13" s="786" t="s">
        <v>1373</v>
      </c>
      <c r="B13" s="11" t="s">
        <v>1374</v>
      </c>
      <c r="C13" s="11" t="s">
        <v>1375</v>
      </c>
      <c r="D13" s="32">
        <f t="shared" si="6"/>
        <v>8</v>
      </c>
      <c r="E13" s="32">
        <f t="shared" si="1"/>
        <v>15</v>
      </c>
      <c r="F13" s="32">
        <f t="shared" si="2"/>
        <v>22</v>
      </c>
      <c r="G13" s="32">
        <f t="shared" si="3"/>
        <v>30</v>
      </c>
      <c r="H13" s="32">
        <f t="shared" si="4"/>
        <v>37</v>
      </c>
      <c r="I13" s="32">
        <f t="shared" si="5"/>
        <v>44</v>
      </c>
      <c r="J13" s="14">
        <v>20</v>
      </c>
      <c r="K13" s="15">
        <v>20</v>
      </c>
      <c r="L13" s="15">
        <v>20</v>
      </c>
    </row>
    <row r="14" spans="1:18" ht="15" customHeight="1">
      <c r="A14" s="786"/>
      <c r="B14" s="11" t="s">
        <v>1376</v>
      </c>
      <c r="C14" s="19" t="s">
        <v>1377</v>
      </c>
      <c r="D14" s="32">
        <f t="shared" si="6"/>
        <v>8</v>
      </c>
      <c r="E14" s="32">
        <f t="shared" si="1"/>
        <v>15</v>
      </c>
      <c r="F14" s="32">
        <f t="shared" si="2"/>
        <v>22</v>
      </c>
      <c r="G14" s="32">
        <f t="shared" si="3"/>
        <v>30</v>
      </c>
      <c r="H14" s="32">
        <f t="shared" si="4"/>
        <v>37</v>
      </c>
      <c r="I14" s="32">
        <f t="shared" si="5"/>
        <v>44</v>
      </c>
      <c r="J14" s="20">
        <v>20</v>
      </c>
      <c r="K14" s="11" t="s">
        <v>1378</v>
      </c>
      <c r="L14" s="11" t="s">
        <v>1378</v>
      </c>
    </row>
    <row r="15" spans="1:18">
      <c r="A15" s="786"/>
      <c r="B15" s="786" t="s">
        <v>1379</v>
      </c>
      <c r="C15" s="11" t="s">
        <v>1380</v>
      </c>
      <c r="D15" s="32">
        <f t="shared" si="6"/>
        <v>4</v>
      </c>
      <c r="E15" s="32">
        <f t="shared" si="1"/>
        <v>8</v>
      </c>
      <c r="F15" s="32">
        <f t="shared" si="2"/>
        <v>11</v>
      </c>
      <c r="G15" s="32">
        <f t="shared" si="3"/>
        <v>15</v>
      </c>
      <c r="H15" s="32">
        <f t="shared" si="4"/>
        <v>19</v>
      </c>
      <c r="I15" s="32">
        <f t="shared" si="5"/>
        <v>22</v>
      </c>
      <c r="J15" s="20">
        <v>10</v>
      </c>
      <c r="K15" s="11" t="s">
        <v>1381</v>
      </c>
      <c r="L15" s="11" t="s">
        <v>1381</v>
      </c>
    </row>
    <row r="16" spans="1:18" ht="15" customHeight="1">
      <c r="A16" s="786"/>
      <c r="B16" s="786"/>
      <c r="C16" s="11" t="s">
        <v>1382</v>
      </c>
      <c r="D16" s="32">
        <f t="shared" si="6"/>
        <v>4</v>
      </c>
      <c r="E16" s="32">
        <f t="shared" si="1"/>
        <v>8</v>
      </c>
      <c r="F16" s="32">
        <f t="shared" si="2"/>
        <v>11</v>
      </c>
      <c r="G16" s="32">
        <f t="shared" si="3"/>
        <v>15</v>
      </c>
      <c r="H16" s="32">
        <f t="shared" si="4"/>
        <v>19</v>
      </c>
      <c r="I16" s="32">
        <f t="shared" si="5"/>
        <v>22</v>
      </c>
      <c r="J16" s="20">
        <v>10</v>
      </c>
      <c r="K16" s="11" t="s">
        <v>1381</v>
      </c>
      <c r="L16" s="11" t="s">
        <v>1381</v>
      </c>
    </row>
    <row r="17" spans="1:12">
      <c r="A17" s="786"/>
      <c r="B17" s="786"/>
      <c r="C17" s="11" t="s">
        <v>1383</v>
      </c>
      <c r="D17" s="32">
        <f t="shared" si="6"/>
        <v>4</v>
      </c>
      <c r="E17" s="32">
        <f t="shared" si="1"/>
        <v>8</v>
      </c>
      <c r="F17" s="32">
        <f t="shared" si="2"/>
        <v>11</v>
      </c>
      <c r="G17" s="32">
        <f t="shared" si="3"/>
        <v>15</v>
      </c>
      <c r="H17" s="32">
        <f t="shared" si="4"/>
        <v>19</v>
      </c>
      <c r="I17" s="32">
        <f t="shared" si="5"/>
        <v>22</v>
      </c>
      <c r="J17" s="20">
        <v>10</v>
      </c>
      <c r="K17" s="11" t="s">
        <v>1381</v>
      </c>
      <c r="L17" s="11" t="s">
        <v>1381</v>
      </c>
    </row>
    <row r="18" spans="1:12" ht="15" customHeight="1">
      <c r="A18" s="786"/>
      <c r="B18" s="786"/>
      <c r="C18" s="11" t="s">
        <v>1384</v>
      </c>
      <c r="D18" s="32">
        <f t="shared" si="6"/>
        <v>4</v>
      </c>
      <c r="E18" s="32">
        <f t="shared" si="1"/>
        <v>8</v>
      </c>
      <c r="F18" s="32">
        <f t="shared" si="2"/>
        <v>11</v>
      </c>
      <c r="G18" s="32">
        <f t="shared" si="3"/>
        <v>15</v>
      </c>
      <c r="H18" s="32">
        <f t="shared" si="4"/>
        <v>19</v>
      </c>
      <c r="I18" s="32">
        <f t="shared" si="5"/>
        <v>22</v>
      </c>
      <c r="J18" s="20">
        <v>10</v>
      </c>
      <c r="K18" s="11" t="s">
        <v>1381</v>
      </c>
      <c r="L18" s="11" t="s">
        <v>1381</v>
      </c>
    </row>
    <row r="19" spans="1:12" ht="15" customHeight="1">
      <c r="A19" s="786" t="s">
        <v>1385</v>
      </c>
      <c r="B19" s="21" t="s">
        <v>1386</v>
      </c>
      <c r="C19" s="22" t="s">
        <v>1387</v>
      </c>
      <c r="D19" s="32">
        <f t="shared" si="6"/>
        <v>19</v>
      </c>
      <c r="E19" s="32">
        <f t="shared" si="1"/>
        <v>37</v>
      </c>
      <c r="F19" s="32">
        <f t="shared" si="2"/>
        <v>55</v>
      </c>
      <c r="G19" s="32">
        <f t="shared" si="3"/>
        <v>74</v>
      </c>
      <c r="H19" s="32">
        <f t="shared" si="4"/>
        <v>92</v>
      </c>
      <c r="I19" s="32">
        <f t="shared" si="5"/>
        <v>110</v>
      </c>
      <c r="J19" s="23">
        <v>50</v>
      </c>
      <c r="K19" s="24">
        <v>50</v>
      </c>
      <c r="L19" s="24">
        <v>50</v>
      </c>
    </row>
    <row r="20" spans="1:12" ht="15" customHeight="1">
      <c r="A20" s="786"/>
      <c r="B20" s="25" t="s">
        <v>1388</v>
      </c>
      <c r="C20" s="26" t="s">
        <v>1375</v>
      </c>
      <c r="D20" s="32">
        <f t="shared" si="6"/>
        <v>184</v>
      </c>
      <c r="E20" s="32">
        <f t="shared" si="1"/>
        <v>367</v>
      </c>
      <c r="F20" s="32">
        <f t="shared" si="2"/>
        <v>550</v>
      </c>
      <c r="G20" s="32">
        <f t="shared" si="3"/>
        <v>734</v>
      </c>
      <c r="H20" s="32">
        <f t="shared" si="4"/>
        <v>917</v>
      </c>
      <c r="I20" s="32">
        <f t="shared" si="5"/>
        <v>1100</v>
      </c>
      <c r="J20" s="27">
        <v>500</v>
      </c>
      <c r="K20" s="28">
        <v>500</v>
      </c>
      <c r="L20" s="28">
        <v>500</v>
      </c>
    </row>
    <row r="21" spans="1:12" ht="15" customHeight="1">
      <c r="A21" s="786"/>
      <c r="B21" s="25" t="s">
        <v>1389</v>
      </c>
      <c r="C21" s="26" t="s">
        <v>1375</v>
      </c>
      <c r="D21" s="32">
        <f t="shared" si="6"/>
        <v>37</v>
      </c>
      <c r="E21" s="32">
        <f t="shared" si="1"/>
        <v>74</v>
      </c>
      <c r="F21" s="32">
        <f t="shared" si="2"/>
        <v>110</v>
      </c>
      <c r="G21" s="32">
        <f t="shared" si="3"/>
        <v>147</v>
      </c>
      <c r="H21" s="32">
        <f t="shared" si="4"/>
        <v>184</v>
      </c>
      <c r="I21" s="32">
        <f t="shared" si="5"/>
        <v>220</v>
      </c>
      <c r="J21" s="27">
        <v>100</v>
      </c>
      <c r="K21" s="28">
        <v>100</v>
      </c>
      <c r="L21" s="28">
        <v>100</v>
      </c>
    </row>
    <row r="22" spans="1:12" ht="15" customHeight="1">
      <c r="A22" s="786"/>
      <c r="B22" s="25" t="s">
        <v>1390</v>
      </c>
      <c r="C22" s="26" t="s">
        <v>1391</v>
      </c>
      <c r="D22" s="32">
        <f t="shared" si="6"/>
        <v>4</v>
      </c>
      <c r="E22" s="32">
        <f t="shared" si="1"/>
        <v>8</v>
      </c>
      <c r="F22" s="32">
        <f t="shared" si="2"/>
        <v>11</v>
      </c>
      <c r="G22" s="32">
        <f t="shared" si="3"/>
        <v>15</v>
      </c>
      <c r="H22" s="32">
        <f t="shared" si="4"/>
        <v>19</v>
      </c>
      <c r="I22" s="32">
        <f t="shared" si="5"/>
        <v>22</v>
      </c>
      <c r="J22" s="27">
        <v>10</v>
      </c>
      <c r="K22" s="28">
        <v>10</v>
      </c>
      <c r="L22" s="28">
        <v>10</v>
      </c>
    </row>
    <row r="23" spans="1:12" ht="15" customHeight="1">
      <c r="A23" s="786"/>
      <c r="B23" s="25" t="s">
        <v>1392</v>
      </c>
      <c r="C23" s="26" t="s">
        <v>1393</v>
      </c>
      <c r="D23" s="32">
        <f t="shared" si="6"/>
        <v>8</v>
      </c>
      <c r="E23" s="32">
        <f t="shared" si="1"/>
        <v>15</v>
      </c>
      <c r="F23" s="32">
        <f t="shared" si="2"/>
        <v>22</v>
      </c>
      <c r="G23" s="32">
        <f t="shared" si="3"/>
        <v>30</v>
      </c>
      <c r="H23" s="32">
        <f t="shared" si="4"/>
        <v>37</v>
      </c>
      <c r="I23" s="32">
        <f t="shared" si="5"/>
        <v>44</v>
      </c>
      <c r="J23" s="27">
        <v>20</v>
      </c>
      <c r="K23" s="28">
        <v>20</v>
      </c>
      <c r="L23" s="28">
        <v>20</v>
      </c>
    </row>
    <row r="24" spans="1:12">
      <c r="A24" s="786"/>
      <c r="B24" s="25" t="s">
        <v>1394</v>
      </c>
      <c r="C24" s="26" t="s">
        <v>1395</v>
      </c>
      <c r="D24" s="32">
        <f t="shared" si="6"/>
        <v>35</v>
      </c>
      <c r="E24" s="32">
        <f t="shared" si="1"/>
        <v>69</v>
      </c>
      <c r="F24" s="32">
        <f t="shared" si="2"/>
        <v>103</v>
      </c>
      <c r="G24" s="32">
        <f t="shared" si="3"/>
        <v>137</v>
      </c>
      <c r="H24" s="32">
        <f t="shared" si="4"/>
        <v>171</v>
      </c>
      <c r="I24" s="32">
        <f t="shared" si="5"/>
        <v>205</v>
      </c>
      <c r="J24" s="27">
        <v>93</v>
      </c>
      <c r="K24" s="28">
        <v>93</v>
      </c>
      <c r="L24" s="28">
        <v>93</v>
      </c>
    </row>
    <row r="25" spans="1:12">
      <c r="A25" s="786"/>
      <c r="B25" s="25" t="s">
        <v>1396</v>
      </c>
      <c r="C25" s="26" t="s">
        <v>1397</v>
      </c>
      <c r="D25" s="32">
        <f t="shared" si="6"/>
        <v>18</v>
      </c>
      <c r="E25" s="32">
        <f t="shared" si="1"/>
        <v>35</v>
      </c>
      <c r="F25" s="32">
        <f t="shared" si="2"/>
        <v>52</v>
      </c>
      <c r="G25" s="32">
        <f t="shared" si="3"/>
        <v>69</v>
      </c>
      <c r="H25" s="32">
        <f t="shared" si="4"/>
        <v>87</v>
      </c>
      <c r="I25" s="32">
        <f t="shared" si="5"/>
        <v>104</v>
      </c>
      <c r="J25" s="27">
        <v>47</v>
      </c>
      <c r="K25" s="28">
        <v>47</v>
      </c>
      <c r="L25" s="28">
        <v>47</v>
      </c>
    </row>
    <row r="26" spans="1:12" ht="15" customHeight="1">
      <c r="A26" s="786" t="s">
        <v>43</v>
      </c>
      <c r="B26" s="25" t="s">
        <v>1398</v>
      </c>
      <c r="C26" s="26" t="s">
        <v>1397</v>
      </c>
      <c r="D26" s="32">
        <f t="shared" si="6"/>
        <v>18</v>
      </c>
      <c r="E26" s="32">
        <f t="shared" si="1"/>
        <v>35</v>
      </c>
      <c r="F26" s="32">
        <f t="shared" si="2"/>
        <v>52</v>
      </c>
      <c r="G26" s="32">
        <f t="shared" si="3"/>
        <v>69</v>
      </c>
      <c r="H26" s="32">
        <f t="shared" si="4"/>
        <v>87</v>
      </c>
      <c r="I26" s="32">
        <f t="shared" si="5"/>
        <v>104</v>
      </c>
      <c r="J26" s="27">
        <v>47</v>
      </c>
      <c r="K26" s="28">
        <v>47</v>
      </c>
      <c r="L26" s="28">
        <v>47</v>
      </c>
    </row>
    <row r="27" spans="1:12">
      <c r="A27" s="786"/>
      <c r="B27" s="25" t="s">
        <v>1399</v>
      </c>
      <c r="C27" s="26" t="s">
        <v>1400</v>
      </c>
      <c r="D27" s="32">
        <f t="shared" si="6"/>
        <v>6</v>
      </c>
      <c r="E27" s="32">
        <f t="shared" si="1"/>
        <v>11</v>
      </c>
      <c r="F27" s="32">
        <f t="shared" si="2"/>
        <v>16</v>
      </c>
      <c r="G27" s="32">
        <f t="shared" si="3"/>
        <v>21</v>
      </c>
      <c r="H27" s="32">
        <f t="shared" si="4"/>
        <v>26</v>
      </c>
      <c r="I27" s="32">
        <f t="shared" si="5"/>
        <v>31</v>
      </c>
      <c r="J27" s="27">
        <v>14</v>
      </c>
      <c r="K27" s="28">
        <v>14</v>
      </c>
      <c r="L27" s="28">
        <v>14</v>
      </c>
    </row>
    <row r="28" spans="1:12" ht="15" customHeight="1">
      <c r="A28" s="786"/>
      <c r="B28" s="25" t="s">
        <v>1401</v>
      </c>
      <c r="C28" s="26" t="s">
        <v>1402</v>
      </c>
      <c r="D28" s="32">
        <f t="shared" si="6"/>
        <v>2</v>
      </c>
      <c r="E28" s="32">
        <f t="shared" si="1"/>
        <v>4</v>
      </c>
      <c r="F28" s="32">
        <f t="shared" si="2"/>
        <v>6</v>
      </c>
      <c r="G28" s="32">
        <f t="shared" si="3"/>
        <v>8</v>
      </c>
      <c r="H28" s="32">
        <f t="shared" si="4"/>
        <v>10</v>
      </c>
      <c r="I28" s="32">
        <f t="shared" si="5"/>
        <v>11</v>
      </c>
      <c r="J28" s="27">
        <v>5</v>
      </c>
      <c r="K28" s="28">
        <v>5</v>
      </c>
      <c r="L28" s="28">
        <v>5</v>
      </c>
    </row>
    <row r="29" spans="1:12" ht="15" customHeight="1">
      <c r="A29" s="786"/>
      <c r="B29" s="25" t="s">
        <v>1403</v>
      </c>
      <c r="C29" s="26" t="s">
        <v>1404</v>
      </c>
      <c r="D29" s="32">
        <f t="shared" si="6"/>
        <v>11</v>
      </c>
      <c r="E29" s="32">
        <f t="shared" si="1"/>
        <v>22</v>
      </c>
      <c r="F29" s="32">
        <f t="shared" si="2"/>
        <v>33</v>
      </c>
      <c r="G29" s="32">
        <f t="shared" si="3"/>
        <v>44</v>
      </c>
      <c r="H29" s="32">
        <f t="shared" si="4"/>
        <v>55</v>
      </c>
      <c r="I29" s="32">
        <f t="shared" si="5"/>
        <v>66</v>
      </c>
      <c r="J29" s="27">
        <v>30</v>
      </c>
      <c r="K29" s="28">
        <v>30</v>
      </c>
      <c r="L29" s="28">
        <v>30</v>
      </c>
    </row>
    <row r="30" spans="1:12" ht="15" customHeight="1">
      <c r="A30" s="786"/>
      <c r="B30" s="25" t="s">
        <v>1405</v>
      </c>
      <c r="C30" s="26" t="s">
        <v>1397</v>
      </c>
      <c r="D30" s="32">
        <f t="shared" si="6"/>
        <v>18</v>
      </c>
      <c r="E30" s="32">
        <f t="shared" si="1"/>
        <v>35</v>
      </c>
      <c r="F30" s="32">
        <f t="shared" si="2"/>
        <v>52</v>
      </c>
      <c r="G30" s="32">
        <f t="shared" si="3"/>
        <v>69</v>
      </c>
      <c r="H30" s="32">
        <f t="shared" si="4"/>
        <v>87</v>
      </c>
      <c r="I30" s="32">
        <f t="shared" si="5"/>
        <v>104</v>
      </c>
      <c r="J30" s="27">
        <v>47</v>
      </c>
      <c r="K30" s="28">
        <v>47</v>
      </c>
      <c r="L30" s="28">
        <v>47</v>
      </c>
    </row>
    <row r="31" spans="1:12" ht="15" customHeight="1">
      <c r="A31" s="786"/>
      <c r="B31" s="25" t="s">
        <v>1406</v>
      </c>
      <c r="C31" s="26" t="s">
        <v>1397</v>
      </c>
      <c r="D31" s="32">
        <f t="shared" si="6"/>
        <v>18</v>
      </c>
      <c r="E31" s="32">
        <f t="shared" si="1"/>
        <v>35</v>
      </c>
      <c r="F31" s="32">
        <f t="shared" si="2"/>
        <v>52</v>
      </c>
      <c r="G31" s="32">
        <f t="shared" si="3"/>
        <v>69</v>
      </c>
      <c r="H31" s="32">
        <f t="shared" si="4"/>
        <v>87</v>
      </c>
      <c r="I31" s="32">
        <f t="shared" si="5"/>
        <v>104</v>
      </c>
      <c r="J31" s="27">
        <v>47</v>
      </c>
      <c r="K31" s="28">
        <v>47</v>
      </c>
      <c r="L31" s="28">
        <v>47</v>
      </c>
    </row>
    <row r="32" spans="1:12" ht="15" customHeight="1">
      <c r="A32" s="786"/>
      <c r="B32" s="29" t="s">
        <v>1407</v>
      </c>
      <c r="C32" s="26" t="s">
        <v>1408</v>
      </c>
      <c r="D32" s="32">
        <f t="shared" si="6"/>
        <v>1</v>
      </c>
      <c r="E32" s="32">
        <f t="shared" si="1"/>
        <v>2</v>
      </c>
      <c r="F32" s="32">
        <f t="shared" si="2"/>
        <v>3</v>
      </c>
      <c r="G32" s="32">
        <f t="shared" si="3"/>
        <v>3</v>
      </c>
      <c r="H32" s="32">
        <f t="shared" si="4"/>
        <v>4</v>
      </c>
      <c r="I32" s="32">
        <f t="shared" si="5"/>
        <v>5</v>
      </c>
      <c r="J32" s="27">
        <v>2</v>
      </c>
      <c r="K32" s="28">
        <v>2</v>
      </c>
      <c r="L32" s="28">
        <v>2</v>
      </c>
    </row>
    <row r="33" spans="1:12" ht="15" customHeight="1">
      <c r="A33" s="786"/>
      <c r="B33" s="25" t="s">
        <v>1409</v>
      </c>
      <c r="C33" s="30" t="s">
        <v>1410</v>
      </c>
      <c r="D33" s="32">
        <f t="shared" si="6"/>
        <v>1</v>
      </c>
      <c r="E33" s="32">
        <f t="shared" si="1"/>
        <v>2</v>
      </c>
      <c r="F33" s="32">
        <f t="shared" si="2"/>
        <v>3</v>
      </c>
      <c r="G33" s="32">
        <f t="shared" si="3"/>
        <v>3</v>
      </c>
      <c r="H33" s="32">
        <f t="shared" si="4"/>
        <v>4</v>
      </c>
      <c r="I33" s="32">
        <f t="shared" si="5"/>
        <v>5</v>
      </c>
      <c r="J33" s="27">
        <v>2</v>
      </c>
      <c r="K33" s="28">
        <v>2</v>
      </c>
      <c r="L33" s="28">
        <v>2</v>
      </c>
    </row>
    <row r="34" spans="1:12">
      <c r="A34" s="786"/>
      <c r="B34" s="25" t="s">
        <v>1411</v>
      </c>
      <c r="C34" s="26" t="s">
        <v>1397</v>
      </c>
      <c r="D34" s="32">
        <f t="shared" si="6"/>
        <v>22</v>
      </c>
      <c r="E34" s="32">
        <f t="shared" si="1"/>
        <v>44</v>
      </c>
      <c r="F34" s="32">
        <f t="shared" si="2"/>
        <v>66</v>
      </c>
      <c r="G34" s="32">
        <f t="shared" si="3"/>
        <v>88</v>
      </c>
      <c r="H34" s="32">
        <f t="shared" si="4"/>
        <v>110</v>
      </c>
      <c r="I34" s="32">
        <f t="shared" si="5"/>
        <v>132</v>
      </c>
      <c r="J34" s="27">
        <v>60</v>
      </c>
      <c r="K34" s="28">
        <v>60</v>
      </c>
      <c r="L34" s="28">
        <v>60</v>
      </c>
    </row>
    <row r="35" spans="1:12" ht="15" customHeight="1">
      <c r="A35" s="786"/>
      <c r="B35" s="25" t="s">
        <v>1412</v>
      </c>
      <c r="C35" s="26" t="s">
        <v>1413</v>
      </c>
      <c r="D35" s="32">
        <f t="shared" si="6"/>
        <v>17</v>
      </c>
      <c r="E35" s="32">
        <f t="shared" si="1"/>
        <v>33</v>
      </c>
      <c r="F35" s="32">
        <f t="shared" si="2"/>
        <v>50</v>
      </c>
      <c r="G35" s="32">
        <f t="shared" si="3"/>
        <v>66</v>
      </c>
      <c r="H35" s="32">
        <f t="shared" si="4"/>
        <v>83</v>
      </c>
      <c r="I35" s="32">
        <f t="shared" si="5"/>
        <v>99</v>
      </c>
      <c r="J35" s="27">
        <v>45</v>
      </c>
      <c r="K35" s="28">
        <v>45</v>
      </c>
      <c r="L35" s="28">
        <v>45</v>
      </c>
    </row>
    <row r="36" spans="1:12" ht="15" customHeight="1">
      <c r="A36" s="786"/>
      <c r="B36" s="25" t="s">
        <v>1414</v>
      </c>
      <c r="C36" s="26" t="s">
        <v>1415</v>
      </c>
      <c r="D36" s="32">
        <f t="shared" si="6"/>
        <v>6</v>
      </c>
      <c r="E36" s="32">
        <f t="shared" si="1"/>
        <v>12</v>
      </c>
      <c r="F36" s="32">
        <f t="shared" si="2"/>
        <v>18</v>
      </c>
      <c r="G36" s="32">
        <f t="shared" si="3"/>
        <v>24</v>
      </c>
      <c r="H36" s="32">
        <f t="shared" si="4"/>
        <v>30</v>
      </c>
      <c r="I36" s="32">
        <f t="shared" si="5"/>
        <v>36</v>
      </c>
      <c r="J36" s="27">
        <v>16</v>
      </c>
      <c r="K36" s="28">
        <v>16</v>
      </c>
      <c r="L36" s="28">
        <v>16</v>
      </c>
    </row>
    <row r="37" spans="1:12" ht="15" customHeight="1">
      <c r="A37" s="786"/>
      <c r="B37" s="25" t="s">
        <v>1416</v>
      </c>
      <c r="C37" s="26" t="s">
        <v>1415</v>
      </c>
      <c r="D37" s="32">
        <f t="shared" si="6"/>
        <v>6</v>
      </c>
      <c r="E37" s="32">
        <f t="shared" si="1"/>
        <v>12</v>
      </c>
      <c r="F37" s="32">
        <f t="shared" si="2"/>
        <v>18</v>
      </c>
      <c r="G37" s="32">
        <f t="shared" si="3"/>
        <v>24</v>
      </c>
      <c r="H37" s="32">
        <f t="shared" si="4"/>
        <v>30</v>
      </c>
      <c r="I37" s="32">
        <f t="shared" si="5"/>
        <v>36</v>
      </c>
      <c r="J37" s="27">
        <v>16</v>
      </c>
      <c r="K37" s="28">
        <v>16</v>
      </c>
      <c r="L37" s="28">
        <v>16</v>
      </c>
    </row>
    <row r="38" spans="1:12" ht="15" customHeight="1">
      <c r="A38" s="786"/>
      <c r="B38" s="25" t="s">
        <v>1417</v>
      </c>
      <c r="C38" s="26" t="s">
        <v>1418</v>
      </c>
      <c r="D38" s="32">
        <f t="shared" si="6"/>
        <v>5</v>
      </c>
      <c r="E38" s="32">
        <f t="shared" si="1"/>
        <v>10</v>
      </c>
      <c r="F38" s="32">
        <f t="shared" si="2"/>
        <v>15</v>
      </c>
      <c r="G38" s="32">
        <f t="shared" si="3"/>
        <v>20</v>
      </c>
      <c r="H38" s="32">
        <f t="shared" si="4"/>
        <v>24</v>
      </c>
      <c r="I38" s="32">
        <f t="shared" si="5"/>
        <v>29</v>
      </c>
      <c r="J38" s="27">
        <v>13</v>
      </c>
      <c r="K38" s="28">
        <v>13</v>
      </c>
      <c r="L38" s="28">
        <v>13</v>
      </c>
    </row>
    <row r="39" spans="1:12" ht="15" customHeight="1">
      <c r="A39" s="786"/>
      <c r="B39" s="25" t="s">
        <v>1419</v>
      </c>
      <c r="C39" s="26" t="s">
        <v>1418</v>
      </c>
      <c r="D39" s="32">
        <f t="shared" si="6"/>
        <v>3</v>
      </c>
      <c r="E39" s="32">
        <f t="shared" si="1"/>
        <v>5</v>
      </c>
      <c r="F39" s="32">
        <f t="shared" si="2"/>
        <v>7</v>
      </c>
      <c r="G39" s="32">
        <f t="shared" si="3"/>
        <v>9</v>
      </c>
      <c r="H39" s="32">
        <f t="shared" si="4"/>
        <v>11</v>
      </c>
      <c r="I39" s="32">
        <f t="shared" si="5"/>
        <v>14</v>
      </c>
      <c r="J39" s="27">
        <v>6</v>
      </c>
      <c r="K39" s="28">
        <v>6</v>
      </c>
      <c r="L39" s="28">
        <v>6</v>
      </c>
    </row>
    <row r="40" spans="1:12" ht="15" customHeight="1">
      <c r="A40" s="786"/>
      <c r="B40" s="25" t="s">
        <v>1420</v>
      </c>
      <c r="C40" s="26" t="s">
        <v>1421</v>
      </c>
      <c r="D40" s="32">
        <f t="shared" si="6"/>
        <v>5</v>
      </c>
      <c r="E40" s="32">
        <f t="shared" si="1"/>
        <v>10</v>
      </c>
      <c r="F40" s="32">
        <f t="shared" si="2"/>
        <v>15</v>
      </c>
      <c r="G40" s="32">
        <f t="shared" si="3"/>
        <v>20</v>
      </c>
      <c r="H40" s="32">
        <f t="shared" si="4"/>
        <v>24</v>
      </c>
      <c r="I40" s="32">
        <f t="shared" si="5"/>
        <v>29</v>
      </c>
      <c r="J40" s="27">
        <v>13</v>
      </c>
      <c r="K40" s="28">
        <v>13</v>
      </c>
      <c r="L40" s="28">
        <v>13</v>
      </c>
    </row>
    <row r="41" spans="1:12" ht="15" customHeight="1">
      <c r="A41" s="786"/>
      <c r="B41" s="25" t="s">
        <v>1422</v>
      </c>
      <c r="C41" s="26" t="s">
        <v>1423</v>
      </c>
      <c r="D41" s="32">
        <f t="shared" si="6"/>
        <v>9</v>
      </c>
      <c r="E41" s="32">
        <f t="shared" si="1"/>
        <v>17</v>
      </c>
      <c r="F41" s="32">
        <f t="shared" si="2"/>
        <v>26</v>
      </c>
      <c r="G41" s="32">
        <f t="shared" si="3"/>
        <v>34</v>
      </c>
      <c r="H41" s="32">
        <f t="shared" si="4"/>
        <v>43</v>
      </c>
      <c r="I41" s="32">
        <f t="shared" si="5"/>
        <v>51</v>
      </c>
      <c r="J41" s="27">
        <v>23</v>
      </c>
      <c r="K41" s="28">
        <v>23</v>
      </c>
      <c r="L41" s="28">
        <v>23</v>
      </c>
    </row>
    <row r="42" spans="1:12" ht="15" customHeight="1">
      <c r="A42" s="786"/>
      <c r="B42" s="25" t="s">
        <v>1424</v>
      </c>
      <c r="C42" s="26" t="s">
        <v>1423</v>
      </c>
      <c r="D42" s="32">
        <f t="shared" si="6"/>
        <v>9</v>
      </c>
      <c r="E42" s="32">
        <f t="shared" si="1"/>
        <v>17</v>
      </c>
      <c r="F42" s="32">
        <f t="shared" si="2"/>
        <v>26</v>
      </c>
      <c r="G42" s="32">
        <f t="shared" si="3"/>
        <v>34</v>
      </c>
      <c r="H42" s="32">
        <f t="shared" si="4"/>
        <v>43</v>
      </c>
      <c r="I42" s="32">
        <f t="shared" si="5"/>
        <v>51</v>
      </c>
      <c r="J42" s="27">
        <v>23</v>
      </c>
      <c r="K42" s="28">
        <v>23</v>
      </c>
      <c r="L42" s="28">
        <v>23</v>
      </c>
    </row>
    <row r="43" spans="1:12" ht="15" customHeight="1">
      <c r="A43" s="786"/>
      <c r="B43" s="25" t="s">
        <v>1425</v>
      </c>
      <c r="C43" s="26" t="s">
        <v>1423</v>
      </c>
      <c r="D43" s="32">
        <f t="shared" si="6"/>
        <v>9</v>
      </c>
      <c r="E43" s="32">
        <f t="shared" si="1"/>
        <v>17</v>
      </c>
      <c r="F43" s="32">
        <f t="shared" si="2"/>
        <v>26</v>
      </c>
      <c r="G43" s="32">
        <f t="shared" si="3"/>
        <v>34</v>
      </c>
      <c r="H43" s="32">
        <f t="shared" si="4"/>
        <v>43</v>
      </c>
      <c r="I43" s="32">
        <f t="shared" si="5"/>
        <v>51</v>
      </c>
      <c r="J43" s="27">
        <v>23</v>
      </c>
      <c r="K43" s="28">
        <v>23</v>
      </c>
      <c r="L43" s="28">
        <v>23</v>
      </c>
    </row>
    <row r="44" spans="1:12" ht="15" customHeight="1">
      <c r="A44" s="786"/>
      <c r="B44" s="25" t="s">
        <v>1426</v>
      </c>
      <c r="C44" s="26" t="s">
        <v>1427</v>
      </c>
      <c r="D44" s="32">
        <f t="shared" si="6"/>
        <v>9</v>
      </c>
      <c r="E44" s="32">
        <f t="shared" si="1"/>
        <v>17</v>
      </c>
      <c r="F44" s="32">
        <f t="shared" si="2"/>
        <v>26</v>
      </c>
      <c r="G44" s="32">
        <f t="shared" si="3"/>
        <v>34</v>
      </c>
      <c r="H44" s="32">
        <f t="shared" si="4"/>
        <v>43</v>
      </c>
      <c r="I44" s="32">
        <f t="shared" si="5"/>
        <v>51</v>
      </c>
      <c r="J44" s="27">
        <v>23</v>
      </c>
      <c r="K44" s="28">
        <v>23</v>
      </c>
      <c r="L44" s="28">
        <v>23</v>
      </c>
    </row>
    <row r="45" spans="1:12">
      <c r="A45" s="786"/>
      <c r="B45" s="25" t="s">
        <v>1428</v>
      </c>
      <c r="C45" s="26" t="s">
        <v>1427</v>
      </c>
      <c r="D45" s="32">
        <f t="shared" si="6"/>
        <v>4</v>
      </c>
      <c r="E45" s="32">
        <f t="shared" si="1"/>
        <v>8</v>
      </c>
      <c r="F45" s="32">
        <f t="shared" si="2"/>
        <v>11</v>
      </c>
      <c r="G45" s="32">
        <f t="shared" si="3"/>
        <v>15</v>
      </c>
      <c r="H45" s="32">
        <f t="shared" si="4"/>
        <v>19</v>
      </c>
      <c r="I45" s="32">
        <f t="shared" si="5"/>
        <v>22</v>
      </c>
      <c r="J45" s="27">
        <v>10</v>
      </c>
      <c r="K45" s="28">
        <v>10</v>
      </c>
      <c r="L45" s="28">
        <v>10</v>
      </c>
    </row>
    <row r="46" spans="1:12" ht="15" customHeight="1">
      <c r="A46" s="786"/>
      <c r="B46" s="25" t="s">
        <v>1429</v>
      </c>
      <c r="C46" s="26" t="s">
        <v>1430</v>
      </c>
      <c r="D46" s="32">
        <f t="shared" si="6"/>
        <v>10</v>
      </c>
      <c r="E46" s="32">
        <f t="shared" si="1"/>
        <v>20</v>
      </c>
      <c r="F46" s="32">
        <f t="shared" si="2"/>
        <v>29</v>
      </c>
      <c r="G46" s="32">
        <f t="shared" si="3"/>
        <v>39</v>
      </c>
      <c r="H46" s="32">
        <f t="shared" si="4"/>
        <v>48</v>
      </c>
      <c r="I46" s="32">
        <f t="shared" si="5"/>
        <v>58</v>
      </c>
      <c r="J46" s="27">
        <v>26</v>
      </c>
      <c r="K46" s="28">
        <v>26</v>
      </c>
      <c r="L46" s="28">
        <v>26</v>
      </c>
    </row>
    <row r="47" spans="1:12" ht="15" customHeight="1">
      <c r="A47" s="786"/>
      <c r="B47" s="25" t="s">
        <v>1431</v>
      </c>
      <c r="C47" s="26" t="s">
        <v>1432</v>
      </c>
      <c r="D47" s="32">
        <f t="shared" si="6"/>
        <v>7</v>
      </c>
      <c r="E47" s="32">
        <f t="shared" si="1"/>
        <v>13</v>
      </c>
      <c r="F47" s="32">
        <f t="shared" si="2"/>
        <v>19</v>
      </c>
      <c r="G47" s="32">
        <f t="shared" si="3"/>
        <v>25</v>
      </c>
      <c r="H47" s="32">
        <f t="shared" si="4"/>
        <v>32</v>
      </c>
      <c r="I47" s="32">
        <f t="shared" si="5"/>
        <v>38</v>
      </c>
      <c r="J47" s="27">
        <v>17</v>
      </c>
      <c r="K47" s="28">
        <v>17</v>
      </c>
      <c r="L47" s="28">
        <v>17</v>
      </c>
    </row>
    <row r="48" spans="1:12" ht="15" customHeight="1">
      <c r="A48" s="786"/>
      <c r="B48" s="25" t="s">
        <v>1433</v>
      </c>
      <c r="C48" s="26" t="s">
        <v>1402</v>
      </c>
      <c r="D48" s="32">
        <f t="shared" si="6"/>
        <v>7</v>
      </c>
      <c r="E48" s="32">
        <f t="shared" si="1"/>
        <v>13</v>
      </c>
      <c r="F48" s="32">
        <f t="shared" si="2"/>
        <v>19</v>
      </c>
      <c r="G48" s="32">
        <f t="shared" si="3"/>
        <v>25</v>
      </c>
      <c r="H48" s="32">
        <f t="shared" si="4"/>
        <v>32</v>
      </c>
      <c r="I48" s="32">
        <f t="shared" si="5"/>
        <v>38</v>
      </c>
      <c r="J48" s="27">
        <v>17</v>
      </c>
      <c r="K48" s="28">
        <v>17</v>
      </c>
      <c r="L48" s="28">
        <v>17</v>
      </c>
    </row>
    <row r="49" spans="1:12">
      <c r="A49" s="786"/>
      <c r="B49" s="25" t="s">
        <v>1434</v>
      </c>
      <c r="C49" s="26" t="s">
        <v>1435</v>
      </c>
      <c r="D49" s="32">
        <f t="shared" si="6"/>
        <v>7</v>
      </c>
      <c r="E49" s="32">
        <f t="shared" si="1"/>
        <v>13</v>
      </c>
      <c r="F49" s="32">
        <f t="shared" si="2"/>
        <v>19</v>
      </c>
      <c r="G49" s="32">
        <f t="shared" si="3"/>
        <v>25</v>
      </c>
      <c r="H49" s="32">
        <f t="shared" si="4"/>
        <v>32</v>
      </c>
      <c r="I49" s="32">
        <f t="shared" si="5"/>
        <v>38</v>
      </c>
      <c r="J49" s="27">
        <v>17</v>
      </c>
      <c r="K49" s="28">
        <v>17</v>
      </c>
      <c r="L49" s="28">
        <v>17</v>
      </c>
    </row>
    <row r="50" spans="1:12">
      <c r="A50" s="786"/>
      <c r="B50" s="25" t="s">
        <v>1436</v>
      </c>
      <c r="C50" s="26" t="s">
        <v>1437</v>
      </c>
      <c r="D50" s="32">
        <f t="shared" si="6"/>
        <v>7</v>
      </c>
      <c r="E50" s="32">
        <f t="shared" si="1"/>
        <v>13</v>
      </c>
      <c r="F50" s="32">
        <f t="shared" si="2"/>
        <v>19</v>
      </c>
      <c r="G50" s="32">
        <f t="shared" si="3"/>
        <v>25</v>
      </c>
      <c r="H50" s="32">
        <f t="shared" si="4"/>
        <v>32</v>
      </c>
      <c r="I50" s="32">
        <f t="shared" si="5"/>
        <v>38</v>
      </c>
      <c r="J50" s="27">
        <v>17</v>
      </c>
      <c r="K50" s="28">
        <v>17</v>
      </c>
      <c r="L50" s="28">
        <v>17</v>
      </c>
    </row>
    <row r="51" spans="1:12">
      <c r="A51" s="786"/>
      <c r="B51" s="25" t="s">
        <v>1438</v>
      </c>
      <c r="C51" s="26" t="s">
        <v>1437</v>
      </c>
      <c r="D51" s="32">
        <f t="shared" si="6"/>
        <v>7</v>
      </c>
      <c r="E51" s="32">
        <f t="shared" si="1"/>
        <v>13</v>
      </c>
      <c r="F51" s="32">
        <f t="shared" si="2"/>
        <v>19</v>
      </c>
      <c r="G51" s="32">
        <f t="shared" si="3"/>
        <v>25</v>
      </c>
      <c r="H51" s="32">
        <f t="shared" si="4"/>
        <v>32</v>
      </c>
      <c r="I51" s="32">
        <f t="shared" si="5"/>
        <v>38</v>
      </c>
      <c r="J51" s="27">
        <v>17</v>
      </c>
      <c r="K51" s="28">
        <v>17</v>
      </c>
      <c r="L51" s="28">
        <v>17</v>
      </c>
    </row>
    <row r="52" spans="1:12">
      <c r="A52" s="786"/>
      <c r="B52" s="25" t="s">
        <v>1439</v>
      </c>
      <c r="C52" s="26" t="s">
        <v>1437</v>
      </c>
      <c r="D52" s="32">
        <f t="shared" si="6"/>
        <v>7</v>
      </c>
      <c r="E52" s="32">
        <f t="shared" si="1"/>
        <v>13</v>
      </c>
      <c r="F52" s="32">
        <f t="shared" si="2"/>
        <v>19</v>
      </c>
      <c r="G52" s="32">
        <f t="shared" si="3"/>
        <v>25</v>
      </c>
      <c r="H52" s="32">
        <f t="shared" si="4"/>
        <v>32</v>
      </c>
      <c r="I52" s="32">
        <f t="shared" si="5"/>
        <v>38</v>
      </c>
      <c r="J52" s="27">
        <v>17</v>
      </c>
      <c r="K52" s="28">
        <v>17</v>
      </c>
      <c r="L52" s="28">
        <v>17</v>
      </c>
    </row>
    <row r="53" spans="1:12">
      <c r="A53" s="786"/>
      <c r="B53" s="25" t="s">
        <v>1440</v>
      </c>
      <c r="C53" s="26" t="s">
        <v>1437</v>
      </c>
      <c r="D53" s="32">
        <f t="shared" si="6"/>
        <v>7</v>
      </c>
      <c r="E53" s="32">
        <f t="shared" si="1"/>
        <v>13</v>
      </c>
      <c r="F53" s="32">
        <f t="shared" si="2"/>
        <v>19</v>
      </c>
      <c r="G53" s="32">
        <f t="shared" si="3"/>
        <v>25</v>
      </c>
      <c r="H53" s="32">
        <f t="shared" si="4"/>
        <v>32</v>
      </c>
      <c r="I53" s="32">
        <f t="shared" si="5"/>
        <v>38</v>
      </c>
      <c r="J53" s="27">
        <v>17</v>
      </c>
      <c r="K53" s="28">
        <v>17</v>
      </c>
      <c r="L53" s="28">
        <v>17</v>
      </c>
    </row>
    <row r="54" spans="1:12">
      <c r="A54" s="786"/>
      <c r="B54" s="25" t="s">
        <v>1441</v>
      </c>
      <c r="C54" s="26" t="s">
        <v>1437</v>
      </c>
      <c r="D54" s="32">
        <f t="shared" si="6"/>
        <v>7</v>
      </c>
      <c r="E54" s="32">
        <f t="shared" si="1"/>
        <v>13</v>
      </c>
      <c r="F54" s="32">
        <f t="shared" si="2"/>
        <v>19</v>
      </c>
      <c r="G54" s="32">
        <f t="shared" si="3"/>
        <v>25</v>
      </c>
      <c r="H54" s="32">
        <f t="shared" si="4"/>
        <v>32</v>
      </c>
      <c r="I54" s="32">
        <f t="shared" si="5"/>
        <v>38</v>
      </c>
      <c r="J54" s="27">
        <v>17</v>
      </c>
      <c r="K54" s="28">
        <v>17</v>
      </c>
      <c r="L54" s="28">
        <v>17</v>
      </c>
    </row>
    <row r="55" spans="1:12" ht="15" customHeight="1">
      <c r="A55" s="786"/>
      <c r="B55" s="25" t="s">
        <v>1442</v>
      </c>
      <c r="C55" s="26" t="s">
        <v>1443</v>
      </c>
      <c r="D55" s="32">
        <f t="shared" si="6"/>
        <v>8</v>
      </c>
      <c r="E55" s="32">
        <f t="shared" si="1"/>
        <v>15</v>
      </c>
      <c r="F55" s="32">
        <f t="shared" si="2"/>
        <v>22</v>
      </c>
      <c r="G55" s="32">
        <f t="shared" si="3"/>
        <v>30</v>
      </c>
      <c r="H55" s="32">
        <f t="shared" si="4"/>
        <v>37</v>
      </c>
      <c r="I55" s="32">
        <f t="shared" si="5"/>
        <v>44</v>
      </c>
      <c r="J55" s="27">
        <v>20</v>
      </c>
      <c r="K55" s="28">
        <v>20</v>
      </c>
      <c r="L55" s="28">
        <v>20</v>
      </c>
    </row>
    <row r="56" spans="1:12" ht="15" customHeight="1">
      <c r="A56" s="786"/>
      <c r="B56" s="25" t="s">
        <v>1444</v>
      </c>
      <c r="C56" s="26" t="s">
        <v>1443</v>
      </c>
      <c r="D56" s="32">
        <f t="shared" si="6"/>
        <v>8</v>
      </c>
      <c r="E56" s="32">
        <f t="shared" si="1"/>
        <v>15</v>
      </c>
      <c r="F56" s="32">
        <f t="shared" si="2"/>
        <v>22</v>
      </c>
      <c r="G56" s="32">
        <f t="shared" si="3"/>
        <v>30</v>
      </c>
      <c r="H56" s="32">
        <f t="shared" si="4"/>
        <v>37</v>
      </c>
      <c r="I56" s="32">
        <f t="shared" si="5"/>
        <v>44</v>
      </c>
      <c r="J56" s="27">
        <v>20</v>
      </c>
      <c r="K56" s="28">
        <v>20</v>
      </c>
      <c r="L56" s="28">
        <v>20</v>
      </c>
    </row>
    <row r="57" spans="1:12" ht="15" customHeight="1">
      <c r="A57" s="786"/>
      <c r="B57" s="25" t="s">
        <v>1445</v>
      </c>
      <c r="C57" s="26" t="s">
        <v>1446</v>
      </c>
      <c r="D57" s="32">
        <f t="shared" si="6"/>
        <v>8</v>
      </c>
      <c r="E57" s="32">
        <f t="shared" si="1"/>
        <v>15</v>
      </c>
      <c r="F57" s="32">
        <f t="shared" si="2"/>
        <v>22</v>
      </c>
      <c r="G57" s="32">
        <f t="shared" si="3"/>
        <v>30</v>
      </c>
      <c r="H57" s="32">
        <f t="shared" si="4"/>
        <v>37</v>
      </c>
      <c r="I57" s="32">
        <f t="shared" si="5"/>
        <v>44</v>
      </c>
      <c r="J57" s="27">
        <v>20</v>
      </c>
      <c r="K57" s="28">
        <v>20</v>
      </c>
      <c r="L57" s="28">
        <v>20</v>
      </c>
    </row>
    <row r="58" spans="1:12" ht="15" customHeight="1">
      <c r="A58" s="786"/>
      <c r="B58" s="25" t="s">
        <v>1447</v>
      </c>
      <c r="C58" s="26" t="s">
        <v>1448</v>
      </c>
      <c r="D58" s="32">
        <f t="shared" si="6"/>
        <v>8</v>
      </c>
      <c r="E58" s="32">
        <f t="shared" si="1"/>
        <v>15</v>
      </c>
      <c r="F58" s="32">
        <f t="shared" si="2"/>
        <v>22</v>
      </c>
      <c r="G58" s="32">
        <f t="shared" si="3"/>
        <v>30</v>
      </c>
      <c r="H58" s="32">
        <f t="shared" si="4"/>
        <v>37</v>
      </c>
      <c r="I58" s="32">
        <f t="shared" si="5"/>
        <v>44</v>
      </c>
      <c r="J58" s="27">
        <v>20</v>
      </c>
      <c r="K58" s="28">
        <v>20</v>
      </c>
      <c r="L58" s="28">
        <v>20</v>
      </c>
    </row>
    <row r="59" spans="1:12" ht="15" customHeight="1">
      <c r="A59" s="786"/>
      <c r="B59" s="25" t="s">
        <v>1449</v>
      </c>
      <c r="C59" s="26" t="s">
        <v>1450</v>
      </c>
      <c r="D59" s="32">
        <f t="shared" si="6"/>
        <v>2</v>
      </c>
      <c r="E59" s="32">
        <f t="shared" si="1"/>
        <v>3</v>
      </c>
      <c r="F59" s="32">
        <f t="shared" si="2"/>
        <v>4</v>
      </c>
      <c r="G59" s="32">
        <f t="shared" si="3"/>
        <v>5</v>
      </c>
      <c r="H59" s="32">
        <f t="shared" si="4"/>
        <v>6</v>
      </c>
      <c r="I59" s="32">
        <f t="shared" si="5"/>
        <v>7</v>
      </c>
      <c r="J59" s="27">
        <v>3</v>
      </c>
      <c r="K59" s="28">
        <v>3</v>
      </c>
      <c r="L59" s="28">
        <v>3</v>
      </c>
    </row>
    <row r="60" spans="1:12" ht="15" customHeight="1">
      <c r="A60" s="786"/>
      <c r="B60" s="25" t="s">
        <v>1451</v>
      </c>
      <c r="C60" s="26" t="s">
        <v>1450</v>
      </c>
      <c r="D60" s="32">
        <f t="shared" si="6"/>
        <v>1</v>
      </c>
      <c r="E60" s="32">
        <f t="shared" si="1"/>
        <v>2</v>
      </c>
      <c r="F60" s="32">
        <f t="shared" si="2"/>
        <v>3</v>
      </c>
      <c r="G60" s="32">
        <f t="shared" si="3"/>
        <v>3</v>
      </c>
      <c r="H60" s="32">
        <f t="shared" si="4"/>
        <v>4</v>
      </c>
      <c r="I60" s="32">
        <f t="shared" si="5"/>
        <v>5</v>
      </c>
      <c r="J60" s="27">
        <v>2</v>
      </c>
      <c r="K60" s="28">
        <v>2</v>
      </c>
      <c r="L60" s="28">
        <v>2</v>
      </c>
    </row>
    <row r="61" spans="1:12">
      <c r="A61" s="786"/>
      <c r="B61" s="25" t="s">
        <v>1452</v>
      </c>
      <c r="C61" s="26" t="s">
        <v>1453</v>
      </c>
      <c r="D61" s="32">
        <f t="shared" si="6"/>
        <v>1</v>
      </c>
      <c r="E61" s="32">
        <f t="shared" si="1"/>
        <v>2</v>
      </c>
      <c r="F61" s="32">
        <f t="shared" si="2"/>
        <v>3</v>
      </c>
      <c r="G61" s="32">
        <f t="shared" si="3"/>
        <v>3</v>
      </c>
      <c r="H61" s="32">
        <f t="shared" si="4"/>
        <v>4</v>
      </c>
      <c r="I61" s="32">
        <f t="shared" si="5"/>
        <v>5</v>
      </c>
      <c r="J61" s="27">
        <v>2</v>
      </c>
      <c r="K61" s="28">
        <v>2</v>
      </c>
      <c r="L61" s="28">
        <v>2</v>
      </c>
    </row>
    <row r="62" spans="1:12" ht="15" customHeight="1">
      <c r="A62" s="786"/>
      <c r="B62" s="25" t="s">
        <v>1454</v>
      </c>
      <c r="C62" s="26" t="s">
        <v>1455</v>
      </c>
      <c r="D62" s="32">
        <f t="shared" si="6"/>
        <v>1</v>
      </c>
      <c r="E62" s="32">
        <f t="shared" si="1"/>
        <v>2</v>
      </c>
      <c r="F62" s="32">
        <f t="shared" si="2"/>
        <v>3</v>
      </c>
      <c r="G62" s="32">
        <f t="shared" si="3"/>
        <v>3</v>
      </c>
      <c r="H62" s="32">
        <f t="shared" si="4"/>
        <v>4</v>
      </c>
      <c r="I62" s="32">
        <f t="shared" si="5"/>
        <v>5</v>
      </c>
      <c r="J62" s="27">
        <v>2</v>
      </c>
      <c r="K62" s="28">
        <v>2</v>
      </c>
      <c r="L62" s="28">
        <v>2</v>
      </c>
    </row>
    <row r="63" spans="1:12" ht="15" customHeight="1">
      <c r="A63" s="786"/>
      <c r="B63" s="25" t="s">
        <v>1456</v>
      </c>
      <c r="C63" s="26" t="s">
        <v>1430</v>
      </c>
      <c r="D63" s="32">
        <f t="shared" si="6"/>
        <v>2</v>
      </c>
      <c r="E63" s="32">
        <f t="shared" si="1"/>
        <v>3</v>
      </c>
      <c r="F63" s="32">
        <f t="shared" si="2"/>
        <v>4</v>
      </c>
      <c r="G63" s="32">
        <f t="shared" si="3"/>
        <v>5</v>
      </c>
      <c r="H63" s="32">
        <f t="shared" si="4"/>
        <v>6</v>
      </c>
      <c r="I63" s="32">
        <f t="shared" si="5"/>
        <v>7</v>
      </c>
      <c r="J63" s="27">
        <v>3</v>
      </c>
      <c r="K63" s="28">
        <v>3</v>
      </c>
      <c r="L63" s="28">
        <v>3</v>
      </c>
    </row>
    <row r="64" spans="1:12" ht="15" customHeight="1">
      <c r="A64" s="786"/>
      <c r="B64" s="25" t="s">
        <v>1456</v>
      </c>
      <c r="C64" s="26" t="s">
        <v>1457</v>
      </c>
      <c r="D64" s="32">
        <f t="shared" si="6"/>
        <v>2</v>
      </c>
      <c r="E64" s="32">
        <f t="shared" si="1"/>
        <v>3</v>
      </c>
      <c r="F64" s="32">
        <f t="shared" si="2"/>
        <v>4</v>
      </c>
      <c r="G64" s="32">
        <f t="shared" si="3"/>
        <v>5</v>
      </c>
      <c r="H64" s="32">
        <f t="shared" si="4"/>
        <v>6</v>
      </c>
      <c r="I64" s="32">
        <f t="shared" si="5"/>
        <v>7</v>
      </c>
      <c r="J64" s="27">
        <v>3</v>
      </c>
      <c r="K64" s="28">
        <v>3</v>
      </c>
      <c r="L64" s="28">
        <v>3</v>
      </c>
    </row>
    <row r="65" spans="1:12" ht="15" customHeight="1">
      <c r="A65" s="786"/>
      <c r="B65" s="25" t="s">
        <v>1458</v>
      </c>
      <c r="C65" s="26" t="s">
        <v>1459</v>
      </c>
      <c r="D65" s="32">
        <f t="shared" si="6"/>
        <v>5</v>
      </c>
      <c r="E65" s="32">
        <f t="shared" si="1"/>
        <v>9</v>
      </c>
      <c r="F65" s="32">
        <f t="shared" si="2"/>
        <v>14</v>
      </c>
      <c r="G65" s="32">
        <f t="shared" si="3"/>
        <v>18</v>
      </c>
      <c r="H65" s="32">
        <f t="shared" si="4"/>
        <v>22</v>
      </c>
      <c r="I65" s="32">
        <f t="shared" si="5"/>
        <v>27</v>
      </c>
      <c r="J65" s="27">
        <v>12</v>
      </c>
      <c r="K65" s="28">
        <v>12</v>
      </c>
      <c r="L65" s="28">
        <v>12</v>
      </c>
    </row>
  </sheetData>
  <mergeCells count="9">
    <mergeCell ref="A26:A65"/>
    <mergeCell ref="D2:I2"/>
    <mergeCell ref="A1:B4"/>
    <mergeCell ref="C1:C4"/>
    <mergeCell ref="A5:A12"/>
    <mergeCell ref="B6:B9"/>
    <mergeCell ref="A13:A18"/>
    <mergeCell ref="B15:B18"/>
    <mergeCell ref="A19:A25"/>
  </mergeCells>
  <pageMargins left="0.7" right="0.7" top="0.75" bottom="0.75" header="0.3" footer="0.3"/>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00B050"/>
  </sheetPr>
  <dimension ref="A1:Q115"/>
  <sheetViews>
    <sheetView showGridLines="0" topLeftCell="B107" zoomScale="85" zoomScaleNormal="85" zoomScalePageLayoutView="85" workbookViewId="0">
      <selection activeCell="N115" sqref="N115"/>
    </sheetView>
  </sheetViews>
  <sheetFormatPr defaultColWidth="11.42578125" defaultRowHeight="12.75"/>
  <cols>
    <col min="1" max="1" width="40.85546875" style="129" customWidth="1"/>
    <col min="2" max="2" width="56.7109375" style="129" customWidth="1"/>
    <col min="3" max="3" width="11.7109375" style="129" customWidth="1"/>
    <col min="4" max="4" width="16" style="129" customWidth="1"/>
    <col min="5" max="6" width="13" style="131" customWidth="1"/>
    <col min="7" max="7" width="17.140625" style="130" customWidth="1"/>
    <col min="8" max="8" width="16.28515625" style="130" bestFit="1" customWidth="1"/>
    <col min="9" max="10" width="16.140625" style="130" customWidth="1"/>
    <col min="11" max="11" width="18.7109375" style="131" customWidth="1"/>
    <col min="12" max="14" width="18.7109375" style="130" customWidth="1"/>
    <col min="15" max="15" width="11.42578125" style="130"/>
    <col min="16" max="16" width="12.140625" style="129" customWidth="1"/>
    <col min="17" max="17" width="13.28515625" style="129" customWidth="1"/>
    <col min="18" max="16384" width="11.42578125" style="129"/>
  </cols>
  <sheetData>
    <row r="1" spans="1:17" ht="12.75" customHeight="1">
      <c r="A1" s="735" t="s">
        <v>1460</v>
      </c>
      <c r="B1" s="735"/>
      <c r="C1" s="735"/>
      <c r="D1" s="735"/>
      <c r="E1" s="735"/>
      <c r="F1" s="735"/>
      <c r="G1" s="735"/>
      <c r="H1" s="735"/>
      <c r="I1" s="735"/>
      <c r="J1" s="735"/>
      <c r="K1" s="735"/>
      <c r="L1" s="735"/>
    </row>
    <row r="2" spans="1:17" ht="48" customHeight="1">
      <c r="A2" s="737" t="s">
        <v>1461</v>
      </c>
      <c r="B2" s="737"/>
      <c r="C2" s="737"/>
      <c r="D2" s="737"/>
      <c r="E2" s="737"/>
      <c r="F2" s="737"/>
      <c r="G2" s="737"/>
      <c r="H2" s="737"/>
      <c r="I2" s="737"/>
      <c r="J2" s="737"/>
      <c r="K2" s="737"/>
      <c r="L2" s="737"/>
      <c r="M2" s="737"/>
      <c r="N2" s="737"/>
    </row>
    <row r="3" spans="1:17" ht="17.25" customHeight="1">
      <c r="A3" s="737" t="s">
        <v>1462</v>
      </c>
      <c r="B3" s="737"/>
      <c r="C3" s="737"/>
      <c r="D3" s="737"/>
      <c r="E3" s="737"/>
      <c r="F3" s="737"/>
      <c r="G3" s="737"/>
      <c r="H3" s="737"/>
      <c r="I3" s="737"/>
      <c r="J3" s="737"/>
      <c r="K3" s="737"/>
      <c r="L3" s="737"/>
      <c r="M3" s="737"/>
      <c r="N3" s="737"/>
    </row>
    <row r="4" spans="1:17" ht="13.5" customHeight="1">
      <c r="A4" s="455"/>
      <c r="B4" s="455"/>
      <c r="C4" s="455"/>
      <c r="D4" s="455"/>
    </row>
    <row r="5" spans="1:17" ht="25.5" customHeight="1">
      <c r="A5" s="803" t="s">
        <v>87</v>
      </c>
      <c r="B5" s="803" t="s">
        <v>1216</v>
      </c>
      <c r="C5" s="803" t="s">
        <v>89</v>
      </c>
      <c r="D5" s="803" t="s">
        <v>1232</v>
      </c>
      <c r="E5" s="801" t="s">
        <v>1463</v>
      </c>
      <c r="F5" s="802"/>
      <c r="G5" s="796" t="s">
        <v>1464</v>
      </c>
      <c r="H5" s="796" t="s">
        <v>1174</v>
      </c>
      <c r="I5" s="796" t="s">
        <v>1465</v>
      </c>
      <c r="J5" s="796" t="s">
        <v>1176</v>
      </c>
      <c r="K5" s="798" t="s">
        <v>1466</v>
      </c>
      <c r="L5" s="796" t="s">
        <v>1467</v>
      </c>
      <c r="M5" s="800" t="s">
        <v>1468</v>
      </c>
      <c r="N5" s="800"/>
    </row>
    <row r="6" spans="1:17" ht="21" customHeight="1">
      <c r="A6" s="804"/>
      <c r="B6" s="804"/>
      <c r="C6" s="804"/>
      <c r="D6" s="804"/>
      <c r="E6" s="454">
        <v>100</v>
      </c>
      <c r="F6" s="454">
        <v>130</v>
      </c>
      <c r="G6" s="797"/>
      <c r="H6" s="797"/>
      <c r="I6" s="797"/>
      <c r="J6" s="797"/>
      <c r="K6" s="799"/>
      <c r="L6" s="797"/>
      <c r="M6" s="454">
        <v>100</v>
      </c>
      <c r="N6" s="454">
        <v>130</v>
      </c>
    </row>
    <row r="7" spans="1:17" ht="25.5">
      <c r="A7" s="132" t="s">
        <v>133</v>
      </c>
      <c r="B7" s="133" t="s">
        <v>134</v>
      </c>
      <c r="C7" s="78" t="s">
        <v>108</v>
      </c>
      <c r="D7" s="134" t="s">
        <v>44</v>
      </c>
      <c r="E7" s="135">
        <v>2</v>
      </c>
      <c r="F7" s="135">
        <v>2</v>
      </c>
      <c r="G7" s="197">
        <f>VLOOKUP($A7,'INDEXACIÓN PRODUCTOS MES A MES'!$B$5:$W$396,22,0)</f>
        <v>6.3508698386082585E-2</v>
      </c>
      <c r="H7" s="198">
        <f>VLOOKUP($A7,'INDEXACIÓN PRODUCTOS MES A MES'!$B$5:$W$396,20,0)</f>
        <v>15222</v>
      </c>
      <c r="I7" s="198">
        <f>H7-J7</f>
        <v>2430</v>
      </c>
      <c r="J7" s="198">
        <f>ROUND((H7/1.19),0)</f>
        <v>12792</v>
      </c>
      <c r="K7" s="199">
        <v>12</v>
      </c>
      <c r="L7" s="200">
        <f>ROUND((H7/(K7)),0)</f>
        <v>1269</v>
      </c>
      <c r="M7" s="200">
        <f t="shared" ref="M7:M41" si="0">ROUND((L7*E7),0)</f>
        <v>2538</v>
      </c>
      <c r="N7" s="200">
        <f t="shared" ref="N7:N41" si="1">ROUND((L7*F7),0)</f>
        <v>2538</v>
      </c>
      <c r="P7" s="130"/>
      <c r="Q7" s="130"/>
    </row>
    <row r="8" spans="1:17" ht="38.25">
      <c r="A8" s="132" t="s">
        <v>135</v>
      </c>
      <c r="B8" s="133" t="s">
        <v>1469</v>
      </c>
      <c r="C8" s="78" t="s">
        <v>137</v>
      </c>
      <c r="D8" s="134" t="s">
        <v>36</v>
      </c>
      <c r="E8" s="135">
        <v>216</v>
      </c>
      <c r="F8" s="135">
        <f>130*2+15</f>
        <v>275</v>
      </c>
      <c r="G8" s="197">
        <f>VLOOKUP($A8,'INDEXACIÓN PRODUCTOS MES A MES'!$B$5:$W$396,22,0)</f>
        <v>9.1163972488719505E-2</v>
      </c>
      <c r="H8" s="198">
        <f>VLOOKUP($A8,'INDEXACIÓN PRODUCTOS MES A MES'!$B$5:$W$396,20,0)</f>
        <v>49816</v>
      </c>
      <c r="I8" s="198">
        <f t="shared" ref="I8:I76" si="2">H8-J8</f>
        <v>7954</v>
      </c>
      <c r="J8" s="198">
        <f t="shared" ref="J8:J76" si="3">ROUND((H8/1.19),0)</f>
        <v>41862</v>
      </c>
      <c r="K8" s="199">
        <v>12</v>
      </c>
      <c r="L8" s="200">
        <f t="shared" ref="L8:L67" si="4">ROUND((H8/(K8)),0)</f>
        <v>4151</v>
      </c>
      <c r="M8" s="200">
        <f t="shared" si="0"/>
        <v>896616</v>
      </c>
      <c r="N8" s="200">
        <f t="shared" si="1"/>
        <v>1141525</v>
      </c>
      <c r="P8" s="130"/>
      <c r="Q8" s="130"/>
    </row>
    <row r="9" spans="1:17" ht="51">
      <c r="A9" s="132" t="s">
        <v>138</v>
      </c>
      <c r="B9" s="133" t="s">
        <v>139</v>
      </c>
      <c r="C9" s="78" t="s">
        <v>137</v>
      </c>
      <c r="D9" s="134" t="s">
        <v>36</v>
      </c>
      <c r="E9" s="135">
        <v>5</v>
      </c>
      <c r="F9" s="135">
        <v>5</v>
      </c>
      <c r="G9" s="197">
        <f>VLOOKUP($A9,'INDEXACIÓN PRODUCTOS MES A MES'!$B$5:$W$396,22,0)</f>
        <v>9.1290916366546612E-2</v>
      </c>
      <c r="H9" s="198">
        <f>VLOOKUP($A9,'INDEXACIÓN PRODUCTOS MES A MES'!$B$5:$W$396,20,0)</f>
        <v>340892</v>
      </c>
      <c r="I9" s="198">
        <f t="shared" si="2"/>
        <v>54428</v>
      </c>
      <c r="J9" s="198">
        <f t="shared" si="3"/>
        <v>286464</v>
      </c>
      <c r="K9" s="199">
        <v>36</v>
      </c>
      <c r="L9" s="200">
        <f t="shared" si="4"/>
        <v>9469</v>
      </c>
      <c r="M9" s="200">
        <f t="shared" si="0"/>
        <v>47345</v>
      </c>
      <c r="N9" s="200">
        <f t="shared" si="1"/>
        <v>47345</v>
      </c>
      <c r="P9" s="130"/>
      <c r="Q9" s="130"/>
    </row>
    <row r="10" spans="1:17" ht="89.25">
      <c r="A10" s="132" t="s">
        <v>140</v>
      </c>
      <c r="B10" s="133" t="s">
        <v>1470</v>
      </c>
      <c r="C10" s="78" t="s">
        <v>108</v>
      </c>
      <c r="D10" s="134" t="s">
        <v>44</v>
      </c>
      <c r="E10" s="135">
        <v>2</v>
      </c>
      <c r="F10" s="135">
        <v>5</v>
      </c>
      <c r="G10" s="197">
        <f>VLOOKUP($A10,'INDEXACIÓN PRODUCTOS MES A MES'!$B$5:$W$396,22,0)</f>
        <v>6.3829136025064209E-2</v>
      </c>
      <c r="H10" s="198">
        <f>VLOOKUP($A10,'INDEXACIÓN PRODUCTOS MES A MES'!$B$5:$W$396,20,0)</f>
        <v>764674</v>
      </c>
      <c r="I10" s="198">
        <f t="shared" si="2"/>
        <v>122091</v>
      </c>
      <c r="J10" s="198">
        <f t="shared" si="3"/>
        <v>642583</v>
      </c>
      <c r="K10" s="199">
        <v>60</v>
      </c>
      <c r="L10" s="200">
        <f t="shared" si="4"/>
        <v>12745</v>
      </c>
      <c r="M10" s="200">
        <f t="shared" si="0"/>
        <v>25490</v>
      </c>
      <c r="N10" s="200">
        <f t="shared" si="1"/>
        <v>63725</v>
      </c>
      <c r="P10" s="130"/>
      <c r="Q10" s="130"/>
    </row>
    <row r="11" spans="1:17">
      <c r="A11" s="244" t="s">
        <v>144</v>
      </c>
      <c r="B11" s="244" t="s">
        <v>145</v>
      </c>
      <c r="C11" s="252" t="s">
        <v>108</v>
      </c>
      <c r="D11" s="83" t="s">
        <v>84</v>
      </c>
      <c r="E11" s="135">
        <v>1</v>
      </c>
      <c r="F11" s="135">
        <v>1</v>
      </c>
      <c r="G11" s="197">
        <f>VLOOKUP($A11,'INDEXACIÓN PRODUCTOS MES A MES'!$B$5:$W$396,22,0)</f>
        <v>0</v>
      </c>
      <c r="H11" s="198">
        <f>VLOOKUP($A11,'INDEXACIÓN PRODUCTOS MES A MES'!$B$5:$W$396,20,0)</f>
        <v>109564</v>
      </c>
      <c r="I11" s="198">
        <f t="shared" ref="I11:I12" si="5">H11-J11</f>
        <v>17493</v>
      </c>
      <c r="J11" s="198">
        <f t="shared" ref="J11:J12" si="6">ROUND((H11/1.19),0)</f>
        <v>92071</v>
      </c>
      <c r="K11" s="199">
        <v>60</v>
      </c>
      <c r="L11" s="200">
        <f t="shared" ref="L11:L12" si="7">ROUND((H11/(K11)),0)</f>
        <v>1826</v>
      </c>
      <c r="M11" s="200">
        <f t="shared" ref="M11:M12" si="8">ROUND((L11*E11),0)</f>
        <v>1826</v>
      </c>
      <c r="N11" s="200">
        <f t="shared" ref="N11:N12" si="9">ROUND((L11*F11),0)</f>
        <v>1826</v>
      </c>
      <c r="P11" s="130"/>
      <c r="Q11" s="130"/>
    </row>
    <row r="12" spans="1:17">
      <c r="A12" s="244" t="s">
        <v>146</v>
      </c>
      <c r="B12" s="244" t="s">
        <v>147</v>
      </c>
      <c r="C12" s="252" t="s">
        <v>108</v>
      </c>
      <c r="D12" s="83" t="s">
        <v>84</v>
      </c>
      <c r="E12" s="135">
        <v>1</v>
      </c>
      <c r="F12" s="135">
        <v>1</v>
      </c>
      <c r="G12" s="197">
        <f>VLOOKUP($A12,'INDEXACIÓN PRODUCTOS MES A MES'!$B$5:$W$396,22,0)</f>
        <v>0</v>
      </c>
      <c r="H12" s="198">
        <f>VLOOKUP($A12,'INDEXACIÓN PRODUCTOS MES A MES'!$B$5:$W$396,20,0)</f>
        <v>112447</v>
      </c>
      <c r="I12" s="198">
        <f t="shared" si="5"/>
        <v>17954</v>
      </c>
      <c r="J12" s="198">
        <f t="shared" si="6"/>
        <v>94493</v>
      </c>
      <c r="K12" s="199">
        <v>60</v>
      </c>
      <c r="L12" s="200">
        <f t="shared" si="7"/>
        <v>1874</v>
      </c>
      <c r="M12" s="200">
        <f t="shared" si="8"/>
        <v>1874</v>
      </c>
      <c r="N12" s="200">
        <f t="shared" si="9"/>
        <v>1874</v>
      </c>
      <c r="P12" s="130"/>
      <c r="Q12" s="130"/>
    </row>
    <row r="13" spans="1:17" ht="38.25">
      <c r="A13" s="132" t="s">
        <v>148</v>
      </c>
      <c r="B13" s="133" t="s">
        <v>1471</v>
      </c>
      <c r="C13" s="78" t="s">
        <v>108</v>
      </c>
      <c r="D13" s="134" t="s">
        <v>44</v>
      </c>
      <c r="E13" s="135">
        <v>2</v>
      </c>
      <c r="F13" s="135">
        <v>2</v>
      </c>
      <c r="G13" s="197">
        <f>VLOOKUP($A13,'INDEXACIÓN PRODUCTOS MES A MES'!$B$5:$W$396,22,0)</f>
        <v>6.3608900991362807E-2</v>
      </c>
      <c r="H13" s="198">
        <f>VLOOKUP($A13,'INDEXACIÓN PRODUCTOS MES A MES'!$B$5:$W$396,20,0)</f>
        <v>24998</v>
      </c>
      <c r="I13" s="198">
        <f t="shared" si="2"/>
        <v>3991</v>
      </c>
      <c r="J13" s="198">
        <f t="shared" si="3"/>
        <v>21007</v>
      </c>
      <c r="K13" s="199">
        <v>24</v>
      </c>
      <c r="L13" s="200">
        <f t="shared" si="4"/>
        <v>1042</v>
      </c>
      <c r="M13" s="200">
        <f t="shared" si="0"/>
        <v>2084</v>
      </c>
      <c r="N13" s="200">
        <f t="shared" si="1"/>
        <v>2084</v>
      </c>
      <c r="P13" s="130"/>
      <c r="Q13" s="130"/>
    </row>
    <row r="14" spans="1:17" ht="140.25">
      <c r="A14" s="132" t="s">
        <v>156</v>
      </c>
      <c r="B14" s="133" t="s">
        <v>157</v>
      </c>
      <c r="C14" s="78" t="s">
        <v>108</v>
      </c>
      <c r="D14" s="134" t="s">
        <v>56</v>
      </c>
      <c r="E14" s="135">
        <v>1</v>
      </c>
      <c r="F14" s="135">
        <v>1</v>
      </c>
      <c r="G14" s="197">
        <f>VLOOKUP($A14,'INDEXACIÓN PRODUCTOS MES A MES'!$B$5:$W$396,22,0)</f>
        <v>4.2918378281836041E-2</v>
      </c>
      <c r="H14" s="198">
        <f>VLOOKUP($A14,'INDEXACIÓN PRODUCTOS MES A MES'!$B$5:$W$396,20,0)</f>
        <v>291965</v>
      </c>
      <c r="I14" s="198">
        <f t="shared" si="2"/>
        <v>46616</v>
      </c>
      <c r="J14" s="198">
        <f t="shared" si="3"/>
        <v>245349</v>
      </c>
      <c r="K14" s="199">
        <v>60</v>
      </c>
      <c r="L14" s="200">
        <f t="shared" si="4"/>
        <v>4866</v>
      </c>
      <c r="M14" s="200">
        <f t="shared" si="0"/>
        <v>4866</v>
      </c>
      <c r="N14" s="200">
        <f t="shared" si="1"/>
        <v>4866</v>
      </c>
      <c r="P14" s="130"/>
      <c r="Q14" s="130"/>
    </row>
    <row r="15" spans="1:17" ht="89.25">
      <c r="A15" s="132" t="s">
        <v>160</v>
      </c>
      <c r="B15" s="136" t="s">
        <v>1472</v>
      </c>
      <c r="C15" s="78" t="s">
        <v>137</v>
      </c>
      <c r="D15" s="134" t="s">
        <v>38</v>
      </c>
      <c r="E15" s="135">
        <v>1</v>
      </c>
      <c r="F15" s="135">
        <v>1</v>
      </c>
      <c r="G15" s="197">
        <f>VLOOKUP($A15,'INDEXACIÓN PRODUCTOS MES A MES'!$B$5:$W$396,22,0)</f>
        <v>7.9942115418347656E-2</v>
      </c>
      <c r="H15" s="198">
        <f>VLOOKUP($A15,'INDEXACIÓN PRODUCTOS MES A MES'!$B$5:$W$396,20,0)</f>
        <v>172389</v>
      </c>
      <c r="I15" s="198">
        <f t="shared" si="2"/>
        <v>27524</v>
      </c>
      <c r="J15" s="198">
        <f t="shared" si="3"/>
        <v>144865</v>
      </c>
      <c r="K15" s="199">
        <v>12</v>
      </c>
      <c r="L15" s="200">
        <f t="shared" si="4"/>
        <v>14366</v>
      </c>
      <c r="M15" s="200">
        <f t="shared" si="0"/>
        <v>14366</v>
      </c>
      <c r="N15" s="200">
        <f t="shared" si="1"/>
        <v>14366</v>
      </c>
      <c r="P15" s="130"/>
      <c r="Q15" s="130"/>
    </row>
    <row r="16" spans="1:17" ht="318.75">
      <c r="A16" s="132" t="s">
        <v>162</v>
      </c>
      <c r="B16" s="136" t="s">
        <v>1473</v>
      </c>
      <c r="C16" s="78" t="s">
        <v>137</v>
      </c>
      <c r="D16" s="134" t="s">
        <v>48</v>
      </c>
      <c r="E16" s="135">
        <v>1</v>
      </c>
      <c r="F16" s="135">
        <v>1</v>
      </c>
      <c r="G16" s="197">
        <f>VLOOKUP($A16,'INDEXACIÓN PRODUCTOS MES A MES'!$B$5:$W$396,22,0)</f>
        <v>5.1157136425033771E-2</v>
      </c>
      <c r="H16" s="198">
        <f>VLOOKUP($A16,'INDEXACIÓN PRODUCTOS MES A MES'!$B$5:$W$396,20,0)</f>
        <v>116731</v>
      </c>
      <c r="I16" s="198">
        <f t="shared" si="2"/>
        <v>18638</v>
      </c>
      <c r="J16" s="198">
        <f t="shared" si="3"/>
        <v>98093</v>
      </c>
      <c r="K16" s="199">
        <v>12</v>
      </c>
      <c r="L16" s="200">
        <f t="shared" si="4"/>
        <v>9728</v>
      </c>
      <c r="M16" s="200">
        <f t="shared" si="0"/>
        <v>9728</v>
      </c>
      <c r="N16" s="200">
        <f t="shared" si="1"/>
        <v>9728</v>
      </c>
      <c r="P16" s="130"/>
      <c r="Q16" s="130"/>
    </row>
    <row r="17" spans="1:17" ht="63.75">
      <c r="A17" s="244" t="s">
        <v>164</v>
      </c>
      <c r="B17" s="173" t="s">
        <v>1474</v>
      </c>
      <c r="C17" s="78" t="s">
        <v>137</v>
      </c>
      <c r="D17" s="76" t="s">
        <v>36</v>
      </c>
      <c r="E17" s="135">
        <v>1</v>
      </c>
      <c r="F17" s="135">
        <v>1</v>
      </c>
      <c r="G17" s="197">
        <f>VLOOKUP($A17,'INDEXACIÓN PRODUCTOS MES A MES'!$B$5:$W$396,22,0)</f>
        <v>9.1302591331448024E-2</v>
      </c>
      <c r="H17" s="198">
        <f>VLOOKUP($A17,'INDEXACIÓN PRODUCTOS MES A MES'!$B$5:$W$396,20,0)</f>
        <v>623997</v>
      </c>
      <c r="I17" s="198">
        <f t="shared" ref="I17" si="10">H17-J17</f>
        <v>99630</v>
      </c>
      <c r="J17" s="198">
        <f t="shared" ref="J17" si="11">ROUND((H17/1.19),0)</f>
        <v>524367</v>
      </c>
      <c r="K17" s="199">
        <v>12</v>
      </c>
      <c r="L17" s="200">
        <f t="shared" ref="L17" si="12">ROUND((H17/(K17)),0)</f>
        <v>52000</v>
      </c>
      <c r="M17" s="200">
        <f t="shared" ref="M17" si="13">ROUND((L17*E17),0)</f>
        <v>52000</v>
      </c>
      <c r="N17" s="200">
        <f t="shared" ref="N17" si="14">ROUND((L17*F17),0)</f>
        <v>52000</v>
      </c>
      <c r="P17" s="130"/>
      <c r="Q17" s="130"/>
    </row>
    <row r="18" spans="1:17" ht="63.75">
      <c r="A18" s="137" t="s">
        <v>166</v>
      </c>
      <c r="B18" s="133" t="s">
        <v>167</v>
      </c>
      <c r="C18" s="78" t="s">
        <v>137</v>
      </c>
      <c r="D18" s="134" t="s">
        <v>64</v>
      </c>
      <c r="E18" s="138">
        <v>2</v>
      </c>
      <c r="F18" s="138">
        <v>2</v>
      </c>
      <c r="G18" s="197">
        <f>VLOOKUP($A18,'INDEXACIÓN PRODUCTOS MES A MES'!$B$5:$W$396,22,0)</f>
        <v>0</v>
      </c>
      <c r="H18" s="198">
        <f>VLOOKUP($A18,'INDEXACIÓN PRODUCTOS MES A MES'!$B$5:$W$396,20,0)</f>
        <v>943857</v>
      </c>
      <c r="I18" s="198">
        <f t="shared" si="2"/>
        <v>150700</v>
      </c>
      <c r="J18" s="198">
        <f t="shared" si="3"/>
        <v>793157</v>
      </c>
      <c r="K18" s="199">
        <v>60</v>
      </c>
      <c r="L18" s="200">
        <f t="shared" si="4"/>
        <v>15731</v>
      </c>
      <c r="M18" s="200">
        <f t="shared" si="0"/>
        <v>31462</v>
      </c>
      <c r="N18" s="200">
        <f t="shared" si="1"/>
        <v>31462</v>
      </c>
      <c r="P18" s="130"/>
      <c r="Q18" s="130"/>
    </row>
    <row r="19" spans="1:17" ht="38.25">
      <c r="A19" s="132" t="s">
        <v>168</v>
      </c>
      <c r="B19" s="133" t="s">
        <v>1475</v>
      </c>
      <c r="C19" s="78" t="s">
        <v>137</v>
      </c>
      <c r="D19" s="134" t="s">
        <v>54</v>
      </c>
      <c r="E19" s="135">
        <v>2</v>
      </c>
      <c r="F19" s="135">
        <v>2</v>
      </c>
      <c r="G19" s="197">
        <f>VLOOKUP($A19,'INDEXACIÓN PRODUCTOS MES A MES'!$B$5:$W$396,22,0)</f>
        <v>4.2919169690120738E-2</v>
      </c>
      <c r="H19" s="198">
        <f>VLOOKUP($A19,'INDEXACIÓN PRODUCTOS MES A MES'!$B$5:$W$396,20,0)</f>
        <v>175346</v>
      </c>
      <c r="I19" s="198">
        <f t="shared" si="2"/>
        <v>27996</v>
      </c>
      <c r="J19" s="198">
        <f t="shared" si="3"/>
        <v>147350</v>
      </c>
      <c r="K19" s="199">
        <v>60</v>
      </c>
      <c r="L19" s="200">
        <f t="shared" si="4"/>
        <v>2922</v>
      </c>
      <c r="M19" s="200">
        <f t="shared" si="0"/>
        <v>5844</v>
      </c>
      <c r="N19" s="200">
        <f t="shared" si="1"/>
        <v>5844</v>
      </c>
      <c r="P19" s="130"/>
      <c r="Q19" s="130"/>
    </row>
    <row r="20" spans="1:17" ht="76.5">
      <c r="A20" s="132" t="s">
        <v>170</v>
      </c>
      <c r="B20" s="133" t="s">
        <v>1476</v>
      </c>
      <c r="C20" s="78" t="s">
        <v>137</v>
      </c>
      <c r="D20" s="134" t="s">
        <v>58</v>
      </c>
      <c r="E20" s="135">
        <v>50</v>
      </c>
      <c r="F20" s="135">
        <v>65</v>
      </c>
      <c r="G20" s="197">
        <f>VLOOKUP($A20,'INDEXACIÓN PRODUCTOS MES A MES'!$B$5:$W$396,22,0)</f>
        <v>4.2929921710903186E-2</v>
      </c>
      <c r="H20" s="198">
        <f>VLOOKUP($A20,'INDEXACIÓN PRODUCTOS MES A MES'!$B$5:$W$396,20,0)</f>
        <v>1365456</v>
      </c>
      <c r="I20" s="198">
        <f t="shared" si="2"/>
        <v>218014</v>
      </c>
      <c r="J20" s="198">
        <f t="shared" si="3"/>
        <v>1147442</v>
      </c>
      <c r="K20" s="199">
        <v>60</v>
      </c>
      <c r="L20" s="200">
        <f t="shared" si="4"/>
        <v>22758</v>
      </c>
      <c r="M20" s="200">
        <f t="shared" si="0"/>
        <v>1137900</v>
      </c>
      <c r="N20" s="200">
        <f t="shared" si="1"/>
        <v>1479270</v>
      </c>
      <c r="P20" s="130"/>
      <c r="Q20" s="130"/>
    </row>
    <row r="21" spans="1:17" ht="38.25">
      <c r="A21" s="132" t="s">
        <v>172</v>
      </c>
      <c r="B21" s="133" t="s">
        <v>1477</v>
      </c>
      <c r="C21" s="78" t="s">
        <v>137</v>
      </c>
      <c r="D21" s="134" t="s">
        <v>56</v>
      </c>
      <c r="E21" s="135">
        <v>1</v>
      </c>
      <c r="F21" s="135">
        <v>1</v>
      </c>
      <c r="G21" s="197">
        <f>VLOOKUP($A21,'INDEXACIÓN PRODUCTOS MES A MES'!$B$5:$W$396,22,0)</f>
        <v>4.2924353755880953E-2</v>
      </c>
      <c r="H21" s="198">
        <f>VLOOKUP($A21,'INDEXACIÓN PRODUCTOS MES A MES'!$B$5:$W$396,20,0)</f>
        <v>394580</v>
      </c>
      <c r="I21" s="198">
        <f t="shared" si="2"/>
        <v>63000</v>
      </c>
      <c r="J21" s="198">
        <f t="shared" si="3"/>
        <v>331580</v>
      </c>
      <c r="K21" s="199">
        <v>60</v>
      </c>
      <c r="L21" s="200">
        <f t="shared" si="4"/>
        <v>6576</v>
      </c>
      <c r="M21" s="200">
        <f t="shared" si="0"/>
        <v>6576</v>
      </c>
      <c r="N21" s="200">
        <f t="shared" si="1"/>
        <v>6576</v>
      </c>
      <c r="P21" s="130"/>
      <c r="Q21" s="130"/>
    </row>
    <row r="22" spans="1:17" ht="38.25">
      <c r="A22" s="132" t="s">
        <v>176</v>
      </c>
      <c r="B22" s="133" t="s">
        <v>1478</v>
      </c>
      <c r="C22" s="78" t="s">
        <v>137</v>
      </c>
      <c r="D22" s="134" t="s">
        <v>36</v>
      </c>
      <c r="E22" s="135">
        <v>10</v>
      </c>
      <c r="F22" s="135">
        <v>10</v>
      </c>
      <c r="G22" s="197">
        <f>VLOOKUP($A22,'INDEXACIÓN PRODUCTOS MES A MES'!$B$5:$W$396,22,0)</f>
        <v>9.1146646973613202E-2</v>
      </c>
      <c r="H22" s="198">
        <f>VLOOKUP($A22,'INDEXACIÓN PRODUCTOS MES A MES'!$B$5:$W$396,20,0)</f>
        <v>38416</v>
      </c>
      <c r="I22" s="198">
        <f t="shared" si="2"/>
        <v>6134</v>
      </c>
      <c r="J22" s="198">
        <f t="shared" si="3"/>
        <v>32282</v>
      </c>
      <c r="K22" s="199">
        <v>24</v>
      </c>
      <c r="L22" s="200">
        <f t="shared" si="4"/>
        <v>1601</v>
      </c>
      <c r="M22" s="200">
        <f t="shared" si="0"/>
        <v>16010</v>
      </c>
      <c r="N22" s="200">
        <f t="shared" si="1"/>
        <v>16010</v>
      </c>
      <c r="P22" s="130"/>
      <c r="Q22" s="130"/>
    </row>
    <row r="23" spans="1:17" ht="38.25">
      <c r="A23" s="132" t="s">
        <v>178</v>
      </c>
      <c r="B23" s="133" t="s">
        <v>179</v>
      </c>
      <c r="C23" s="78" t="s">
        <v>137</v>
      </c>
      <c r="D23" s="134" t="s">
        <v>36</v>
      </c>
      <c r="E23" s="135">
        <v>1</v>
      </c>
      <c r="F23" s="135">
        <v>1</v>
      </c>
      <c r="G23" s="197">
        <f>VLOOKUP($A23,'INDEXACIÓN PRODUCTOS MES A MES'!$B$5:$W$396,22,0)</f>
        <v>9.1203943954333164E-2</v>
      </c>
      <c r="H23" s="198">
        <f>VLOOKUP($A23,'INDEXACIÓN PRODUCTOS MES A MES'!$B$5:$W$396,20,0)</f>
        <v>75699</v>
      </c>
      <c r="I23" s="198">
        <f t="shared" si="2"/>
        <v>12086</v>
      </c>
      <c r="J23" s="198">
        <f t="shared" si="3"/>
        <v>63613</v>
      </c>
      <c r="K23" s="199">
        <v>24</v>
      </c>
      <c r="L23" s="200">
        <f t="shared" si="4"/>
        <v>3154</v>
      </c>
      <c r="M23" s="200">
        <f t="shared" si="0"/>
        <v>3154</v>
      </c>
      <c r="N23" s="200">
        <f t="shared" si="1"/>
        <v>3154</v>
      </c>
      <c r="P23" s="130"/>
      <c r="Q23" s="130"/>
    </row>
    <row r="24" spans="1:17" ht="38.25">
      <c r="A24" s="132" t="s">
        <v>183</v>
      </c>
      <c r="B24" s="133" t="s">
        <v>1479</v>
      </c>
      <c r="C24" s="78" t="s">
        <v>137</v>
      </c>
      <c r="D24" s="134" t="s">
        <v>36</v>
      </c>
      <c r="E24" s="135">
        <v>2</v>
      </c>
      <c r="F24" s="135">
        <v>2</v>
      </c>
      <c r="G24" s="197">
        <f>VLOOKUP($A24,'INDEXACIÓN PRODUCTOS MES A MES'!$B$5:$W$396,22,0)</f>
        <v>9.1247494511787722E-2</v>
      </c>
      <c r="H24" s="198">
        <f>VLOOKUP($A24,'INDEXACIÓN PRODUCTOS MES A MES'!$B$5:$W$396,20,0)</f>
        <v>80031</v>
      </c>
      <c r="I24" s="198">
        <f t="shared" si="2"/>
        <v>12778</v>
      </c>
      <c r="J24" s="198">
        <f t="shared" si="3"/>
        <v>67253</v>
      </c>
      <c r="K24" s="199">
        <v>24</v>
      </c>
      <c r="L24" s="200">
        <f t="shared" si="4"/>
        <v>3335</v>
      </c>
      <c r="M24" s="200">
        <f t="shared" si="0"/>
        <v>6670</v>
      </c>
      <c r="N24" s="200">
        <f t="shared" si="1"/>
        <v>6670</v>
      </c>
      <c r="P24" s="130"/>
      <c r="Q24" s="130"/>
    </row>
    <row r="25" spans="1:17" ht="38.25">
      <c r="A25" s="132" t="s">
        <v>185</v>
      </c>
      <c r="B25" s="133" t="s">
        <v>1480</v>
      </c>
      <c r="C25" s="78" t="s">
        <v>137</v>
      </c>
      <c r="D25" s="134" t="s">
        <v>36</v>
      </c>
      <c r="E25" s="135">
        <v>2</v>
      </c>
      <c r="F25" s="135">
        <v>2</v>
      </c>
      <c r="G25" s="197">
        <f>VLOOKUP($A25,'INDEXACIÓN PRODUCTOS MES A MES'!$B$5:$W$396,22,0)</f>
        <v>9.1247494511787722E-2</v>
      </c>
      <c r="H25" s="198">
        <f>VLOOKUP($A25,'INDEXACIÓN PRODUCTOS MES A MES'!$B$5:$W$396,20,0)</f>
        <v>80031</v>
      </c>
      <c r="I25" s="198">
        <f t="shared" si="2"/>
        <v>12778</v>
      </c>
      <c r="J25" s="198">
        <f t="shared" si="3"/>
        <v>67253</v>
      </c>
      <c r="K25" s="199">
        <v>24</v>
      </c>
      <c r="L25" s="200">
        <f t="shared" si="4"/>
        <v>3335</v>
      </c>
      <c r="M25" s="200">
        <f t="shared" si="0"/>
        <v>6670</v>
      </c>
      <c r="N25" s="200">
        <f t="shared" si="1"/>
        <v>6670</v>
      </c>
      <c r="P25" s="130"/>
      <c r="Q25" s="130"/>
    </row>
    <row r="26" spans="1:17" ht="38.25">
      <c r="A26" s="132" t="s">
        <v>187</v>
      </c>
      <c r="B26" s="133" t="s">
        <v>188</v>
      </c>
      <c r="C26" s="78" t="s">
        <v>137</v>
      </c>
      <c r="D26" s="134" t="s">
        <v>36</v>
      </c>
      <c r="E26" s="135">
        <v>20</v>
      </c>
      <c r="F26" s="135">
        <v>25</v>
      </c>
      <c r="G26" s="197">
        <f>VLOOKUP($A26,'INDEXACIÓN PRODUCTOS MES A MES'!$B$5:$W$396,22,0)</f>
        <v>9.1147540983606556E-2</v>
      </c>
      <c r="H26" s="198">
        <f>VLOOKUP($A26,'INDEXACIÓN PRODUCTOS MES A MES'!$B$5:$W$396,20,0)</f>
        <v>53248</v>
      </c>
      <c r="I26" s="198">
        <f t="shared" si="2"/>
        <v>8502</v>
      </c>
      <c r="J26" s="198">
        <f t="shared" si="3"/>
        <v>44746</v>
      </c>
      <c r="K26" s="199">
        <v>24</v>
      </c>
      <c r="L26" s="200">
        <f t="shared" si="4"/>
        <v>2219</v>
      </c>
      <c r="M26" s="200">
        <f t="shared" si="0"/>
        <v>44380</v>
      </c>
      <c r="N26" s="200">
        <f t="shared" si="1"/>
        <v>55475</v>
      </c>
      <c r="P26" s="130"/>
      <c r="Q26" s="130"/>
    </row>
    <row r="27" spans="1:17" ht="38.25">
      <c r="A27" s="132" t="s">
        <v>189</v>
      </c>
      <c r="B27" s="133" t="s">
        <v>190</v>
      </c>
      <c r="C27" s="78" t="s">
        <v>137</v>
      </c>
      <c r="D27" s="134" t="s">
        <v>36</v>
      </c>
      <c r="E27" s="135">
        <v>1</v>
      </c>
      <c r="F27" s="135">
        <v>1</v>
      </c>
      <c r="G27" s="197">
        <f>VLOOKUP($A27,'INDEXACIÓN PRODUCTOS MES A MES'!$B$5:$W$396,22,0)</f>
        <v>9.1147540983606556E-2</v>
      </c>
      <c r="H27" s="198">
        <f>VLOOKUP($A27,'INDEXACIÓN PRODUCTOS MES A MES'!$B$5:$W$396,20,0)</f>
        <v>53248</v>
      </c>
      <c r="I27" s="198">
        <f t="shared" si="2"/>
        <v>8502</v>
      </c>
      <c r="J27" s="198">
        <f t="shared" si="3"/>
        <v>44746</v>
      </c>
      <c r="K27" s="199">
        <v>24</v>
      </c>
      <c r="L27" s="200">
        <f t="shared" si="4"/>
        <v>2219</v>
      </c>
      <c r="M27" s="200">
        <f t="shared" si="0"/>
        <v>2219</v>
      </c>
      <c r="N27" s="200">
        <f t="shared" si="1"/>
        <v>2219</v>
      </c>
      <c r="P27" s="130"/>
      <c r="Q27" s="130"/>
    </row>
    <row r="28" spans="1:17" ht="38.25">
      <c r="A28" s="132" t="s">
        <v>191</v>
      </c>
      <c r="B28" s="133" t="s">
        <v>192</v>
      </c>
      <c r="C28" s="78" t="s">
        <v>137</v>
      </c>
      <c r="D28" s="134" t="s">
        <v>36</v>
      </c>
      <c r="E28" s="135">
        <v>1</v>
      </c>
      <c r="F28" s="135">
        <v>1</v>
      </c>
      <c r="G28" s="197">
        <f>VLOOKUP($A28,'INDEXACIÓN PRODUCTOS MES A MES'!$B$5:$W$396,22,0)</f>
        <v>9.1226958221095444E-2</v>
      </c>
      <c r="H28" s="198">
        <f>VLOOKUP($A28,'INDEXACIÓN PRODUCTOS MES A MES'!$B$5:$W$396,20,0)</f>
        <v>103301</v>
      </c>
      <c r="I28" s="198">
        <f t="shared" si="2"/>
        <v>16493</v>
      </c>
      <c r="J28" s="198">
        <f t="shared" si="3"/>
        <v>86808</v>
      </c>
      <c r="K28" s="199">
        <v>24</v>
      </c>
      <c r="L28" s="200">
        <f t="shared" si="4"/>
        <v>4304</v>
      </c>
      <c r="M28" s="200">
        <f t="shared" si="0"/>
        <v>4304</v>
      </c>
      <c r="N28" s="200">
        <f t="shared" si="1"/>
        <v>4304</v>
      </c>
      <c r="P28" s="130"/>
      <c r="Q28" s="130"/>
    </row>
    <row r="29" spans="1:17" ht="38.25">
      <c r="A29" s="132" t="s">
        <v>193</v>
      </c>
      <c r="B29" s="133" t="s">
        <v>192</v>
      </c>
      <c r="C29" s="78" t="s">
        <v>137</v>
      </c>
      <c r="D29" s="134" t="s">
        <v>36</v>
      </c>
      <c r="E29" s="135">
        <v>1</v>
      </c>
      <c r="F29" s="135">
        <v>1</v>
      </c>
      <c r="G29" s="197">
        <f>VLOOKUP($A29,'INDEXACIÓN PRODUCTOS MES A MES'!$B$5:$W$396,22,0)</f>
        <v>9.1226958221095444E-2</v>
      </c>
      <c r="H29" s="198">
        <f>VLOOKUP($A29,'INDEXACIÓN PRODUCTOS MES A MES'!$B$5:$W$396,20,0)</f>
        <v>103301</v>
      </c>
      <c r="I29" s="198">
        <f t="shared" si="2"/>
        <v>16493</v>
      </c>
      <c r="J29" s="198">
        <f t="shared" si="3"/>
        <v>86808</v>
      </c>
      <c r="K29" s="199">
        <v>24</v>
      </c>
      <c r="L29" s="200">
        <f t="shared" si="4"/>
        <v>4304</v>
      </c>
      <c r="M29" s="200">
        <f t="shared" si="0"/>
        <v>4304</v>
      </c>
      <c r="N29" s="200">
        <f t="shared" si="1"/>
        <v>4304</v>
      </c>
      <c r="P29" s="130"/>
      <c r="Q29" s="130"/>
    </row>
    <row r="30" spans="1:17" ht="38.25">
      <c r="A30" s="132" t="s">
        <v>194</v>
      </c>
      <c r="B30" s="133" t="s">
        <v>192</v>
      </c>
      <c r="C30" s="78" t="s">
        <v>137</v>
      </c>
      <c r="D30" s="134" t="s">
        <v>36</v>
      </c>
      <c r="E30" s="135">
        <v>1</v>
      </c>
      <c r="F30" s="135">
        <v>1</v>
      </c>
      <c r="G30" s="197">
        <f>VLOOKUP($A30,'INDEXACIÓN PRODUCTOS MES A MES'!$B$5:$W$396,22,0)</f>
        <v>9.1226958221095444E-2</v>
      </c>
      <c r="H30" s="198">
        <f>VLOOKUP($A30,'INDEXACIÓN PRODUCTOS MES A MES'!$B$5:$W$396,20,0)</f>
        <v>103301</v>
      </c>
      <c r="I30" s="198">
        <f t="shared" si="2"/>
        <v>16493</v>
      </c>
      <c r="J30" s="198">
        <f t="shared" si="3"/>
        <v>86808</v>
      </c>
      <c r="K30" s="199">
        <v>24</v>
      </c>
      <c r="L30" s="200">
        <f t="shared" si="4"/>
        <v>4304</v>
      </c>
      <c r="M30" s="200">
        <f t="shared" si="0"/>
        <v>4304</v>
      </c>
      <c r="N30" s="200">
        <f t="shared" si="1"/>
        <v>4304</v>
      </c>
      <c r="P30" s="130"/>
      <c r="Q30" s="130"/>
    </row>
    <row r="31" spans="1:17" ht="38.25">
      <c r="A31" s="132" t="s">
        <v>195</v>
      </c>
      <c r="B31" s="133" t="s">
        <v>196</v>
      </c>
      <c r="C31" s="78" t="s">
        <v>137</v>
      </c>
      <c r="D31" s="134" t="s">
        <v>36</v>
      </c>
      <c r="E31" s="135">
        <v>4</v>
      </c>
      <c r="F31" s="135">
        <v>4</v>
      </c>
      <c r="G31" s="197">
        <f>VLOOKUP($A31,'INDEXACIÓN PRODUCTOS MES A MES'!$B$5:$W$396,22,0)</f>
        <v>9.1287622342319782E-2</v>
      </c>
      <c r="H31" s="198">
        <f>VLOOKUP($A31,'INDEXACIÓN PRODUCTOS MES A MES'!$B$5:$W$396,20,0)</f>
        <v>278860</v>
      </c>
      <c r="I31" s="198">
        <f t="shared" si="2"/>
        <v>44524</v>
      </c>
      <c r="J31" s="198">
        <f t="shared" si="3"/>
        <v>234336</v>
      </c>
      <c r="K31" s="199">
        <v>60</v>
      </c>
      <c r="L31" s="200">
        <f t="shared" si="4"/>
        <v>4648</v>
      </c>
      <c r="M31" s="200">
        <f t="shared" si="0"/>
        <v>18592</v>
      </c>
      <c r="N31" s="200">
        <f t="shared" si="1"/>
        <v>18592</v>
      </c>
      <c r="P31" s="130"/>
      <c r="Q31" s="130"/>
    </row>
    <row r="32" spans="1:17" ht="38.25">
      <c r="A32" s="132" t="s">
        <v>197</v>
      </c>
      <c r="B32" s="133" t="s">
        <v>198</v>
      </c>
      <c r="C32" s="78" t="s">
        <v>137</v>
      </c>
      <c r="D32" s="134" t="s">
        <v>36</v>
      </c>
      <c r="E32" s="135">
        <v>2</v>
      </c>
      <c r="F32" s="135">
        <v>2</v>
      </c>
      <c r="G32" s="197">
        <f>VLOOKUP($A32,'INDEXACIÓN PRODUCTOS MES A MES'!$B$5:$W$396,22,0)</f>
        <v>9.1287622342319782E-2</v>
      </c>
      <c r="H32" s="198">
        <f>VLOOKUP($A32,'INDEXACIÓN PRODUCTOS MES A MES'!$B$5:$W$396,20,0)</f>
        <v>278860</v>
      </c>
      <c r="I32" s="198">
        <f t="shared" si="2"/>
        <v>44524</v>
      </c>
      <c r="J32" s="198">
        <f t="shared" si="3"/>
        <v>234336</v>
      </c>
      <c r="K32" s="199">
        <v>60</v>
      </c>
      <c r="L32" s="200">
        <f t="shared" si="4"/>
        <v>4648</v>
      </c>
      <c r="M32" s="200">
        <f t="shared" si="0"/>
        <v>9296</v>
      </c>
      <c r="N32" s="200">
        <f t="shared" si="1"/>
        <v>9296</v>
      </c>
      <c r="P32" s="130"/>
      <c r="Q32" s="130"/>
    </row>
    <row r="33" spans="1:17" ht="38.25">
      <c r="A33" s="132" t="s">
        <v>199</v>
      </c>
      <c r="B33" s="133" t="s">
        <v>200</v>
      </c>
      <c r="C33" s="78" t="s">
        <v>137</v>
      </c>
      <c r="D33" s="134" t="s">
        <v>36</v>
      </c>
      <c r="E33" s="135">
        <v>8</v>
      </c>
      <c r="F33" s="135">
        <v>9</v>
      </c>
      <c r="G33" s="197">
        <f>VLOOKUP($A33,'INDEXACIÓN PRODUCTOS MES A MES'!$B$5:$W$396,22,0)</f>
        <v>9.1287622342319782E-2</v>
      </c>
      <c r="H33" s="198">
        <f>VLOOKUP($A33,'INDEXACIÓN PRODUCTOS MES A MES'!$B$5:$W$396,20,0)</f>
        <v>278860</v>
      </c>
      <c r="I33" s="198">
        <f t="shared" si="2"/>
        <v>44524</v>
      </c>
      <c r="J33" s="198">
        <f t="shared" si="3"/>
        <v>234336</v>
      </c>
      <c r="K33" s="199">
        <v>60</v>
      </c>
      <c r="L33" s="200">
        <f t="shared" si="4"/>
        <v>4648</v>
      </c>
      <c r="M33" s="200">
        <f t="shared" si="0"/>
        <v>37184</v>
      </c>
      <c r="N33" s="200">
        <f t="shared" si="1"/>
        <v>41832</v>
      </c>
      <c r="P33" s="130"/>
      <c r="Q33" s="130"/>
    </row>
    <row r="34" spans="1:17" ht="38.25">
      <c r="A34" s="132" t="s">
        <v>205</v>
      </c>
      <c r="B34" s="133" t="s">
        <v>206</v>
      </c>
      <c r="C34" s="78" t="s">
        <v>137</v>
      </c>
      <c r="D34" s="134" t="s">
        <v>36</v>
      </c>
      <c r="E34" s="135">
        <v>3</v>
      </c>
      <c r="F34" s="135">
        <v>3</v>
      </c>
      <c r="G34" s="197">
        <f>VLOOKUP($A34,'INDEXACIÓN PRODUCTOS MES A MES'!$B$5:$W$396,22,0)</f>
        <v>9.12907328926129E-2</v>
      </c>
      <c r="H34" s="198">
        <f>VLOOKUP($A34,'INDEXACIÓN PRODUCTOS MES A MES'!$B$5:$W$396,20,0)</f>
        <v>382648</v>
      </c>
      <c r="I34" s="198">
        <f t="shared" si="2"/>
        <v>61095</v>
      </c>
      <c r="J34" s="198">
        <f t="shared" si="3"/>
        <v>321553</v>
      </c>
      <c r="K34" s="199">
        <v>60</v>
      </c>
      <c r="L34" s="200">
        <f t="shared" si="4"/>
        <v>6377</v>
      </c>
      <c r="M34" s="200">
        <f t="shared" si="0"/>
        <v>19131</v>
      </c>
      <c r="N34" s="200">
        <f t="shared" si="1"/>
        <v>19131</v>
      </c>
      <c r="P34" s="130"/>
      <c r="Q34" s="130"/>
    </row>
    <row r="35" spans="1:17" ht="38.25">
      <c r="A35" s="132" t="s">
        <v>207</v>
      </c>
      <c r="B35" s="133" t="s">
        <v>208</v>
      </c>
      <c r="C35" s="78" t="s">
        <v>137</v>
      </c>
      <c r="D35" s="134" t="s">
        <v>36</v>
      </c>
      <c r="E35" s="135">
        <v>1</v>
      </c>
      <c r="F35" s="135">
        <v>1</v>
      </c>
      <c r="G35" s="197">
        <f>VLOOKUP($A35,'INDEXACIÓN PRODUCTOS MES A MES'!$B$5:$W$396,22,0)</f>
        <v>9.1191779895896705E-2</v>
      </c>
      <c r="H35" s="198">
        <f>VLOOKUP($A35,'INDEXACIÓN PRODUCTOS MES A MES'!$B$5:$W$396,20,0)</f>
        <v>64568</v>
      </c>
      <c r="I35" s="198">
        <f t="shared" si="2"/>
        <v>10309</v>
      </c>
      <c r="J35" s="198">
        <f t="shared" si="3"/>
        <v>54259</v>
      </c>
      <c r="K35" s="199">
        <v>24</v>
      </c>
      <c r="L35" s="200">
        <f t="shared" si="4"/>
        <v>2690</v>
      </c>
      <c r="M35" s="200">
        <f t="shared" si="0"/>
        <v>2690</v>
      </c>
      <c r="N35" s="200">
        <f t="shared" si="1"/>
        <v>2690</v>
      </c>
      <c r="P35" s="130"/>
      <c r="Q35" s="130"/>
    </row>
    <row r="36" spans="1:17" ht="38.25">
      <c r="A36" s="132" t="s">
        <v>209</v>
      </c>
      <c r="B36" s="133" t="s">
        <v>210</v>
      </c>
      <c r="C36" s="78" t="s">
        <v>137</v>
      </c>
      <c r="D36" s="134" t="s">
        <v>36</v>
      </c>
      <c r="E36" s="135">
        <v>215</v>
      </c>
      <c r="F36" s="135">
        <f>2*130+15</f>
        <v>275</v>
      </c>
      <c r="G36" s="197">
        <f>VLOOKUP($A36,'INDEXACIÓN PRODUCTOS MES A MES'!$B$5:$W$396,22,0)</f>
        <v>9.1182965029698221E-2</v>
      </c>
      <c r="H36" s="198">
        <f>VLOOKUP($A36,'INDEXACIÓN PRODUCTOS MES A MES'!$B$5:$W$396,20,0)</f>
        <v>63748</v>
      </c>
      <c r="I36" s="198">
        <f t="shared" si="2"/>
        <v>10178</v>
      </c>
      <c r="J36" s="198">
        <f t="shared" si="3"/>
        <v>53570</v>
      </c>
      <c r="K36" s="199">
        <v>24</v>
      </c>
      <c r="L36" s="200">
        <f t="shared" si="4"/>
        <v>2656</v>
      </c>
      <c r="M36" s="200">
        <f t="shared" si="0"/>
        <v>571040</v>
      </c>
      <c r="N36" s="200">
        <f t="shared" si="1"/>
        <v>730400</v>
      </c>
      <c r="P36" s="130"/>
      <c r="Q36" s="130"/>
    </row>
    <row r="37" spans="1:17" ht="38.25">
      <c r="A37" s="132" t="s">
        <v>211</v>
      </c>
      <c r="B37" s="133" t="s">
        <v>212</v>
      </c>
      <c r="C37" s="78" t="s">
        <v>137</v>
      </c>
      <c r="D37" s="134" t="s">
        <v>36</v>
      </c>
      <c r="E37" s="135">
        <v>2</v>
      </c>
      <c r="F37" s="135">
        <v>3</v>
      </c>
      <c r="G37" s="197">
        <f>VLOOKUP($A37,'INDEXACIÓN PRODUCTOS MES A MES'!$B$5:$W$396,22,0)</f>
        <v>9.0574666931795583E-2</v>
      </c>
      <c r="H37" s="198">
        <f>VLOOKUP($A37,'INDEXACIÓN PRODUCTOS MES A MES'!$B$5:$W$396,20,0)</f>
        <v>10969</v>
      </c>
      <c r="I37" s="198">
        <f t="shared" si="2"/>
        <v>1751</v>
      </c>
      <c r="J37" s="198">
        <f t="shared" si="3"/>
        <v>9218</v>
      </c>
      <c r="K37" s="199">
        <v>24</v>
      </c>
      <c r="L37" s="200">
        <f t="shared" si="4"/>
        <v>457</v>
      </c>
      <c r="M37" s="200">
        <f t="shared" si="0"/>
        <v>914</v>
      </c>
      <c r="N37" s="200">
        <f t="shared" si="1"/>
        <v>1371</v>
      </c>
      <c r="P37" s="130"/>
      <c r="Q37" s="130"/>
    </row>
    <row r="38" spans="1:17" ht="38.25">
      <c r="A38" s="132" t="s">
        <v>213</v>
      </c>
      <c r="B38" s="133" t="s">
        <v>214</v>
      </c>
      <c r="C38" s="78" t="s">
        <v>137</v>
      </c>
      <c r="D38" s="134" t="s">
        <v>36</v>
      </c>
      <c r="E38" s="135">
        <v>100</v>
      </c>
      <c r="F38" s="135">
        <v>130</v>
      </c>
      <c r="G38" s="197">
        <f>VLOOKUP($A38,'INDEXACIÓN PRODUCTOS MES A MES'!$B$5:$W$396,22,0)</f>
        <v>9.1302827624321861E-2</v>
      </c>
      <c r="H38" s="198">
        <f>VLOOKUP($A38,'INDEXACIÓN PRODUCTOS MES A MES'!$B$5:$W$396,20,0)</f>
        <v>677292</v>
      </c>
      <c r="I38" s="198">
        <f t="shared" si="2"/>
        <v>108139</v>
      </c>
      <c r="J38" s="198">
        <f t="shared" si="3"/>
        <v>569153</v>
      </c>
      <c r="K38" s="199">
        <v>24</v>
      </c>
      <c r="L38" s="200">
        <f t="shared" si="4"/>
        <v>28221</v>
      </c>
      <c r="M38" s="200">
        <f t="shared" si="0"/>
        <v>2822100</v>
      </c>
      <c r="N38" s="200">
        <f t="shared" si="1"/>
        <v>3668730</v>
      </c>
      <c r="P38" s="130"/>
      <c r="Q38" s="130"/>
    </row>
    <row r="39" spans="1:17" ht="38.25">
      <c r="A39" s="137" t="s">
        <v>215</v>
      </c>
      <c r="B39" s="133" t="s">
        <v>216</v>
      </c>
      <c r="C39" s="78" t="s">
        <v>137</v>
      </c>
      <c r="D39" s="134" t="s">
        <v>36</v>
      </c>
      <c r="E39" s="135">
        <v>20</v>
      </c>
      <c r="F39" s="135">
        <v>25</v>
      </c>
      <c r="G39" s="197">
        <f>VLOOKUP($A39,'INDEXACIÓN PRODUCTOS MES A MES'!$B$5:$W$396,22,0)</f>
        <v>9.1246468668883626E-2</v>
      </c>
      <c r="H39" s="198">
        <f>VLOOKUP($A39,'INDEXACIÓN PRODUCTOS MES A MES'!$B$5:$W$396,20,0)</f>
        <v>104680</v>
      </c>
      <c r="I39" s="198">
        <f t="shared" si="2"/>
        <v>16714</v>
      </c>
      <c r="J39" s="198">
        <f t="shared" si="3"/>
        <v>87966</v>
      </c>
      <c r="K39" s="199">
        <v>24</v>
      </c>
      <c r="L39" s="200">
        <f t="shared" si="4"/>
        <v>4362</v>
      </c>
      <c r="M39" s="200">
        <f t="shared" si="0"/>
        <v>87240</v>
      </c>
      <c r="N39" s="200">
        <f t="shared" si="1"/>
        <v>109050</v>
      </c>
    </row>
    <row r="40" spans="1:17" ht="38.25">
      <c r="A40" s="137" t="s">
        <v>219</v>
      </c>
      <c r="B40" s="133" t="s">
        <v>220</v>
      </c>
      <c r="C40" s="78" t="s">
        <v>137</v>
      </c>
      <c r="D40" s="134" t="s">
        <v>64</v>
      </c>
      <c r="E40" s="138">
        <v>7</v>
      </c>
      <c r="F40" s="138">
        <v>7</v>
      </c>
      <c r="G40" s="197">
        <f>VLOOKUP($A40,'INDEXACIÓN PRODUCTOS MES A MES'!$B$5:$W$396,22,0)</f>
        <v>0</v>
      </c>
      <c r="H40" s="198">
        <f>VLOOKUP($A40,'INDEXACIÓN PRODUCTOS MES A MES'!$B$5:$W$396,20,0)</f>
        <v>1952567</v>
      </c>
      <c r="I40" s="198">
        <f t="shared" si="2"/>
        <v>311754</v>
      </c>
      <c r="J40" s="198">
        <f t="shared" si="3"/>
        <v>1640813</v>
      </c>
      <c r="K40" s="199">
        <v>60</v>
      </c>
      <c r="L40" s="200">
        <f t="shared" si="4"/>
        <v>32543</v>
      </c>
      <c r="M40" s="200">
        <f t="shared" si="0"/>
        <v>227801</v>
      </c>
      <c r="N40" s="200">
        <f t="shared" si="1"/>
        <v>227801</v>
      </c>
      <c r="P40" s="130"/>
      <c r="Q40" s="130"/>
    </row>
    <row r="41" spans="1:17" ht="38.25">
      <c r="A41" s="132" t="s">
        <v>221</v>
      </c>
      <c r="B41" s="139" t="s">
        <v>222</v>
      </c>
      <c r="C41" s="78" t="s">
        <v>137</v>
      </c>
      <c r="D41" s="134" t="s">
        <v>44</v>
      </c>
      <c r="E41" s="135">
        <v>1</v>
      </c>
      <c r="F41" s="135">
        <v>1</v>
      </c>
      <c r="G41" s="197">
        <f>VLOOKUP($A41,'INDEXACIÓN PRODUCTOS MES A MES'!$B$5:$W$396,22,0)</f>
        <v>9.1311685778798932E-2</v>
      </c>
      <c r="H41" s="198">
        <f>VLOOKUP($A41,'INDEXACIÓN PRODUCTOS MES A MES'!$B$5:$W$396,20,0)</f>
        <v>2422868</v>
      </c>
      <c r="I41" s="198">
        <f t="shared" si="2"/>
        <v>386844</v>
      </c>
      <c r="J41" s="198">
        <f t="shared" si="3"/>
        <v>2036024</v>
      </c>
      <c r="K41" s="199">
        <v>60</v>
      </c>
      <c r="L41" s="200">
        <f t="shared" si="4"/>
        <v>40381</v>
      </c>
      <c r="M41" s="200">
        <f t="shared" si="0"/>
        <v>40381</v>
      </c>
      <c r="N41" s="200">
        <f t="shared" si="1"/>
        <v>40381</v>
      </c>
      <c r="P41" s="130"/>
      <c r="Q41" s="130"/>
    </row>
    <row r="42" spans="1:17" ht="38.25">
      <c r="A42" s="132" t="s">
        <v>223</v>
      </c>
      <c r="B42" s="133" t="s">
        <v>224</v>
      </c>
      <c r="C42" s="78" t="s">
        <v>137</v>
      </c>
      <c r="D42" s="134" t="s">
        <v>38</v>
      </c>
      <c r="E42" s="135">
        <v>100</v>
      </c>
      <c r="F42" s="135">
        <v>130</v>
      </c>
      <c r="G42" s="197">
        <f>VLOOKUP($A42,'INDEXACIÓN PRODUCTOS MES A MES'!$B$5:$W$396,22,0)</f>
        <v>7.963291888691533E-2</v>
      </c>
      <c r="H42" s="198">
        <f>VLOOKUP($A42,'INDEXACIÓN PRODUCTOS MES A MES'!$B$5:$W$396,20,0)</f>
        <v>18235</v>
      </c>
      <c r="I42" s="198">
        <f t="shared" si="2"/>
        <v>2911</v>
      </c>
      <c r="J42" s="198">
        <f t="shared" si="3"/>
        <v>15324</v>
      </c>
      <c r="K42" s="199">
        <v>24</v>
      </c>
      <c r="L42" s="200">
        <f t="shared" si="4"/>
        <v>760</v>
      </c>
      <c r="M42" s="200">
        <f t="shared" ref="M42:M74" si="15">ROUND((L42*E42),0)</f>
        <v>76000</v>
      </c>
      <c r="N42" s="200">
        <f t="shared" ref="N42:N74" si="16">ROUND((L42*F42),0)</f>
        <v>98800</v>
      </c>
      <c r="P42" s="130"/>
      <c r="Q42" s="130"/>
    </row>
    <row r="43" spans="1:17" ht="38.25">
      <c r="A43" s="132" t="s">
        <v>225</v>
      </c>
      <c r="B43" s="133" t="s">
        <v>226</v>
      </c>
      <c r="C43" s="78" t="s">
        <v>137</v>
      </c>
      <c r="D43" s="134" t="s">
        <v>44</v>
      </c>
      <c r="E43" s="135">
        <v>100</v>
      </c>
      <c r="F43" s="135">
        <v>130</v>
      </c>
      <c r="G43" s="197">
        <f>VLOOKUP($A43,'INDEXACIÓN PRODUCTOS MES A MES'!$B$5:$W$396,22,0)</f>
        <v>6.115641215715345E-2</v>
      </c>
      <c r="H43" s="198">
        <f>VLOOKUP($A43,'INDEXACIÓN PRODUCTOS MES A MES'!$B$5:$W$396,20,0)</f>
        <v>2863</v>
      </c>
      <c r="I43" s="198">
        <f t="shared" si="2"/>
        <v>457</v>
      </c>
      <c r="J43" s="198">
        <f t="shared" si="3"/>
        <v>2406</v>
      </c>
      <c r="K43" s="199">
        <v>24</v>
      </c>
      <c r="L43" s="200">
        <f t="shared" si="4"/>
        <v>119</v>
      </c>
      <c r="M43" s="200">
        <f t="shared" si="15"/>
        <v>11900</v>
      </c>
      <c r="N43" s="200">
        <f t="shared" si="16"/>
        <v>15470</v>
      </c>
      <c r="P43" s="130"/>
      <c r="Q43" s="130"/>
    </row>
    <row r="44" spans="1:17" ht="38.25">
      <c r="A44" s="132" t="s">
        <v>227</v>
      </c>
      <c r="B44" s="133" t="s">
        <v>228</v>
      </c>
      <c r="C44" s="78" t="s">
        <v>137</v>
      </c>
      <c r="D44" s="134" t="s">
        <v>44</v>
      </c>
      <c r="E44" s="135">
        <v>100</v>
      </c>
      <c r="F44" s="135">
        <v>130</v>
      </c>
      <c r="G44" s="197">
        <f>VLOOKUP($A44,'INDEXACIÓN PRODUCTOS MES A MES'!$B$5:$W$396,22,0)</f>
        <v>6.1452513966480445E-2</v>
      </c>
      <c r="H44" s="198">
        <f>VLOOKUP($A44,'INDEXACIÓN PRODUCTOS MES A MES'!$B$5:$W$396,20,0)</f>
        <v>1710</v>
      </c>
      <c r="I44" s="198">
        <f t="shared" si="2"/>
        <v>273</v>
      </c>
      <c r="J44" s="198">
        <f t="shared" si="3"/>
        <v>1437</v>
      </c>
      <c r="K44" s="199">
        <v>24</v>
      </c>
      <c r="L44" s="200">
        <f t="shared" si="4"/>
        <v>71</v>
      </c>
      <c r="M44" s="200">
        <f t="shared" si="15"/>
        <v>7100</v>
      </c>
      <c r="N44" s="200">
        <f t="shared" si="16"/>
        <v>9230</v>
      </c>
      <c r="P44" s="130"/>
      <c r="Q44" s="130"/>
    </row>
    <row r="45" spans="1:17" ht="51">
      <c r="A45" s="132" t="s">
        <v>229</v>
      </c>
      <c r="B45" s="133" t="s">
        <v>230</v>
      </c>
      <c r="C45" s="78" t="s">
        <v>137</v>
      </c>
      <c r="D45" s="134" t="s">
        <v>36</v>
      </c>
      <c r="E45" s="135">
        <v>216</v>
      </c>
      <c r="F45" s="135">
        <v>160</v>
      </c>
      <c r="G45" s="197">
        <f>VLOOKUP($A45,'INDEXACIÓN PRODUCTOS MES A MES'!$B$5:$W$396,22,0)</f>
        <v>9.1255621852374846E-2</v>
      </c>
      <c r="H45" s="198">
        <f>VLOOKUP($A45,'INDEXACIÓN PRODUCTOS MES A MES'!$B$5:$W$396,20,0)</f>
        <v>133693</v>
      </c>
      <c r="I45" s="198">
        <f t="shared" si="2"/>
        <v>21346</v>
      </c>
      <c r="J45" s="198">
        <f t="shared" si="3"/>
        <v>112347</v>
      </c>
      <c r="K45" s="199">
        <v>24</v>
      </c>
      <c r="L45" s="200">
        <f t="shared" si="4"/>
        <v>5571</v>
      </c>
      <c r="M45" s="200">
        <f t="shared" si="15"/>
        <v>1203336</v>
      </c>
      <c r="N45" s="200">
        <f t="shared" si="16"/>
        <v>891360</v>
      </c>
      <c r="P45" s="130"/>
      <c r="Q45" s="130"/>
    </row>
    <row r="46" spans="1:17">
      <c r="A46" s="132" t="s">
        <v>239</v>
      </c>
      <c r="B46" s="133" t="s">
        <v>240</v>
      </c>
      <c r="C46" s="78" t="s">
        <v>108</v>
      </c>
      <c r="D46" s="134" t="s">
        <v>36</v>
      </c>
      <c r="E46" s="135">
        <v>3</v>
      </c>
      <c r="F46" s="135">
        <v>3</v>
      </c>
      <c r="G46" s="197">
        <f>VLOOKUP($A46,'INDEXACIÓN PRODUCTOS MES A MES'!$B$5:$W$396,22,0)</f>
        <v>9.1128596994574332E-2</v>
      </c>
      <c r="H46" s="198">
        <f>VLOOKUP($A46,'INDEXACIÓN PRODUCTOS MES A MES'!$B$5:$W$396,20,0)</f>
        <v>38411</v>
      </c>
      <c r="I46" s="198">
        <f t="shared" si="2"/>
        <v>6133</v>
      </c>
      <c r="J46" s="198">
        <f t="shared" si="3"/>
        <v>32278</v>
      </c>
      <c r="K46" s="199">
        <v>24</v>
      </c>
      <c r="L46" s="200">
        <f t="shared" si="4"/>
        <v>1600</v>
      </c>
      <c r="M46" s="200">
        <f t="shared" si="15"/>
        <v>4800</v>
      </c>
      <c r="N46" s="200">
        <f t="shared" si="16"/>
        <v>4800</v>
      </c>
      <c r="P46" s="130"/>
      <c r="Q46" s="130"/>
    </row>
    <row r="47" spans="1:17">
      <c r="A47" s="132" t="s">
        <v>231</v>
      </c>
      <c r="B47" s="133" t="s">
        <v>242</v>
      </c>
      <c r="C47" s="78" t="s">
        <v>108</v>
      </c>
      <c r="D47" s="134" t="s">
        <v>44</v>
      </c>
      <c r="E47" s="135">
        <v>2</v>
      </c>
      <c r="F47" s="135">
        <v>2</v>
      </c>
      <c r="G47" s="197">
        <f>VLOOKUP($A47,'INDEXACIÓN PRODUCTOS MES A MES'!$B$5:$W$396,22,0)</f>
        <v>9.0666666666666673E-2</v>
      </c>
      <c r="H47" s="198">
        <f>VLOOKUP($A47,'INDEXACIÓN PRODUCTOS MES A MES'!$B$5:$W$396,20,0)</f>
        <v>13088</v>
      </c>
      <c r="I47" s="198">
        <f t="shared" si="2"/>
        <v>2090</v>
      </c>
      <c r="J47" s="198">
        <f t="shared" si="3"/>
        <v>10998</v>
      </c>
      <c r="K47" s="199">
        <v>24</v>
      </c>
      <c r="L47" s="200">
        <f t="shared" si="4"/>
        <v>545</v>
      </c>
      <c r="M47" s="200">
        <f t="shared" si="15"/>
        <v>1090</v>
      </c>
      <c r="N47" s="200">
        <f t="shared" si="16"/>
        <v>1090</v>
      </c>
      <c r="P47" s="130"/>
      <c r="Q47" s="130"/>
    </row>
    <row r="48" spans="1:17" ht="38.25">
      <c r="A48" s="132" t="s">
        <v>243</v>
      </c>
      <c r="B48" s="133" t="s">
        <v>1481</v>
      </c>
      <c r="C48" s="78" t="s">
        <v>137</v>
      </c>
      <c r="D48" s="134" t="s">
        <v>36</v>
      </c>
      <c r="E48" s="135">
        <v>4</v>
      </c>
      <c r="F48" s="134">
        <v>4</v>
      </c>
      <c r="G48" s="197">
        <f>VLOOKUP($A48,'INDEXACIÓN PRODUCTOS MES A MES'!$B$5:$W$396,22,0)</f>
        <v>9.1079095003555724E-2</v>
      </c>
      <c r="H48" s="198">
        <f>VLOOKUP($A48,'INDEXACIÓN PRODUCTOS MES A MES'!$B$5:$W$396,20,0)</f>
        <v>41425</v>
      </c>
      <c r="I48" s="198">
        <f t="shared" si="2"/>
        <v>6614</v>
      </c>
      <c r="J48" s="198">
        <f t="shared" si="3"/>
        <v>34811</v>
      </c>
      <c r="K48" s="199">
        <v>24</v>
      </c>
      <c r="L48" s="200">
        <f t="shared" si="4"/>
        <v>1726</v>
      </c>
      <c r="M48" s="200">
        <f t="shared" si="15"/>
        <v>6904</v>
      </c>
      <c r="N48" s="200">
        <f t="shared" si="16"/>
        <v>6904</v>
      </c>
      <c r="P48" s="130"/>
      <c r="Q48" s="130"/>
    </row>
    <row r="49" spans="1:17" ht="38.25">
      <c r="A49" s="132" t="s">
        <v>247</v>
      </c>
      <c r="B49" s="133" t="s">
        <v>248</v>
      </c>
      <c r="C49" s="78" t="s">
        <v>137</v>
      </c>
      <c r="D49" s="134" t="s">
        <v>64</v>
      </c>
      <c r="E49" s="135">
        <v>2</v>
      </c>
      <c r="F49" s="134">
        <v>2</v>
      </c>
      <c r="G49" s="197">
        <f>VLOOKUP($A49,'INDEXACIÓN PRODUCTOS MES A MES'!$B$5:$W$396,22,0)</f>
        <v>0</v>
      </c>
      <c r="H49" s="198">
        <f>VLOOKUP($A49,'INDEXACIÓN PRODUCTOS MES A MES'!$B$5:$W$396,20,0)</f>
        <v>47880</v>
      </c>
      <c r="I49" s="198">
        <f t="shared" si="2"/>
        <v>7645</v>
      </c>
      <c r="J49" s="198">
        <f t="shared" si="3"/>
        <v>40235</v>
      </c>
      <c r="K49" s="199">
        <v>24</v>
      </c>
      <c r="L49" s="200">
        <f t="shared" si="4"/>
        <v>1995</v>
      </c>
      <c r="M49" s="200">
        <f t="shared" si="15"/>
        <v>3990</v>
      </c>
      <c r="N49" s="200">
        <f t="shared" si="16"/>
        <v>3990</v>
      </c>
      <c r="P49" s="130"/>
      <c r="Q49" s="130"/>
    </row>
    <row r="50" spans="1:17" ht="51">
      <c r="A50" s="132" t="s">
        <v>245</v>
      </c>
      <c r="B50" s="133" t="s">
        <v>1482</v>
      </c>
      <c r="C50" s="78" t="s">
        <v>137</v>
      </c>
      <c r="D50" s="134" t="s">
        <v>64</v>
      </c>
      <c r="E50" s="135">
        <v>1</v>
      </c>
      <c r="F50" s="134">
        <v>1</v>
      </c>
      <c r="G50" s="197">
        <f>VLOOKUP($A50,'INDEXACIÓN PRODUCTOS MES A MES'!$B$5:$W$396,22,0)</f>
        <v>0</v>
      </c>
      <c r="H50" s="198">
        <f>VLOOKUP($A50,'INDEXACIÓN PRODUCTOS MES A MES'!$B$5:$W$396,20,0)</f>
        <v>240999</v>
      </c>
      <c r="I50" s="198">
        <f t="shared" si="2"/>
        <v>38479</v>
      </c>
      <c r="J50" s="198">
        <f t="shared" si="3"/>
        <v>202520</v>
      </c>
      <c r="K50" s="199">
        <v>24</v>
      </c>
      <c r="L50" s="200">
        <f t="shared" si="4"/>
        <v>10042</v>
      </c>
      <c r="M50" s="200">
        <f t="shared" si="15"/>
        <v>10042</v>
      </c>
      <c r="N50" s="200">
        <f t="shared" si="16"/>
        <v>10042</v>
      </c>
      <c r="P50" s="130"/>
      <c r="Q50" s="130"/>
    </row>
    <row r="51" spans="1:17">
      <c r="A51" s="132" t="s">
        <v>249</v>
      </c>
      <c r="B51" s="133" t="s">
        <v>250</v>
      </c>
      <c r="C51" s="78"/>
      <c r="D51" s="134" t="s">
        <v>36</v>
      </c>
      <c r="E51" s="135">
        <v>1</v>
      </c>
      <c r="F51" s="134">
        <v>1</v>
      </c>
      <c r="G51" s="197">
        <f>VLOOKUP($A51,'INDEXACIÓN PRODUCTOS MES A MES'!$B$5:$W$396,22,0)</f>
        <v>9.1297619466881572E-2</v>
      </c>
      <c r="H51" s="198">
        <f>VLOOKUP($A51,'INDEXACIÓN PRODUCTOS MES A MES'!$B$5:$W$396,20,0)</f>
        <v>526777</v>
      </c>
      <c r="I51" s="198">
        <f t="shared" si="2"/>
        <v>84107</v>
      </c>
      <c r="J51" s="198">
        <f t="shared" si="3"/>
        <v>442670</v>
      </c>
      <c r="K51" s="199">
        <v>60</v>
      </c>
      <c r="L51" s="200">
        <f t="shared" si="4"/>
        <v>8780</v>
      </c>
      <c r="M51" s="200">
        <f t="shared" si="15"/>
        <v>8780</v>
      </c>
      <c r="N51" s="200">
        <f t="shared" si="16"/>
        <v>8780</v>
      </c>
      <c r="P51" s="130"/>
      <c r="Q51" s="130"/>
    </row>
    <row r="52" spans="1:17" ht="38.25">
      <c r="A52" s="132" t="s">
        <v>251</v>
      </c>
      <c r="B52" s="133" t="s">
        <v>252</v>
      </c>
      <c r="C52" s="78" t="s">
        <v>137</v>
      </c>
      <c r="D52" s="134" t="s">
        <v>36</v>
      </c>
      <c r="E52" s="135">
        <v>1</v>
      </c>
      <c r="F52" s="134">
        <v>1</v>
      </c>
      <c r="G52" s="197">
        <f>VLOOKUP($A52,'INDEXACIÓN PRODUCTOS MES A MES'!$B$5:$W$396,22,0)</f>
        <v>9.1306475512781177E-2</v>
      </c>
      <c r="H52" s="198">
        <f>VLOOKUP($A52,'INDEXACIÓN PRODUCTOS MES A MES'!$B$5:$W$396,20,0)</f>
        <v>956684</v>
      </c>
      <c r="I52" s="198">
        <f t="shared" si="2"/>
        <v>152748</v>
      </c>
      <c r="J52" s="198">
        <f t="shared" si="3"/>
        <v>803936</v>
      </c>
      <c r="K52" s="199">
        <v>60</v>
      </c>
      <c r="L52" s="200">
        <f t="shared" si="4"/>
        <v>15945</v>
      </c>
      <c r="M52" s="200">
        <f t="shared" si="15"/>
        <v>15945</v>
      </c>
      <c r="N52" s="200">
        <f t="shared" si="16"/>
        <v>15945</v>
      </c>
      <c r="P52" s="130"/>
      <c r="Q52" s="130"/>
    </row>
    <row r="53" spans="1:17" ht="38.25">
      <c r="A53" s="140" t="s">
        <v>253</v>
      </c>
      <c r="B53" s="133" t="s">
        <v>254</v>
      </c>
      <c r="C53" s="78" t="s">
        <v>137</v>
      </c>
      <c r="D53" s="134" t="s">
        <v>255</v>
      </c>
      <c r="E53" s="135">
        <v>2</v>
      </c>
      <c r="F53" s="134">
        <v>2</v>
      </c>
      <c r="G53" s="197">
        <f>VLOOKUP($A53,'INDEXACIÓN PRODUCTOS MES A MES'!$B$5:$W$396,22,0)</f>
        <v>7.9318773160924075E-2</v>
      </c>
      <c r="H53" s="198">
        <f>VLOOKUP($A53,'INDEXACIÓN PRODUCTOS MES A MES'!$B$5:$W$396,20,0)</f>
        <v>13689</v>
      </c>
      <c r="I53" s="198">
        <f t="shared" si="2"/>
        <v>2186</v>
      </c>
      <c r="J53" s="198">
        <f t="shared" si="3"/>
        <v>11503</v>
      </c>
      <c r="K53" s="201">
        <v>60</v>
      </c>
      <c r="L53" s="200">
        <f t="shared" si="4"/>
        <v>228</v>
      </c>
      <c r="M53" s="200">
        <f t="shared" si="15"/>
        <v>456</v>
      </c>
      <c r="N53" s="200">
        <f t="shared" si="16"/>
        <v>456</v>
      </c>
      <c r="P53" s="130"/>
      <c r="Q53" s="130"/>
    </row>
    <row r="54" spans="1:17" ht="38.25">
      <c r="A54" s="132" t="s">
        <v>256</v>
      </c>
      <c r="B54" s="133" t="s">
        <v>257</v>
      </c>
      <c r="C54" s="78" t="s">
        <v>137</v>
      </c>
      <c r="D54" s="134" t="s">
        <v>36</v>
      </c>
      <c r="E54" s="135">
        <v>2</v>
      </c>
      <c r="F54" s="134">
        <v>2</v>
      </c>
      <c r="G54" s="197">
        <f>VLOOKUP($A54,'INDEXACIÓN PRODUCTOS MES A MES'!$B$5:$W$396,22,0)</f>
        <v>9.1287349533006878E-2</v>
      </c>
      <c r="H54" s="198">
        <f>VLOOKUP($A54,'INDEXACIÓN PRODUCTOS MES A MES'!$B$5:$W$396,20,0)</f>
        <v>247588</v>
      </c>
      <c r="I54" s="198">
        <f t="shared" si="2"/>
        <v>39531</v>
      </c>
      <c r="J54" s="198">
        <f t="shared" si="3"/>
        <v>208057</v>
      </c>
      <c r="K54" s="199">
        <v>24</v>
      </c>
      <c r="L54" s="200">
        <f t="shared" si="4"/>
        <v>10316</v>
      </c>
      <c r="M54" s="200">
        <f t="shared" si="15"/>
        <v>20632</v>
      </c>
      <c r="N54" s="200">
        <f t="shared" si="16"/>
        <v>20632</v>
      </c>
      <c r="P54" s="130"/>
      <c r="Q54" s="130"/>
    </row>
    <row r="55" spans="1:17" ht="63.75">
      <c r="A55" s="137" t="s">
        <v>258</v>
      </c>
      <c r="B55" s="133" t="s">
        <v>259</v>
      </c>
      <c r="C55" s="78" t="s">
        <v>137</v>
      </c>
      <c r="D55" s="134" t="s">
        <v>58</v>
      </c>
      <c r="E55" s="135">
        <v>17</v>
      </c>
      <c r="F55" s="134">
        <v>20</v>
      </c>
      <c r="G55" s="197">
        <f>VLOOKUP($A55,'INDEXACIÓN PRODUCTOS MES A MES'!$B$5:$W$396,22,0)</f>
        <v>4.2918258212375861E-2</v>
      </c>
      <c r="H55" s="198">
        <f>VLOOKUP($A55,'INDEXACIÓN PRODUCTOS MES A MES'!$B$5:$W$396,20,0)</f>
        <v>273036</v>
      </c>
      <c r="I55" s="198">
        <f t="shared" si="2"/>
        <v>43594</v>
      </c>
      <c r="J55" s="198">
        <f t="shared" si="3"/>
        <v>229442</v>
      </c>
      <c r="K55" s="199">
        <v>60</v>
      </c>
      <c r="L55" s="200">
        <f t="shared" si="4"/>
        <v>4551</v>
      </c>
      <c r="M55" s="200">
        <f t="shared" si="15"/>
        <v>77367</v>
      </c>
      <c r="N55" s="200">
        <f t="shared" si="16"/>
        <v>91020</v>
      </c>
      <c r="P55" s="130"/>
      <c r="Q55" s="130"/>
    </row>
    <row r="56" spans="1:17" ht="114.75">
      <c r="A56" s="132" t="s">
        <v>264</v>
      </c>
      <c r="B56" s="133" t="s">
        <v>1483</v>
      </c>
      <c r="C56" s="78" t="s">
        <v>137</v>
      </c>
      <c r="D56" s="134" t="s">
        <v>44</v>
      </c>
      <c r="E56" s="135">
        <v>2</v>
      </c>
      <c r="F56" s="134">
        <v>2</v>
      </c>
      <c r="G56" s="197">
        <f>VLOOKUP($A56,'INDEXACIÓN PRODUCTOS MES A MES'!$B$5:$W$396,22,0)</f>
        <v>0</v>
      </c>
      <c r="H56" s="198">
        <f>VLOOKUP($A56,'INDEXACIÓN PRODUCTOS MES A MES'!$B$5:$W$396,20,0)</f>
        <v>28867</v>
      </c>
      <c r="I56" s="198">
        <f t="shared" si="2"/>
        <v>4609</v>
      </c>
      <c r="J56" s="198">
        <f t="shared" si="3"/>
        <v>24258</v>
      </c>
      <c r="K56" s="199">
        <v>36</v>
      </c>
      <c r="L56" s="200">
        <f t="shared" si="4"/>
        <v>802</v>
      </c>
      <c r="M56" s="200">
        <f t="shared" si="15"/>
        <v>1604</v>
      </c>
      <c r="N56" s="200">
        <f t="shared" si="16"/>
        <v>1604</v>
      </c>
      <c r="P56" s="130"/>
      <c r="Q56" s="130"/>
    </row>
    <row r="57" spans="1:17" ht="38.25">
      <c r="A57" s="132" t="s">
        <v>266</v>
      </c>
      <c r="B57" s="133" t="s">
        <v>1484</v>
      </c>
      <c r="C57" s="78" t="s">
        <v>137</v>
      </c>
      <c r="D57" s="134" t="s">
        <v>44</v>
      </c>
      <c r="E57" s="135">
        <v>1</v>
      </c>
      <c r="F57" s="134">
        <v>1</v>
      </c>
      <c r="G57" s="197">
        <f>VLOOKUP($A57,'INDEXACIÓN PRODUCTOS MES A MES'!$B$5:$W$396,22,0)</f>
        <v>6.3835570448712714E-2</v>
      </c>
      <c r="H57" s="198">
        <f>VLOOKUP($A57,'INDEXACIÓN PRODUCTOS MES A MES'!$B$5:$W$396,20,0)</f>
        <v>5925612</v>
      </c>
      <c r="I57" s="198">
        <f t="shared" si="2"/>
        <v>946106</v>
      </c>
      <c r="J57" s="198">
        <f t="shared" si="3"/>
        <v>4979506</v>
      </c>
      <c r="K57" s="199">
        <v>60</v>
      </c>
      <c r="L57" s="200">
        <f t="shared" si="4"/>
        <v>98760</v>
      </c>
      <c r="M57" s="200">
        <f t="shared" si="15"/>
        <v>98760</v>
      </c>
      <c r="N57" s="200">
        <f t="shared" si="16"/>
        <v>98760</v>
      </c>
      <c r="P57" s="130"/>
      <c r="Q57" s="130"/>
    </row>
    <row r="58" spans="1:17" ht="38.25">
      <c r="A58" s="132" t="s">
        <v>268</v>
      </c>
      <c r="B58" s="133" t="s">
        <v>269</v>
      </c>
      <c r="C58" s="78" t="s">
        <v>137</v>
      </c>
      <c r="D58" s="134" t="s">
        <v>36</v>
      </c>
      <c r="E58" s="135">
        <v>1</v>
      </c>
      <c r="F58" s="134">
        <v>1</v>
      </c>
      <c r="G58" s="197">
        <f>VLOOKUP($A58,'INDEXACIÓN PRODUCTOS MES A MES'!$B$5:$W$396,22,0)</f>
        <v>9.1310567835521619E-2</v>
      </c>
      <c r="H58" s="198">
        <f>VLOOKUP($A58,'INDEXACIÓN PRODUCTOS MES A MES'!$B$5:$W$396,20,0)</f>
        <v>2402924</v>
      </c>
      <c r="I58" s="198">
        <f t="shared" si="2"/>
        <v>383660</v>
      </c>
      <c r="J58" s="198">
        <f t="shared" si="3"/>
        <v>2019264</v>
      </c>
      <c r="K58" s="199">
        <v>60</v>
      </c>
      <c r="L58" s="200">
        <f t="shared" si="4"/>
        <v>40049</v>
      </c>
      <c r="M58" s="200">
        <f t="shared" si="15"/>
        <v>40049</v>
      </c>
      <c r="N58" s="200">
        <f t="shared" si="16"/>
        <v>40049</v>
      </c>
      <c r="P58" s="130"/>
      <c r="Q58" s="130"/>
    </row>
    <row r="59" spans="1:17" ht="38.25">
      <c r="A59" s="132" t="s">
        <v>270</v>
      </c>
      <c r="B59" s="133" t="s">
        <v>271</v>
      </c>
      <c r="C59" s="78" t="s">
        <v>137</v>
      </c>
      <c r="D59" s="134" t="s">
        <v>44</v>
      </c>
      <c r="E59" s="135">
        <v>2</v>
      </c>
      <c r="F59" s="134">
        <v>2</v>
      </c>
      <c r="G59" s="197">
        <f>VLOOKUP($A59,'INDEXACIÓN PRODUCTOS MES A MES'!$B$5:$W$396,22,0)</f>
        <v>6.3807767798727169E-2</v>
      </c>
      <c r="H59" s="198">
        <f>VLOOKUP($A59,'INDEXACIÓN PRODUCTOS MES A MES'!$B$5:$W$396,20,0)</f>
        <v>178858</v>
      </c>
      <c r="I59" s="198">
        <f t="shared" si="2"/>
        <v>28557</v>
      </c>
      <c r="J59" s="198">
        <f t="shared" si="3"/>
        <v>150301</v>
      </c>
      <c r="K59" s="199">
        <v>24</v>
      </c>
      <c r="L59" s="200">
        <f t="shared" si="4"/>
        <v>7452</v>
      </c>
      <c r="M59" s="200">
        <f t="shared" si="15"/>
        <v>14904</v>
      </c>
      <c r="N59" s="200">
        <f t="shared" si="16"/>
        <v>14904</v>
      </c>
      <c r="P59" s="130"/>
      <c r="Q59" s="130"/>
    </row>
    <row r="60" spans="1:17" ht="38.25">
      <c r="A60" s="132" t="s">
        <v>272</v>
      </c>
      <c r="B60" s="141" t="s">
        <v>273</v>
      </c>
      <c r="C60" s="78" t="s">
        <v>137</v>
      </c>
      <c r="D60" s="134" t="s">
        <v>36</v>
      </c>
      <c r="E60" s="135">
        <v>216</v>
      </c>
      <c r="F60" s="134">
        <v>360</v>
      </c>
      <c r="G60" s="197">
        <f>VLOOKUP($A60,'INDEXACIÓN PRODUCTOS MES A MES'!$B$5:$W$396,22,0)</f>
        <v>9.0909090909090912E-2</v>
      </c>
      <c r="H60" s="198">
        <f>VLOOKUP($A60,'INDEXACIÓN PRODUCTOS MES A MES'!$B$5:$W$396,20,0)</f>
        <v>18036</v>
      </c>
      <c r="I60" s="198">
        <f t="shared" si="2"/>
        <v>2880</v>
      </c>
      <c r="J60" s="198">
        <f t="shared" si="3"/>
        <v>15156</v>
      </c>
      <c r="K60" s="199">
        <v>12</v>
      </c>
      <c r="L60" s="200">
        <f t="shared" si="4"/>
        <v>1503</v>
      </c>
      <c r="M60" s="200">
        <f t="shared" si="15"/>
        <v>324648</v>
      </c>
      <c r="N60" s="200">
        <f t="shared" si="16"/>
        <v>541080</v>
      </c>
      <c r="P60" s="130"/>
      <c r="Q60" s="130"/>
    </row>
    <row r="61" spans="1:17" ht="38.25">
      <c r="A61" s="132" t="s">
        <v>274</v>
      </c>
      <c r="B61" s="133" t="s">
        <v>275</v>
      </c>
      <c r="C61" s="78" t="s">
        <v>137</v>
      </c>
      <c r="D61" s="134" t="s">
        <v>36</v>
      </c>
      <c r="E61" s="135">
        <v>260</v>
      </c>
      <c r="F61" s="134">
        <v>330</v>
      </c>
      <c r="G61" s="197">
        <f>VLOOKUP($A61,'INDEXACIÓN PRODUCTOS MES A MES'!$B$5:$W$396,22,0)</f>
        <v>9.1237423682173871E-2</v>
      </c>
      <c r="H61" s="198">
        <f>VLOOKUP($A61,'INDEXACIÓN PRODUCTOS MES A MES'!$B$5:$W$396,20,0)</f>
        <v>114210</v>
      </c>
      <c r="I61" s="198">
        <f t="shared" si="2"/>
        <v>18235</v>
      </c>
      <c r="J61" s="198">
        <f t="shared" si="3"/>
        <v>95975</v>
      </c>
      <c r="K61" s="199">
        <v>12</v>
      </c>
      <c r="L61" s="200">
        <f t="shared" si="4"/>
        <v>9518</v>
      </c>
      <c r="M61" s="200">
        <f t="shared" si="15"/>
        <v>2474680</v>
      </c>
      <c r="N61" s="200">
        <f t="shared" si="16"/>
        <v>3140940</v>
      </c>
      <c r="P61" s="130"/>
      <c r="Q61" s="130"/>
    </row>
    <row r="62" spans="1:17" ht="38.25">
      <c r="A62" s="132" t="s">
        <v>276</v>
      </c>
      <c r="B62" s="133" t="s">
        <v>277</v>
      </c>
      <c r="C62" s="78" t="s">
        <v>137</v>
      </c>
      <c r="D62" s="134" t="s">
        <v>36</v>
      </c>
      <c r="E62" s="135">
        <v>1</v>
      </c>
      <c r="F62" s="134">
        <v>1</v>
      </c>
      <c r="G62" s="197">
        <f>VLOOKUP($A62,'INDEXACIÓN PRODUCTOS MES A MES'!$B$5:$W$396,22,0)</f>
        <v>9.1201079188681367E-2</v>
      </c>
      <c r="H62" s="198">
        <f>VLOOKUP($A62,'INDEXACIÓN PRODUCTOS MES A MES'!$B$5:$W$396,20,0)</f>
        <v>67948</v>
      </c>
      <c r="I62" s="198">
        <f t="shared" si="2"/>
        <v>10849</v>
      </c>
      <c r="J62" s="198">
        <f t="shared" si="3"/>
        <v>57099</v>
      </c>
      <c r="K62" s="199">
        <v>24</v>
      </c>
      <c r="L62" s="200">
        <f t="shared" si="4"/>
        <v>2831</v>
      </c>
      <c r="M62" s="200">
        <f t="shared" si="15"/>
        <v>2831</v>
      </c>
      <c r="N62" s="200">
        <f t="shared" si="16"/>
        <v>2831</v>
      </c>
      <c r="P62" s="130"/>
      <c r="Q62" s="130"/>
    </row>
    <row r="63" spans="1:17" ht="38.25">
      <c r="A63" s="137" t="s">
        <v>280</v>
      </c>
      <c r="B63" s="133" t="s">
        <v>281</v>
      </c>
      <c r="C63" s="78" t="s">
        <v>137</v>
      </c>
      <c r="D63" s="134" t="s">
        <v>64</v>
      </c>
      <c r="E63" s="135">
        <v>1</v>
      </c>
      <c r="F63" s="134">
        <v>1</v>
      </c>
      <c r="G63" s="197">
        <f>VLOOKUP($A63,'INDEXACIÓN PRODUCTOS MES A MES'!$B$5:$W$396,22,0)</f>
        <v>0</v>
      </c>
      <c r="H63" s="198">
        <f>VLOOKUP($A63,'INDEXACIÓN PRODUCTOS MES A MES'!$B$5:$W$396,20,0)</f>
        <v>1014445</v>
      </c>
      <c r="I63" s="198">
        <f t="shared" si="2"/>
        <v>161970</v>
      </c>
      <c r="J63" s="198">
        <f t="shared" si="3"/>
        <v>852475</v>
      </c>
      <c r="K63" s="199">
        <v>60</v>
      </c>
      <c r="L63" s="200">
        <f t="shared" si="4"/>
        <v>16907</v>
      </c>
      <c r="M63" s="200">
        <f t="shared" si="15"/>
        <v>16907</v>
      </c>
      <c r="N63" s="200">
        <f t="shared" si="16"/>
        <v>16907</v>
      </c>
      <c r="P63" s="130"/>
      <c r="Q63" s="130"/>
    </row>
    <row r="64" spans="1:17" ht="38.25">
      <c r="A64" s="132" t="s">
        <v>282</v>
      </c>
      <c r="B64" s="133" t="s">
        <v>283</v>
      </c>
      <c r="C64" s="78" t="s">
        <v>137</v>
      </c>
      <c r="D64" s="134" t="s">
        <v>54</v>
      </c>
      <c r="E64" s="135">
        <v>4</v>
      </c>
      <c r="F64" s="134">
        <v>4</v>
      </c>
      <c r="G64" s="197">
        <f>VLOOKUP($A64,'INDEXACIÓN PRODUCTOS MES A MES'!$B$5:$W$396,22,0)</f>
        <v>4.2809731145145087E-2</v>
      </c>
      <c r="H64" s="198">
        <f>VLOOKUP($A64,'INDEXACIÓN PRODUCTOS MES A MES'!$B$5:$W$396,20,0)</f>
        <v>34249</v>
      </c>
      <c r="I64" s="198">
        <f t="shared" si="2"/>
        <v>5468</v>
      </c>
      <c r="J64" s="198">
        <f t="shared" si="3"/>
        <v>28781</v>
      </c>
      <c r="K64" s="199">
        <v>24</v>
      </c>
      <c r="L64" s="200">
        <f t="shared" si="4"/>
        <v>1427</v>
      </c>
      <c r="M64" s="200">
        <f t="shared" si="15"/>
        <v>5708</v>
      </c>
      <c r="N64" s="200">
        <f t="shared" si="16"/>
        <v>5708</v>
      </c>
      <c r="P64" s="130"/>
      <c r="Q64" s="130"/>
    </row>
    <row r="65" spans="1:17" ht="38.25">
      <c r="A65" s="132" t="s">
        <v>284</v>
      </c>
      <c r="B65" s="133" t="s">
        <v>285</v>
      </c>
      <c r="C65" s="78" t="s">
        <v>137</v>
      </c>
      <c r="D65" s="134" t="s">
        <v>36</v>
      </c>
      <c r="E65" s="135">
        <v>4</v>
      </c>
      <c r="F65" s="134">
        <v>4</v>
      </c>
      <c r="G65" s="197">
        <f>VLOOKUP($A65,'INDEXACIÓN PRODUCTOS MES A MES'!$B$5:$W$396,22,0)</f>
        <v>9.089805825242718E-2</v>
      </c>
      <c r="H65" s="198">
        <f>VLOOKUP($A65,'INDEXACIÓN PRODUCTOS MES A MES'!$B$5:$W$396,20,0)</f>
        <v>17978</v>
      </c>
      <c r="I65" s="198">
        <f t="shared" si="2"/>
        <v>2870</v>
      </c>
      <c r="J65" s="198">
        <f t="shared" si="3"/>
        <v>15108</v>
      </c>
      <c r="K65" s="199">
        <v>24</v>
      </c>
      <c r="L65" s="200">
        <f t="shared" si="4"/>
        <v>749</v>
      </c>
      <c r="M65" s="200">
        <f t="shared" si="15"/>
        <v>2996</v>
      </c>
      <c r="N65" s="200">
        <f t="shared" si="16"/>
        <v>2996</v>
      </c>
      <c r="P65" s="130"/>
      <c r="Q65" s="130"/>
    </row>
    <row r="66" spans="1:17" ht="76.5">
      <c r="A66" s="132" t="s">
        <v>286</v>
      </c>
      <c r="B66" s="133" t="s">
        <v>287</v>
      </c>
      <c r="C66" s="78" t="s">
        <v>137</v>
      </c>
      <c r="D66" s="134" t="s">
        <v>52</v>
      </c>
      <c r="E66" s="135">
        <v>216</v>
      </c>
      <c r="F66" s="134">
        <f>130*2+15</f>
        <v>275</v>
      </c>
      <c r="G66" s="197">
        <f>VLOOKUP($A66,'INDEXACIÓN PRODUCTOS MES A MES'!$B$5:$W$396,22,0)</f>
        <v>4.287108183924869E-2</v>
      </c>
      <c r="H66" s="198">
        <f>VLOOKUP($A66,'INDEXACIÓN PRODUCTOS MES A MES'!$B$5:$W$396,20,0)</f>
        <v>34202</v>
      </c>
      <c r="I66" s="198">
        <f t="shared" si="2"/>
        <v>5461</v>
      </c>
      <c r="J66" s="198">
        <f t="shared" si="3"/>
        <v>28741</v>
      </c>
      <c r="K66" s="199">
        <v>12</v>
      </c>
      <c r="L66" s="200">
        <f t="shared" si="4"/>
        <v>2850</v>
      </c>
      <c r="M66" s="200">
        <f t="shared" si="15"/>
        <v>615600</v>
      </c>
      <c r="N66" s="200">
        <f t="shared" si="16"/>
        <v>783750</v>
      </c>
      <c r="P66" s="130"/>
      <c r="Q66" s="130"/>
    </row>
    <row r="67" spans="1:17" ht="38.25">
      <c r="A67" s="132" t="s">
        <v>290</v>
      </c>
      <c r="B67" s="133" t="s">
        <v>291</v>
      </c>
      <c r="C67" s="78" t="s">
        <v>137</v>
      </c>
      <c r="D67" s="134" t="s">
        <v>44</v>
      </c>
      <c r="E67" s="135">
        <v>1</v>
      </c>
      <c r="F67" s="134">
        <v>1</v>
      </c>
      <c r="G67" s="197">
        <f>VLOOKUP($A67,'INDEXACIÓN PRODUCTOS MES A MES'!$B$5:$W$396,22,0)</f>
        <v>6.3835054021608648E-2</v>
      </c>
      <c r="H67" s="198">
        <f>VLOOKUP($A67,'INDEXACIÓN PRODUCTOS MES A MES'!$B$5:$W$396,20,0)</f>
        <v>4430873</v>
      </c>
      <c r="I67" s="198">
        <f t="shared" si="2"/>
        <v>707450</v>
      </c>
      <c r="J67" s="198">
        <f t="shared" si="3"/>
        <v>3723423</v>
      </c>
      <c r="K67" s="199">
        <v>60</v>
      </c>
      <c r="L67" s="200">
        <f t="shared" si="4"/>
        <v>73848</v>
      </c>
      <c r="M67" s="200">
        <f t="shared" si="15"/>
        <v>73848</v>
      </c>
      <c r="N67" s="200">
        <f t="shared" si="16"/>
        <v>73848</v>
      </c>
      <c r="P67" s="130"/>
      <c r="Q67" s="130"/>
    </row>
    <row r="68" spans="1:17" ht="51">
      <c r="A68" s="132" t="s">
        <v>288</v>
      </c>
      <c r="B68" s="133" t="s">
        <v>289</v>
      </c>
      <c r="C68" s="78" t="s">
        <v>108</v>
      </c>
      <c r="D68" s="134" t="s">
        <v>36</v>
      </c>
      <c r="E68" s="135">
        <v>2</v>
      </c>
      <c r="F68" s="134">
        <v>2</v>
      </c>
      <c r="G68" s="197">
        <f>VLOOKUP($A68,'INDEXACIÓN PRODUCTOS MES A MES'!$B$5:$W$396,22,0)</f>
        <v>9.1312462312673176E-2</v>
      </c>
      <c r="H68" s="198">
        <f>VLOOKUP($A68,'INDEXACIÓN PRODUCTOS MES A MES'!$B$5:$W$396,20,0)</f>
        <v>3539995</v>
      </c>
      <c r="I68" s="198">
        <f t="shared" ref="I68" si="17">H68-J68</f>
        <v>565209</v>
      </c>
      <c r="J68" s="198">
        <f t="shared" ref="J68" si="18">ROUND((H68/1.19),0)</f>
        <v>2974786</v>
      </c>
      <c r="K68" s="199">
        <v>60</v>
      </c>
      <c r="L68" s="200">
        <f>ROUND((H68/(K68)),0)</f>
        <v>59000</v>
      </c>
      <c r="M68" s="200">
        <f t="shared" si="15"/>
        <v>118000</v>
      </c>
      <c r="N68" s="200">
        <f t="shared" si="16"/>
        <v>118000</v>
      </c>
      <c r="P68" s="130"/>
      <c r="Q68" s="130"/>
    </row>
    <row r="69" spans="1:17" ht="38.25">
      <c r="A69" s="132" t="s">
        <v>292</v>
      </c>
      <c r="B69" s="133" t="s">
        <v>1485</v>
      </c>
      <c r="C69" s="78" t="s">
        <v>137</v>
      </c>
      <c r="D69" s="134" t="s">
        <v>44</v>
      </c>
      <c r="E69" s="135">
        <v>1</v>
      </c>
      <c r="F69" s="134">
        <v>1</v>
      </c>
      <c r="G69" s="197">
        <f>VLOOKUP($A69,'INDEXACIÓN PRODUCTOS MES A MES'!$B$5:$W$396,22,0)</f>
        <v>5.853911445520607E-2</v>
      </c>
      <c r="H69" s="198">
        <f>VLOOKUP($A69,'INDEXACIÓN PRODUCTOS MES A MES'!$B$5:$W$396,20,0)</f>
        <v>896300</v>
      </c>
      <c r="I69" s="198">
        <f t="shared" si="2"/>
        <v>143107</v>
      </c>
      <c r="J69" s="198">
        <f t="shared" si="3"/>
        <v>753193</v>
      </c>
      <c r="K69" s="199">
        <v>60</v>
      </c>
      <c r="L69" s="200">
        <f>ROUND((H69/(K69)),0)</f>
        <v>14938</v>
      </c>
      <c r="M69" s="200">
        <f t="shared" si="15"/>
        <v>14938</v>
      </c>
      <c r="N69" s="200">
        <f t="shared" si="16"/>
        <v>14938</v>
      </c>
      <c r="P69" s="130"/>
      <c r="Q69" s="130"/>
    </row>
    <row r="70" spans="1:17" ht="153">
      <c r="A70" s="244" t="s">
        <v>294</v>
      </c>
      <c r="B70" s="133" t="s">
        <v>295</v>
      </c>
      <c r="C70" s="76" t="s">
        <v>137</v>
      </c>
      <c r="D70" s="76" t="s">
        <v>44</v>
      </c>
      <c r="E70" s="135">
        <v>1</v>
      </c>
      <c r="F70" s="134">
        <v>1</v>
      </c>
      <c r="G70" s="197">
        <f>VLOOKUP($A70,'INDEXACIÓN PRODUCTOS MES A MES'!$B$5:$W$396,22,0)</f>
        <v>6.3831521913578271E-2</v>
      </c>
      <c r="H70" s="198">
        <f>VLOOKUP($A70,'INDEXACIÓN PRODUCTOS MES A MES'!$B$5:$W$396,20,0)</f>
        <v>1657141</v>
      </c>
      <c r="I70" s="198">
        <f t="shared" ref="I70" si="19">H70-J70</f>
        <v>264586</v>
      </c>
      <c r="J70" s="198">
        <f t="shared" ref="J70" si="20">ROUND((H70/1.19),0)</f>
        <v>1392555</v>
      </c>
      <c r="K70" s="199">
        <v>60</v>
      </c>
      <c r="L70" s="200">
        <f>ROUND((H70/(K70)),0)</f>
        <v>27619</v>
      </c>
      <c r="M70" s="200">
        <f t="shared" ref="M70" si="21">ROUND((L70*E70),0)</f>
        <v>27619</v>
      </c>
      <c r="N70" s="200">
        <f t="shared" ref="N70" si="22">ROUND((L70*F70),0)</f>
        <v>27619</v>
      </c>
      <c r="P70" s="130"/>
      <c r="Q70" s="130"/>
    </row>
    <row r="71" spans="1:17" ht="63.75">
      <c r="A71" s="132" t="s">
        <v>296</v>
      </c>
      <c r="B71" s="133" t="s">
        <v>297</v>
      </c>
      <c r="C71" s="78" t="s">
        <v>137</v>
      </c>
      <c r="D71" s="134" t="s">
        <v>58</v>
      </c>
      <c r="E71" s="135">
        <v>50</v>
      </c>
      <c r="F71" s="134">
        <v>130</v>
      </c>
      <c r="G71" s="197">
        <f>VLOOKUP($A71,'INDEXACIÓN PRODUCTOS MES A MES'!$B$5:$W$396,22,0)</f>
        <v>4.2926994906621392E-2</v>
      </c>
      <c r="H71" s="198">
        <f>VLOOKUP($A71,'INDEXACIÓN PRODUCTOS MES A MES'!$B$5:$W$396,20,0)</f>
        <v>614284</v>
      </c>
      <c r="I71" s="198">
        <f t="shared" si="2"/>
        <v>98079</v>
      </c>
      <c r="J71" s="198">
        <f t="shared" si="3"/>
        <v>516205</v>
      </c>
      <c r="K71" s="199">
        <v>60</v>
      </c>
      <c r="L71" s="200">
        <f t="shared" ref="L71:L111" si="23">ROUND((H71/(K71)),0)</f>
        <v>10238</v>
      </c>
      <c r="M71" s="200">
        <f t="shared" si="15"/>
        <v>511900</v>
      </c>
      <c r="N71" s="200">
        <f t="shared" si="16"/>
        <v>1330940</v>
      </c>
      <c r="P71" s="130"/>
      <c r="Q71" s="130"/>
    </row>
    <row r="72" spans="1:17" ht="38.25">
      <c r="A72" s="137" t="s">
        <v>298</v>
      </c>
      <c r="B72" s="133" t="s">
        <v>299</v>
      </c>
      <c r="C72" s="78" t="s">
        <v>137</v>
      </c>
      <c r="D72" s="134" t="s">
        <v>36</v>
      </c>
      <c r="E72" s="135">
        <v>10</v>
      </c>
      <c r="F72" s="134">
        <v>20</v>
      </c>
      <c r="G72" s="197">
        <f>VLOOKUP($A72,'INDEXACIÓN PRODUCTOS MES A MES'!$B$5:$W$396,22,0)</f>
        <v>9.131013188365332E-2</v>
      </c>
      <c r="H72" s="198">
        <f>VLOOKUP($A72,'INDEXACIÓN PRODUCTOS MES A MES'!$B$5:$W$396,20,0)</f>
        <v>1661165</v>
      </c>
      <c r="I72" s="198">
        <f t="shared" si="2"/>
        <v>265228</v>
      </c>
      <c r="J72" s="198">
        <f t="shared" si="3"/>
        <v>1395937</v>
      </c>
      <c r="K72" s="199">
        <v>60</v>
      </c>
      <c r="L72" s="200">
        <f t="shared" si="23"/>
        <v>27686</v>
      </c>
      <c r="M72" s="200">
        <f t="shared" si="15"/>
        <v>276860</v>
      </c>
      <c r="N72" s="200">
        <f t="shared" si="16"/>
        <v>553720</v>
      </c>
      <c r="P72" s="130"/>
      <c r="Q72" s="130"/>
    </row>
    <row r="73" spans="1:17" ht="38.25">
      <c r="A73" s="132" t="s">
        <v>304</v>
      </c>
      <c r="B73" s="133" t="s">
        <v>305</v>
      </c>
      <c r="C73" s="78" t="s">
        <v>137</v>
      </c>
      <c r="D73" s="134" t="s">
        <v>84</v>
      </c>
      <c r="E73" s="135">
        <v>32</v>
      </c>
      <c r="F73" s="134">
        <v>39</v>
      </c>
      <c r="G73" s="197">
        <f>VLOOKUP($A73,'INDEXACIÓN PRODUCTOS MES A MES'!$B$5:$W$396,22,0)</f>
        <v>0</v>
      </c>
      <c r="H73" s="198">
        <f>VLOOKUP($A73,'INDEXACIÓN PRODUCTOS MES A MES'!$B$5:$W$396,20,0)</f>
        <v>287230</v>
      </c>
      <c r="I73" s="198">
        <f t="shared" si="2"/>
        <v>45860</v>
      </c>
      <c r="J73" s="198">
        <f t="shared" si="3"/>
        <v>241370</v>
      </c>
      <c r="K73" s="199">
        <v>60</v>
      </c>
      <c r="L73" s="200">
        <f t="shared" si="23"/>
        <v>4787</v>
      </c>
      <c r="M73" s="200">
        <f t="shared" si="15"/>
        <v>153184</v>
      </c>
      <c r="N73" s="200">
        <f t="shared" si="16"/>
        <v>186693</v>
      </c>
      <c r="P73" s="130"/>
      <c r="Q73" s="130"/>
    </row>
    <row r="74" spans="1:17" ht="38.25">
      <c r="A74" s="137" t="s">
        <v>306</v>
      </c>
      <c r="B74" s="133" t="s">
        <v>307</v>
      </c>
      <c r="C74" s="78" t="s">
        <v>137</v>
      </c>
      <c r="D74" s="134" t="s">
        <v>36</v>
      </c>
      <c r="E74" s="135">
        <v>2</v>
      </c>
      <c r="F74" s="134">
        <v>2</v>
      </c>
      <c r="G74" s="197">
        <f>VLOOKUP($A74,'INDEXACIÓN PRODUCTOS MES A MES'!$B$5:$W$396,22,0)</f>
        <v>9.1280346983608401E-2</v>
      </c>
      <c r="H74" s="198">
        <f>VLOOKUP($A74,'INDEXACIÓN PRODUCTOS MES A MES'!$B$5:$W$396,20,0)</f>
        <v>193735</v>
      </c>
      <c r="I74" s="198">
        <f t="shared" si="2"/>
        <v>30932</v>
      </c>
      <c r="J74" s="198">
        <f t="shared" si="3"/>
        <v>162803</v>
      </c>
      <c r="K74" s="199">
        <v>24</v>
      </c>
      <c r="L74" s="200">
        <f t="shared" si="23"/>
        <v>8072</v>
      </c>
      <c r="M74" s="200">
        <f t="shared" si="15"/>
        <v>16144</v>
      </c>
      <c r="N74" s="200">
        <f t="shared" si="16"/>
        <v>16144</v>
      </c>
      <c r="P74" s="130"/>
      <c r="Q74" s="130"/>
    </row>
    <row r="75" spans="1:17">
      <c r="A75" s="132" t="s">
        <v>308</v>
      </c>
      <c r="B75" s="133" t="s">
        <v>1486</v>
      </c>
      <c r="C75" s="78" t="s">
        <v>108</v>
      </c>
      <c r="D75" s="134" t="s">
        <v>44</v>
      </c>
      <c r="E75" s="135">
        <v>2</v>
      </c>
      <c r="F75" s="134">
        <v>2</v>
      </c>
      <c r="G75" s="197">
        <f>VLOOKUP($A75,'INDEXACIÓN PRODUCTOS MES A MES'!$B$5:$W$396,22,0)</f>
        <v>6.2900889716532168E-2</v>
      </c>
      <c r="H75" s="198">
        <f>VLOOKUP($A75,'INDEXACIÓN PRODUCTOS MES A MES'!$B$5:$W$396,20,0)</f>
        <v>5137</v>
      </c>
      <c r="I75" s="198">
        <f t="shared" si="2"/>
        <v>820</v>
      </c>
      <c r="J75" s="198">
        <f t="shared" si="3"/>
        <v>4317</v>
      </c>
      <c r="K75" s="199">
        <v>24</v>
      </c>
      <c r="L75" s="200">
        <f t="shared" si="23"/>
        <v>214</v>
      </c>
      <c r="M75" s="200">
        <f t="shared" ref="M75:M109" si="24">ROUND((L75*E75),0)</f>
        <v>428</v>
      </c>
      <c r="N75" s="200">
        <f t="shared" ref="N75:N111" si="25">ROUND((L75*F75),0)</f>
        <v>428</v>
      </c>
      <c r="P75" s="130"/>
      <c r="Q75" s="130"/>
    </row>
    <row r="76" spans="1:17" ht="63.75">
      <c r="A76" s="132" t="s">
        <v>316</v>
      </c>
      <c r="B76" s="133" t="s">
        <v>1487</v>
      </c>
      <c r="C76" s="78" t="s">
        <v>108</v>
      </c>
      <c r="D76" s="134" t="s">
        <v>44</v>
      </c>
      <c r="E76" s="135">
        <v>2</v>
      </c>
      <c r="F76" s="134">
        <v>2</v>
      </c>
      <c r="G76" s="197">
        <f>VLOOKUP($A76,'INDEXACIÓN PRODUCTOS MES A MES'!$B$5:$W$396,22,0)</f>
        <v>0</v>
      </c>
      <c r="H76" s="198">
        <f>VLOOKUP($A76,'INDEXACIÓN PRODUCTOS MES A MES'!$B$5:$W$396,20,0)</f>
        <v>506733</v>
      </c>
      <c r="I76" s="198">
        <f t="shared" si="2"/>
        <v>80907</v>
      </c>
      <c r="J76" s="198">
        <f t="shared" si="3"/>
        <v>425826</v>
      </c>
      <c r="K76" s="199">
        <v>24</v>
      </c>
      <c r="L76" s="200">
        <f t="shared" si="23"/>
        <v>21114</v>
      </c>
      <c r="M76" s="200">
        <f t="shared" si="24"/>
        <v>42228</v>
      </c>
      <c r="N76" s="200">
        <f t="shared" si="25"/>
        <v>42228</v>
      </c>
      <c r="P76" s="130"/>
      <c r="Q76" s="130"/>
    </row>
    <row r="77" spans="1:17" ht="51">
      <c r="A77" s="132" t="s">
        <v>318</v>
      </c>
      <c r="B77" s="133" t="s">
        <v>1488</v>
      </c>
      <c r="C77" s="78" t="s">
        <v>137</v>
      </c>
      <c r="D77" s="134" t="s">
        <v>44</v>
      </c>
      <c r="E77" s="135">
        <v>2</v>
      </c>
      <c r="F77" s="134">
        <v>2</v>
      </c>
      <c r="G77" s="197">
        <f>VLOOKUP($A77,'INDEXACIÓN PRODUCTOS MES A MES'!$B$5:$W$396,22,0)</f>
        <v>0</v>
      </c>
      <c r="H77" s="198">
        <f>VLOOKUP($A77,'INDEXACIÓN PRODUCTOS MES A MES'!$B$5:$W$396,20,0)</f>
        <v>49037</v>
      </c>
      <c r="I77" s="198">
        <f t="shared" ref="I77:I111" si="26">H77-J77</f>
        <v>7829</v>
      </c>
      <c r="J77" s="198">
        <f t="shared" ref="J77:J111" si="27">ROUND((H77/1.19),0)</f>
        <v>41208</v>
      </c>
      <c r="K77" s="199">
        <v>24</v>
      </c>
      <c r="L77" s="200">
        <f t="shared" si="23"/>
        <v>2043</v>
      </c>
      <c r="M77" s="200">
        <f t="shared" si="24"/>
        <v>4086</v>
      </c>
      <c r="N77" s="200">
        <f t="shared" si="25"/>
        <v>4086</v>
      </c>
      <c r="P77" s="130"/>
      <c r="Q77" s="130"/>
    </row>
    <row r="78" spans="1:17" ht="38.25">
      <c r="A78" s="132" t="s">
        <v>329</v>
      </c>
      <c r="B78" s="133" t="s">
        <v>1489</v>
      </c>
      <c r="C78" s="78" t="s">
        <v>137</v>
      </c>
      <c r="D78" s="134" t="s">
        <v>36</v>
      </c>
      <c r="E78" s="135">
        <v>2</v>
      </c>
      <c r="F78" s="134">
        <v>2</v>
      </c>
      <c r="G78" s="197">
        <f>VLOOKUP($A78,'INDEXACIÓN PRODUCTOS MES A MES'!$B$5:$W$396,22,0)</f>
        <v>9.1193415637860084E-2</v>
      </c>
      <c r="H78" s="198">
        <f>VLOOKUP($A78,'INDEXACIÓN PRODUCTOS MES A MES'!$B$5:$W$396,20,0)</f>
        <v>66290</v>
      </c>
      <c r="I78" s="198">
        <f t="shared" si="26"/>
        <v>10584</v>
      </c>
      <c r="J78" s="198">
        <f t="shared" si="27"/>
        <v>55706</v>
      </c>
      <c r="K78" s="199">
        <v>24</v>
      </c>
      <c r="L78" s="200">
        <f t="shared" si="23"/>
        <v>2762</v>
      </c>
      <c r="M78" s="200">
        <f t="shared" si="24"/>
        <v>5524</v>
      </c>
      <c r="N78" s="200">
        <f t="shared" si="25"/>
        <v>5524</v>
      </c>
      <c r="P78" s="130"/>
      <c r="Q78" s="130"/>
    </row>
    <row r="79" spans="1:17" ht="63.75">
      <c r="A79" s="132" t="s">
        <v>821</v>
      </c>
      <c r="B79" s="133" t="s">
        <v>822</v>
      </c>
      <c r="C79" s="78" t="s">
        <v>89</v>
      </c>
      <c r="D79" s="134" t="s">
        <v>255</v>
      </c>
      <c r="E79" s="135">
        <v>1</v>
      </c>
      <c r="F79" s="134">
        <v>1</v>
      </c>
      <c r="G79" s="197">
        <f>VLOOKUP($A79,'INDEXACIÓN PRODUCTOS MES A MES'!$B$5:$W$396,22,0)</f>
        <v>7.9940392209245051E-2</v>
      </c>
      <c r="H79" s="198">
        <f>VLOOKUP($A79,'INDEXACIÓN PRODUCTOS MES A MES'!$B$5:$W$396,20,0)</f>
        <v>258717</v>
      </c>
      <c r="I79" s="198">
        <f t="shared" si="26"/>
        <v>41308</v>
      </c>
      <c r="J79" s="198">
        <f t="shared" si="27"/>
        <v>217409</v>
      </c>
      <c r="K79" s="199">
        <v>12</v>
      </c>
      <c r="L79" s="200">
        <f t="shared" si="23"/>
        <v>21560</v>
      </c>
      <c r="M79" s="200">
        <f t="shared" si="24"/>
        <v>21560</v>
      </c>
      <c r="N79" s="200">
        <f t="shared" si="25"/>
        <v>21560</v>
      </c>
      <c r="P79" s="130"/>
      <c r="Q79" s="130"/>
    </row>
    <row r="80" spans="1:17" ht="51">
      <c r="A80" s="244" t="s">
        <v>331</v>
      </c>
      <c r="B80" s="173" t="s">
        <v>332</v>
      </c>
      <c r="C80" s="76" t="s">
        <v>137</v>
      </c>
      <c r="D80" s="76" t="s">
        <v>46</v>
      </c>
      <c r="E80" s="135">
        <v>1</v>
      </c>
      <c r="F80" s="134">
        <v>1</v>
      </c>
      <c r="G80" s="197">
        <f>VLOOKUP($A80,'INDEXACIÓN PRODUCTOS MES A MES'!$B$5:$W$396,22,0)</f>
        <v>5.8542688910696764E-2</v>
      </c>
      <c r="H80" s="198">
        <f>VLOOKUP($A80,'INDEXACIÓN PRODUCTOS MES A MES'!$B$5:$W$396,20,0)</f>
        <v>3883158</v>
      </c>
      <c r="I80" s="198">
        <f t="shared" ref="I80" si="28">H80-J80</f>
        <v>620000</v>
      </c>
      <c r="J80" s="198">
        <f t="shared" ref="J80" si="29">ROUND((H80/1.19),0)</f>
        <v>3263158</v>
      </c>
      <c r="K80" s="199">
        <v>12</v>
      </c>
      <c r="L80" s="200">
        <f t="shared" ref="L80" si="30">ROUND((H80/(K80)),0)</f>
        <v>323597</v>
      </c>
      <c r="M80" s="200">
        <f t="shared" ref="M80" si="31">ROUND((L80*E80),0)</f>
        <v>323597</v>
      </c>
      <c r="N80" s="200">
        <f t="shared" ref="N80" si="32">ROUND((L80*F80),0)</f>
        <v>323597</v>
      </c>
      <c r="P80" s="130"/>
      <c r="Q80" s="130"/>
    </row>
    <row r="81" spans="1:17" ht="38.25">
      <c r="A81" s="244" t="s">
        <v>336</v>
      </c>
      <c r="B81" s="173" t="s">
        <v>337</v>
      </c>
      <c r="C81" s="76" t="s">
        <v>137</v>
      </c>
      <c r="D81" s="76" t="s">
        <v>36</v>
      </c>
      <c r="E81" s="135">
        <v>3</v>
      </c>
      <c r="F81" s="134">
        <v>4</v>
      </c>
      <c r="G81" s="197">
        <f>VLOOKUP($A81,'INDEXACIÓN PRODUCTOS MES A MES'!$B$5:$W$396,22,0)</f>
        <v>9.0708260811353594E-2</v>
      </c>
      <c r="H81" s="198">
        <f>VLOOKUP($A81,'INDEXACIÓN PRODUCTOS MES A MES'!$B$5:$W$396,20,0)</f>
        <v>16293</v>
      </c>
      <c r="I81" s="198">
        <f t="shared" ref="I81" si="33">H81-J81</f>
        <v>2601</v>
      </c>
      <c r="J81" s="198">
        <f t="shared" ref="J81" si="34">ROUND((H81/1.19),0)</f>
        <v>13692</v>
      </c>
      <c r="K81" s="199">
        <v>12</v>
      </c>
      <c r="L81" s="200">
        <f t="shared" ref="L81" si="35">ROUND((H81/(K81)),0)</f>
        <v>1358</v>
      </c>
      <c r="M81" s="200">
        <f t="shared" ref="M81" si="36">ROUND((L81*E81),0)</f>
        <v>4074</v>
      </c>
      <c r="N81" s="200">
        <f t="shared" ref="N81" si="37">ROUND((L81*F81),0)</f>
        <v>5432</v>
      </c>
      <c r="P81" s="130"/>
      <c r="Q81" s="130"/>
    </row>
    <row r="82" spans="1:17" ht="63.75">
      <c r="A82" s="140" t="s">
        <v>338</v>
      </c>
      <c r="B82" s="133" t="s">
        <v>1490</v>
      </c>
      <c r="C82" s="78" t="s">
        <v>137</v>
      </c>
      <c r="D82" s="134" t="s">
        <v>36</v>
      </c>
      <c r="E82" s="135">
        <v>100</v>
      </c>
      <c r="F82" s="134">
        <v>130</v>
      </c>
      <c r="G82" s="197">
        <f>VLOOKUP($A82,'INDEXACIÓN PRODUCTOS MES A MES'!$B$5:$W$396,22,0)</f>
        <v>9.097986482182667E-2</v>
      </c>
      <c r="H82" s="198">
        <f>VLOOKUP($A82,'INDEXACIÓN PRODUCTOS MES A MES'!$B$5:$W$396,20,0)</f>
        <v>30830</v>
      </c>
      <c r="I82" s="198">
        <f t="shared" si="26"/>
        <v>4922</v>
      </c>
      <c r="J82" s="198">
        <f t="shared" si="27"/>
        <v>25908</v>
      </c>
      <c r="K82" s="199">
        <v>24</v>
      </c>
      <c r="L82" s="200">
        <f t="shared" si="23"/>
        <v>1285</v>
      </c>
      <c r="M82" s="200">
        <f t="shared" si="24"/>
        <v>128500</v>
      </c>
      <c r="N82" s="200">
        <f t="shared" si="25"/>
        <v>167050</v>
      </c>
      <c r="P82" s="130"/>
      <c r="Q82" s="130"/>
    </row>
    <row r="83" spans="1:17" ht="38.25">
      <c r="A83" s="140" t="s">
        <v>340</v>
      </c>
      <c r="B83" s="133" t="s">
        <v>341</v>
      </c>
      <c r="C83" s="78" t="s">
        <v>137</v>
      </c>
      <c r="D83" s="78" t="s">
        <v>44</v>
      </c>
      <c r="E83" s="142">
        <v>100</v>
      </c>
      <c r="F83" s="78">
        <v>130</v>
      </c>
      <c r="G83" s="197">
        <f>VLOOKUP($A83,'INDEXACIÓN PRODUCTOS MES A MES'!$B$5:$W$396,22,0)</f>
        <v>6.055818852027383E-2</v>
      </c>
      <c r="H83" s="198">
        <f>VLOOKUP($A83,'INDEXACIÓN PRODUCTOS MES A MES'!$B$5:$W$396,20,0)</f>
        <v>2014</v>
      </c>
      <c r="I83" s="198">
        <f t="shared" si="26"/>
        <v>322</v>
      </c>
      <c r="J83" s="198">
        <f t="shared" si="27"/>
        <v>1692</v>
      </c>
      <c r="K83" s="199">
        <v>24</v>
      </c>
      <c r="L83" s="200">
        <f t="shared" si="23"/>
        <v>84</v>
      </c>
      <c r="M83" s="200">
        <f t="shared" si="24"/>
        <v>8400</v>
      </c>
      <c r="N83" s="200">
        <f t="shared" si="25"/>
        <v>10920</v>
      </c>
      <c r="P83" s="130"/>
      <c r="Q83" s="130"/>
    </row>
    <row r="84" spans="1:17" ht="38.25">
      <c r="A84" s="132" t="s">
        <v>342</v>
      </c>
      <c r="B84" s="133" t="s">
        <v>1491</v>
      </c>
      <c r="C84" s="78" t="s">
        <v>137</v>
      </c>
      <c r="D84" s="134" t="s">
        <v>44</v>
      </c>
      <c r="E84" s="135">
        <v>2</v>
      </c>
      <c r="F84" s="134">
        <v>2</v>
      </c>
      <c r="G84" s="197">
        <f>VLOOKUP($A84,'INDEXACIÓN PRODUCTOS MES A MES'!$B$5:$W$396,22,0)</f>
        <v>6.3458136792452824E-2</v>
      </c>
      <c r="H84" s="198">
        <f>VLOOKUP($A84,'INDEXACIÓN PRODUCTOS MES A MES'!$B$5:$W$396,20,0)</f>
        <v>14429</v>
      </c>
      <c r="I84" s="198">
        <f t="shared" si="26"/>
        <v>2304</v>
      </c>
      <c r="J84" s="198">
        <f t="shared" si="27"/>
        <v>12125</v>
      </c>
      <c r="K84" s="199">
        <v>24</v>
      </c>
      <c r="L84" s="200">
        <f t="shared" si="23"/>
        <v>601</v>
      </c>
      <c r="M84" s="200">
        <f t="shared" si="24"/>
        <v>1202</v>
      </c>
      <c r="N84" s="200">
        <f t="shared" si="25"/>
        <v>1202</v>
      </c>
      <c r="P84" s="130"/>
      <c r="Q84" s="130"/>
    </row>
    <row r="85" spans="1:17" ht="63.75">
      <c r="A85" s="137" t="s">
        <v>344</v>
      </c>
      <c r="B85" s="133" t="s">
        <v>345</v>
      </c>
      <c r="C85" s="78" t="s">
        <v>137</v>
      </c>
      <c r="D85" s="134" t="s">
        <v>64</v>
      </c>
      <c r="E85" s="135">
        <v>11</v>
      </c>
      <c r="F85" s="134">
        <v>11</v>
      </c>
      <c r="G85" s="197">
        <f>VLOOKUP($A85,'INDEXACIÓN PRODUCTOS MES A MES'!$B$5:$W$396,22,0)</f>
        <v>0</v>
      </c>
      <c r="H85" s="198">
        <f>VLOOKUP($A85,'INDEXACIÓN PRODUCTOS MES A MES'!$B$5:$W$396,20,0)</f>
        <v>483770</v>
      </c>
      <c r="I85" s="198">
        <f t="shared" si="26"/>
        <v>77241</v>
      </c>
      <c r="J85" s="198">
        <f t="shared" si="27"/>
        <v>406529</v>
      </c>
      <c r="K85" s="199">
        <v>60</v>
      </c>
      <c r="L85" s="200">
        <f t="shared" si="23"/>
        <v>8063</v>
      </c>
      <c r="M85" s="200">
        <f t="shared" si="24"/>
        <v>88693</v>
      </c>
      <c r="N85" s="200">
        <f t="shared" si="25"/>
        <v>88693</v>
      </c>
      <c r="P85" s="130"/>
      <c r="Q85" s="130"/>
    </row>
    <row r="86" spans="1:17" ht="51">
      <c r="A86" s="244" t="s">
        <v>346</v>
      </c>
      <c r="B86" s="173" t="s">
        <v>347</v>
      </c>
      <c r="C86" s="76" t="s">
        <v>137</v>
      </c>
      <c r="D86" s="76" t="s">
        <v>56</v>
      </c>
      <c r="E86" s="135">
        <v>1</v>
      </c>
      <c r="F86" s="134">
        <v>1</v>
      </c>
      <c r="G86" s="197">
        <f>VLOOKUP($A86,'INDEXACIÓN PRODUCTOS MES A MES'!$B$5:$W$396,22,0)</f>
        <v>4.2908277404921702E-2</v>
      </c>
      <c r="H86" s="198">
        <f>VLOOKUP($A86,'INDEXACIÓN PRODUCTOS MES A MES'!$B$5:$W$396,20,0)</f>
        <v>116545</v>
      </c>
      <c r="I86" s="198">
        <f t="shared" ref="I86" si="38">H86-J86</f>
        <v>18608</v>
      </c>
      <c r="J86" s="198">
        <f t="shared" ref="J86" si="39">ROUND((H86/1.19),0)</f>
        <v>97937</v>
      </c>
      <c r="K86" s="199">
        <v>60</v>
      </c>
      <c r="L86" s="200">
        <f t="shared" ref="L86" si="40">ROUND((H86/(K86)),0)</f>
        <v>1942</v>
      </c>
      <c r="M86" s="200">
        <f t="shared" ref="M86" si="41">ROUND((L86*E86),0)</f>
        <v>1942</v>
      </c>
      <c r="N86" s="200">
        <f t="shared" ref="N86" si="42">ROUND((L86*F86),0)</f>
        <v>1942</v>
      </c>
      <c r="P86" s="130"/>
      <c r="Q86" s="130"/>
    </row>
    <row r="87" spans="1:17" ht="38.25">
      <c r="A87" s="132" t="s">
        <v>350</v>
      </c>
      <c r="B87" s="133" t="s">
        <v>351</v>
      </c>
      <c r="C87" s="78" t="s">
        <v>108</v>
      </c>
      <c r="D87" s="134" t="s">
        <v>44</v>
      </c>
      <c r="E87" s="135">
        <v>2</v>
      </c>
      <c r="F87" s="134">
        <v>2</v>
      </c>
      <c r="G87" s="197">
        <f>VLOOKUP($A87,'INDEXACIÓN PRODUCTOS MES A MES'!$B$5:$W$396,22,0)</f>
        <v>6.3420884048686746E-2</v>
      </c>
      <c r="H87" s="198">
        <f>VLOOKUP($A87,'INDEXACIÓN PRODUCTOS MES A MES'!$B$5:$W$396,20,0)</f>
        <v>16600</v>
      </c>
      <c r="I87" s="198">
        <f t="shared" si="26"/>
        <v>2650</v>
      </c>
      <c r="J87" s="198">
        <f t="shared" si="27"/>
        <v>13950</v>
      </c>
      <c r="K87" s="199">
        <v>24</v>
      </c>
      <c r="L87" s="200">
        <f t="shared" si="23"/>
        <v>692</v>
      </c>
      <c r="M87" s="200">
        <f t="shared" si="24"/>
        <v>1384</v>
      </c>
      <c r="N87" s="200">
        <f t="shared" si="25"/>
        <v>1384</v>
      </c>
      <c r="P87" s="130"/>
      <c r="Q87" s="130"/>
    </row>
    <row r="88" spans="1:17" ht="38.25">
      <c r="A88" s="132" t="s">
        <v>352</v>
      </c>
      <c r="B88" s="133" t="s">
        <v>1492</v>
      </c>
      <c r="C88" s="78" t="s">
        <v>137</v>
      </c>
      <c r="D88" s="134" t="s">
        <v>36</v>
      </c>
      <c r="E88" s="135">
        <v>4</v>
      </c>
      <c r="F88" s="134">
        <v>4</v>
      </c>
      <c r="G88" s="197">
        <f>VLOOKUP($A88,'INDEXACIÓN PRODUCTOS MES A MES'!$B$5:$W$396,22,0)</f>
        <v>9.1026696460072914E-2</v>
      </c>
      <c r="H88" s="198">
        <f>VLOOKUP($A88,'INDEXACIÓN PRODUCTOS MES A MES'!$B$5:$W$396,20,0)</f>
        <v>27831</v>
      </c>
      <c r="I88" s="198">
        <f t="shared" si="26"/>
        <v>4444</v>
      </c>
      <c r="J88" s="198">
        <f t="shared" si="27"/>
        <v>23387</v>
      </c>
      <c r="K88" s="199">
        <v>24</v>
      </c>
      <c r="L88" s="200">
        <f t="shared" si="23"/>
        <v>1160</v>
      </c>
      <c r="M88" s="200">
        <f t="shared" si="24"/>
        <v>4640</v>
      </c>
      <c r="N88" s="200">
        <f t="shared" si="25"/>
        <v>4640</v>
      </c>
      <c r="P88" s="130"/>
      <c r="Q88" s="130"/>
    </row>
    <row r="89" spans="1:17" ht="153">
      <c r="A89" s="132" t="s">
        <v>362</v>
      </c>
      <c r="B89" s="133" t="s">
        <v>363</v>
      </c>
      <c r="C89" s="78" t="s">
        <v>137</v>
      </c>
      <c r="D89" s="134" t="s">
        <v>44</v>
      </c>
      <c r="E89" s="135">
        <v>1</v>
      </c>
      <c r="F89" s="134">
        <v>1</v>
      </c>
      <c r="G89" s="197">
        <f>VLOOKUP($A89,'INDEXACIÓN PRODUCTOS MES A MES'!$B$5:$W$396,22,0)</f>
        <v>6.3835772850200895E-2</v>
      </c>
      <c r="H89" s="198">
        <f>VLOOKUP($A89,'INDEXACIÓN PRODUCTOS MES A MES'!$B$5:$W$396,20,0)</f>
        <v>9922742</v>
      </c>
      <c r="I89" s="198">
        <f t="shared" si="26"/>
        <v>1584303</v>
      </c>
      <c r="J89" s="198">
        <f t="shared" si="27"/>
        <v>8338439</v>
      </c>
      <c r="K89" s="199">
        <v>60</v>
      </c>
      <c r="L89" s="200">
        <f t="shared" si="23"/>
        <v>165379</v>
      </c>
      <c r="M89" s="200">
        <f t="shared" si="24"/>
        <v>165379</v>
      </c>
      <c r="N89" s="200">
        <f t="shared" si="25"/>
        <v>165379</v>
      </c>
      <c r="P89" s="130"/>
      <c r="Q89" s="130"/>
    </row>
    <row r="90" spans="1:17" ht="38.25">
      <c r="A90" s="137" t="s">
        <v>364</v>
      </c>
      <c r="B90" s="133" t="s">
        <v>365</v>
      </c>
      <c r="C90" s="78" t="s">
        <v>137</v>
      </c>
      <c r="D90" s="134" t="s">
        <v>46</v>
      </c>
      <c r="E90" s="135">
        <v>2</v>
      </c>
      <c r="F90" s="134">
        <v>2</v>
      </c>
      <c r="G90" s="197">
        <f>VLOOKUP($A90,'INDEXACIÓN PRODUCTOS MES A MES'!$B$5:$W$396,22,0)</f>
        <v>5.8535927740079992E-2</v>
      </c>
      <c r="H90" s="198">
        <f>VLOOKUP($A90,'INDEXACIÓN PRODUCTOS MES A MES'!$B$5:$W$396,20,0)</f>
        <v>471112</v>
      </c>
      <c r="I90" s="198">
        <f t="shared" si="26"/>
        <v>75220</v>
      </c>
      <c r="J90" s="198">
        <f t="shared" si="27"/>
        <v>395892</v>
      </c>
      <c r="K90" s="199">
        <v>60</v>
      </c>
      <c r="L90" s="200">
        <f t="shared" si="23"/>
        <v>7852</v>
      </c>
      <c r="M90" s="200">
        <f t="shared" si="24"/>
        <v>15704</v>
      </c>
      <c r="N90" s="200">
        <f t="shared" si="25"/>
        <v>15704</v>
      </c>
      <c r="P90" s="130"/>
      <c r="Q90" s="130"/>
    </row>
    <row r="91" spans="1:17" ht="38.25">
      <c r="A91" s="137" t="s">
        <v>366</v>
      </c>
      <c r="B91" s="133" t="s">
        <v>367</v>
      </c>
      <c r="C91" s="78" t="s">
        <v>137</v>
      </c>
      <c r="D91" s="134" t="s">
        <v>36</v>
      </c>
      <c r="E91" s="135">
        <v>5</v>
      </c>
      <c r="F91" s="134">
        <v>5</v>
      </c>
      <c r="G91" s="197">
        <f>VLOOKUP($A91,'INDEXACIÓN PRODUCTOS MES A MES'!$B$5:$W$396,22,0)</f>
        <v>8.9653831194087902E-2</v>
      </c>
      <c r="H91" s="198">
        <f>VLOOKUP($A91,'INDEXACIÓN PRODUCTOS MES A MES'!$B$5:$W$396,20,0)</f>
        <v>5603</v>
      </c>
      <c r="I91" s="198">
        <f t="shared" si="26"/>
        <v>895</v>
      </c>
      <c r="J91" s="198">
        <f t="shared" si="27"/>
        <v>4708</v>
      </c>
      <c r="K91" s="199">
        <v>24</v>
      </c>
      <c r="L91" s="200">
        <f t="shared" si="23"/>
        <v>233</v>
      </c>
      <c r="M91" s="200">
        <f t="shared" si="24"/>
        <v>1165</v>
      </c>
      <c r="N91" s="200">
        <f t="shared" si="25"/>
        <v>1165</v>
      </c>
      <c r="P91" s="130"/>
      <c r="Q91" s="130"/>
    </row>
    <row r="92" spans="1:17" ht="51">
      <c r="A92" s="132" t="s">
        <v>368</v>
      </c>
      <c r="B92" s="133" t="s">
        <v>369</v>
      </c>
      <c r="C92" s="78" t="s">
        <v>137</v>
      </c>
      <c r="D92" s="134" t="s">
        <v>36</v>
      </c>
      <c r="E92" s="135">
        <v>1</v>
      </c>
      <c r="F92" s="134">
        <v>1</v>
      </c>
      <c r="G92" s="197">
        <f>VLOOKUP($A92,'INDEXACIÓN PRODUCTOS MES A MES'!$B$5:$W$396,22,0)</f>
        <v>9.1312708378014779E-2</v>
      </c>
      <c r="H92" s="198">
        <f>VLOOKUP($A92,'INDEXACIÓN PRODUCTOS MES A MES'!$B$5:$W$396,20,0)</f>
        <v>4477787</v>
      </c>
      <c r="I92" s="198">
        <f t="shared" si="26"/>
        <v>714941</v>
      </c>
      <c r="J92" s="198">
        <f t="shared" si="27"/>
        <v>3762846</v>
      </c>
      <c r="K92" s="199">
        <v>60</v>
      </c>
      <c r="L92" s="200">
        <f t="shared" si="23"/>
        <v>74630</v>
      </c>
      <c r="M92" s="200">
        <f t="shared" si="24"/>
        <v>74630</v>
      </c>
      <c r="N92" s="200">
        <f t="shared" si="25"/>
        <v>74630</v>
      </c>
      <c r="P92" s="130"/>
      <c r="Q92" s="130"/>
    </row>
    <row r="93" spans="1:17" ht="51">
      <c r="A93" s="143" t="s">
        <v>370</v>
      </c>
      <c r="B93" s="133" t="s">
        <v>1493</v>
      </c>
      <c r="C93" s="78" t="s">
        <v>108</v>
      </c>
      <c r="D93" s="134" t="s">
        <v>36</v>
      </c>
      <c r="E93" s="135">
        <v>1</v>
      </c>
      <c r="F93" s="134">
        <v>1</v>
      </c>
      <c r="G93" s="197">
        <f>VLOOKUP($A93,'INDEXACIÓN PRODUCTOS MES A MES'!$B$5:$W$396,22,0)</f>
        <v>9.1160909670092244E-2</v>
      </c>
      <c r="H93" s="198">
        <f>VLOOKUP($A93,'INDEXACIÓN PRODUCTOS MES A MES'!$B$5:$W$396,20,0)</f>
        <v>39392</v>
      </c>
      <c r="I93" s="198">
        <f t="shared" si="26"/>
        <v>6289</v>
      </c>
      <c r="J93" s="198">
        <f t="shared" si="27"/>
        <v>33103</v>
      </c>
      <c r="K93" s="199">
        <v>24</v>
      </c>
      <c r="L93" s="200">
        <f t="shared" si="23"/>
        <v>1641</v>
      </c>
      <c r="M93" s="200">
        <f t="shared" si="24"/>
        <v>1641</v>
      </c>
      <c r="N93" s="200">
        <f t="shared" si="25"/>
        <v>1641</v>
      </c>
      <c r="P93" s="130"/>
      <c r="Q93" s="130"/>
    </row>
    <row r="94" spans="1:17" ht="25.5">
      <c r="A94" s="145" t="s">
        <v>374</v>
      </c>
      <c r="B94" s="146" t="s">
        <v>375</v>
      </c>
      <c r="C94" s="78" t="s">
        <v>108</v>
      </c>
      <c r="D94" s="147" t="s">
        <v>36</v>
      </c>
      <c r="E94" s="144">
        <f>170+24</f>
        <v>194</v>
      </c>
      <c r="F94" s="147">
        <v>250</v>
      </c>
      <c r="G94" s="197">
        <f>VLOOKUP($A94,'INDEXACIÓN PRODUCTOS MES A MES'!$B$5:$W$396,22,0)</f>
        <v>9.1142752233690991E-2</v>
      </c>
      <c r="H94" s="198">
        <f>VLOOKUP($A94,'INDEXACIÓN PRODUCTOS MES A MES'!$B$5:$W$396,20,0)</f>
        <v>53490</v>
      </c>
      <c r="I94" s="198">
        <f t="shared" si="26"/>
        <v>8540</v>
      </c>
      <c r="J94" s="198">
        <f t="shared" si="27"/>
        <v>44950</v>
      </c>
      <c r="K94" s="202">
        <v>36</v>
      </c>
      <c r="L94" s="200">
        <f t="shared" si="23"/>
        <v>1486</v>
      </c>
      <c r="M94" s="200">
        <f t="shared" si="24"/>
        <v>288284</v>
      </c>
      <c r="N94" s="200">
        <f t="shared" si="25"/>
        <v>371500</v>
      </c>
      <c r="P94" s="130"/>
      <c r="Q94" s="130"/>
    </row>
    <row r="95" spans="1:17">
      <c r="A95" s="148" t="s">
        <v>376</v>
      </c>
      <c r="B95" s="149" t="s">
        <v>377</v>
      </c>
      <c r="C95" s="78" t="s">
        <v>108</v>
      </c>
      <c r="D95" s="134" t="s">
        <v>109</v>
      </c>
      <c r="E95" s="135">
        <v>11</v>
      </c>
      <c r="F95" s="134">
        <v>11</v>
      </c>
      <c r="G95" s="197">
        <f>VLOOKUP($A95,'INDEXACIÓN PRODUCTOS MES A MES'!$B$5:$W$396,22,0)</f>
        <v>0</v>
      </c>
      <c r="H95" s="198">
        <f>VLOOKUP($A95,'INDEXACIÓN PRODUCTOS MES A MES'!$B$5:$W$396,20,0)</f>
        <v>410110</v>
      </c>
      <c r="I95" s="198">
        <f t="shared" si="26"/>
        <v>65480</v>
      </c>
      <c r="J95" s="198">
        <f t="shared" si="27"/>
        <v>344630</v>
      </c>
      <c r="K95" s="199">
        <v>60</v>
      </c>
      <c r="L95" s="200">
        <f t="shared" si="23"/>
        <v>6835</v>
      </c>
      <c r="M95" s="200">
        <f t="shared" si="24"/>
        <v>75185</v>
      </c>
      <c r="N95" s="200">
        <f t="shared" si="25"/>
        <v>75185</v>
      </c>
      <c r="P95" s="130"/>
      <c r="Q95" s="130"/>
    </row>
    <row r="96" spans="1:17" ht="51">
      <c r="A96" s="291" t="s">
        <v>380</v>
      </c>
      <c r="B96" s="133" t="s">
        <v>381</v>
      </c>
      <c r="C96" s="78" t="s">
        <v>108</v>
      </c>
      <c r="D96" s="134" t="s">
        <v>44</v>
      </c>
      <c r="E96" s="135">
        <v>1</v>
      </c>
      <c r="F96" s="134">
        <v>1</v>
      </c>
      <c r="G96" s="197">
        <f>VLOOKUP($A96,'INDEXACIÓN PRODUCTOS MES A MES'!$B$5:$W$396,22,0)</f>
        <v>6.3807734304416996E-2</v>
      </c>
      <c r="H96" s="198">
        <f>VLOOKUP($A96,'INDEXACIÓN PRODUCTOS MES A MES'!$B$5:$W$396,20,0)</f>
        <v>191929</v>
      </c>
      <c r="I96" s="198">
        <f t="shared" si="26"/>
        <v>30644</v>
      </c>
      <c r="J96" s="198">
        <f t="shared" si="27"/>
        <v>161285</v>
      </c>
      <c r="K96" s="199">
        <v>24</v>
      </c>
      <c r="L96" s="200">
        <f t="shared" si="23"/>
        <v>7997</v>
      </c>
      <c r="M96" s="200">
        <f t="shared" si="24"/>
        <v>7997</v>
      </c>
      <c r="N96" s="200">
        <f t="shared" si="25"/>
        <v>7997</v>
      </c>
      <c r="P96" s="130"/>
      <c r="Q96" s="130"/>
    </row>
    <row r="97" spans="1:17" ht="38.25">
      <c r="A97" s="291" t="s">
        <v>382</v>
      </c>
      <c r="B97" s="133" t="s">
        <v>383</v>
      </c>
      <c r="C97" s="78" t="s">
        <v>108</v>
      </c>
      <c r="D97" s="151" t="s">
        <v>44</v>
      </c>
      <c r="E97" s="152">
        <v>5</v>
      </c>
      <c r="F97" s="147">
        <v>5</v>
      </c>
      <c r="G97" s="197">
        <f>VLOOKUP($A97,'INDEXACIÓN PRODUCTOS MES A MES'!$B$5:$W$396,22,0)</f>
        <v>6.3821773112054211E-2</v>
      </c>
      <c r="H97" s="198">
        <f>VLOOKUP($A97,'INDEXACIÓN PRODUCTOS MES A MES'!$B$5:$W$396,20,0)</f>
        <v>327622</v>
      </c>
      <c r="I97" s="198">
        <f t="shared" si="26"/>
        <v>52309</v>
      </c>
      <c r="J97" s="198">
        <f t="shared" si="27"/>
        <v>275313</v>
      </c>
      <c r="K97" s="199">
        <v>24</v>
      </c>
      <c r="L97" s="200">
        <f t="shared" si="23"/>
        <v>13651</v>
      </c>
      <c r="M97" s="200">
        <f t="shared" si="24"/>
        <v>68255</v>
      </c>
      <c r="N97" s="203">
        <f t="shared" si="25"/>
        <v>68255</v>
      </c>
    </row>
    <row r="98" spans="1:17">
      <c r="A98" s="150" t="s">
        <v>384</v>
      </c>
      <c r="B98" s="133" t="s">
        <v>385</v>
      </c>
      <c r="C98" s="78" t="s">
        <v>108</v>
      </c>
      <c r="D98" s="134" t="s">
        <v>38</v>
      </c>
      <c r="E98" s="135">
        <v>2</v>
      </c>
      <c r="F98" s="134">
        <v>2</v>
      </c>
      <c r="G98" s="197">
        <f>VLOOKUP($A98,'INDEXACIÓN PRODUCTOS MES A MES'!$B$5:$W$396,22,0)</f>
        <v>7.992323364369007E-2</v>
      </c>
      <c r="H98" s="198">
        <f>VLOOKUP($A98,'INDEXACIÓN PRODUCTOS MES A MES'!$B$5:$W$396,20,0)</f>
        <v>155307</v>
      </c>
      <c r="I98" s="198">
        <f t="shared" si="26"/>
        <v>24797</v>
      </c>
      <c r="J98" s="198">
        <f t="shared" si="27"/>
        <v>130510</v>
      </c>
      <c r="K98" s="199">
        <v>24</v>
      </c>
      <c r="L98" s="200">
        <f t="shared" si="23"/>
        <v>6471</v>
      </c>
      <c r="M98" s="200">
        <f t="shared" si="24"/>
        <v>12942</v>
      </c>
      <c r="N98" s="203">
        <f t="shared" si="25"/>
        <v>12942</v>
      </c>
    </row>
    <row r="99" spans="1:17" ht="89.25">
      <c r="A99" s="143" t="s">
        <v>386</v>
      </c>
      <c r="B99" s="133" t="s">
        <v>1494</v>
      </c>
      <c r="C99" s="78" t="s">
        <v>108</v>
      </c>
      <c r="D99" s="153" t="s">
        <v>56</v>
      </c>
      <c r="E99" s="154">
        <v>1</v>
      </c>
      <c r="F99" s="153">
        <v>1</v>
      </c>
      <c r="G99" s="197">
        <f>VLOOKUP($A99,'INDEXACIÓN PRODUCTOS MES A MES'!$B$5:$W$396,22,0)</f>
        <v>4.2909460834181075E-2</v>
      </c>
      <c r="H99" s="198">
        <f>VLOOKUP($A99,'INDEXACIÓN PRODUCTOS MES A MES'!$B$5:$W$396,20,0)</f>
        <v>102518</v>
      </c>
      <c r="I99" s="198">
        <f t="shared" si="26"/>
        <v>16368</v>
      </c>
      <c r="J99" s="198">
        <f t="shared" si="27"/>
        <v>86150</v>
      </c>
      <c r="K99" s="199">
        <v>60</v>
      </c>
      <c r="L99" s="200">
        <f t="shared" si="23"/>
        <v>1709</v>
      </c>
      <c r="M99" s="200">
        <f t="shared" si="24"/>
        <v>1709</v>
      </c>
      <c r="N99" s="203">
        <f t="shared" si="25"/>
        <v>1709</v>
      </c>
      <c r="P99" s="130"/>
      <c r="Q99" s="130"/>
    </row>
    <row r="100" spans="1:17">
      <c r="A100" s="143" t="s">
        <v>388</v>
      </c>
      <c r="B100" s="133" t="s">
        <v>389</v>
      </c>
      <c r="C100" s="78" t="s">
        <v>108</v>
      </c>
      <c r="D100" s="153" t="s">
        <v>1495</v>
      </c>
      <c r="E100" s="154">
        <v>1</v>
      </c>
      <c r="F100" s="153">
        <v>1</v>
      </c>
      <c r="G100" s="197">
        <f>VLOOKUP($A100,'INDEXACIÓN PRODUCTOS MES A MES'!$B$5:$W$396,22,0)</f>
        <v>6.3647410423987652E-2</v>
      </c>
      <c r="H100" s="198">
        <f>VLOOKUP($A100,'INDEXACIÓN PRODUCTOS MES A MES'!$B$5:$W$396,20,0)</f>
        <v>32387</v>
      </c>
      <c r="I100" s="198">
        <f t="shared" si="26"/>
        <v>5171</v>
      </c>
      <c r="J100" s="198">
        <f t="shared" si="27"/>
        <v>27216</v>
      </c>
      <c r="K100" s="199">
        <v>60</v>
      </c>
      <c r="L100" s="200">
        <f t="shared" si="23"/>
        <v>540</v>
      </c>
      <c r="M100" s="200">
        <f t="shared" si="24"/>
        <v>540</v>
      </c>
      <c r="N100" s="203">
        <f t="shared" si="25"/>
        <v>540</v>
      </c>
      <c r="P100" s="130"/>
      <c r="Q100" s="130"/>
    </row>
    <row r="101" spans="1:17" ht="38.25">
      <c r="A101" s="150" t="s">
        <v>390</v>
      </c>
      <c r="B101" s="133" t="s">
        <v>391</v>
      </c>
      <c r="C101" s="155" t="s">
        <v>137</v>
      </c>
      <c r="D101" s="153" t="s">
        <v>36</v>
      </c>
      <c r="E101" s="154">
        <v>2</v>
      </c>
      <c r="F101" s="153">
        <v>2</v>
      </c>
      <c r="G101" s="197">
        <f>VLOOKUP($A101,'INDEXACIÓN PRODUCTOS MES A MES'!$B$5:$W$396,22,0)</f>
        <v>9.1311983816573364E-2</v>
      </c>
      <c r="H101" s="198">
        <f>VLOOKUP($A101,'INDEXACIÓN PRODUCTOS MES A MES'!$B$5:$W$396,20,0)</f>
        <v>3622011</v>
      </c>
      <c r="I101" s="198">
        <f t="shared" si="26"/>
        <v>578304</v>
      </c>
      <c r="J101" s="198">
        <f t="shared" si="27"/>
        <v>3043707</v>
      </c>
      <c r="K101" s="199">
        <v>60</v>
      </c>
      <c r="L101" s="200">
        <f t="shared" si="23"/>
        <v>60367</v>
      </c>
      <c r="M101" s="200">
        <f t="shared" si="24"/>
        <v>120734</v>
      </c>
      <c r="N101" s="203">
        <f t="shared" si="25"/>
        <v>120734</v>
      </c>
      <c r="P101" s="130"/>
      <c r="Q101" s="130"/>
    </row>
    <row r="102" spans="1:17" ht="38.25">
      <c r="A102" s="150" t="s">
        <v>392</v>
      </c>
      <c r="B102" s="133" t="s">
        <v>393</v>
      </c>
      <c r="C102" s="155" t="s">
        <v>137</v>
      </c>
      <c r="D102" s="153" t="s">
        <v>36</v>
      </c>
      <c r="E102" s="154">
        <v>1</v>
      </c>
      <c r="F102" s="153">
        <v>1</v>
      </c>
      <c r="G102" s="197">
        <f>VLOOKUP($A102,'INDEXACIÓN PRODUCTOS MES A MES'!$B$5:$W$396,22,0)</f>
        <v>9.1279721874461872E-2</v>
      </c>
      <c r="H102" s="198">
        <f>VLOOKUP($A102,'INDEXACIÓN PRODUCTOS MES A MES'!$B$5:$W$396,20,0)</f>
        <v>234480</v>
      </c>
      <c r="I102" s="198">
        <f t="shared" si="26"/>
        <v>37438</v>
      </c>
      <c r="J102" s="198">
        <f t="shared" si="27"/>
        <v>197042</v>
      </c>
      <c r="K102" s="199">
        <v>60</v>
      </c>
      <c r="L102" s="200">
        <f t="shared" si="23"/>
        <v>3908</v>
      </c>
      <c r="M102" s="200">
        <f t="shared" si="24"/>
        <v>3908</v>
      </c>
      <c r="N102" s="203">
        <f t="shared" si="25"/>
        <v>3908</v>
      </c>
      <c r="P102" s="130"/>
      <c r="Q102" s="130"/>
    </row>
    <row r="103" spans="1:17" ht="38.25">
      <c r="A103" s="291" t="s">
        <v>394</v>
      </c>
      <c r="B103" s="133" t="s">
        <v>395</v>
      </c>
      <c r="C103" s="156" t="s">
        <v>137</v>
      </c>
      <c r="D103" s="147" t="s">
        <v>44</v>
      </c>
      <c r="E103" s="154">
        <v>2</v>
      </c>
      <c r="F103" s="153">
        <v>2</v>
      </c>
      <c r="G103" s="197">
        <f>VLOOKUP($A103,'INDEXACIÓN PRODUCTOS MES A MES'!$B$5:$W$396,22,0)</f>
        <v>9.1072244338575997E-2</v>
      </c>
      <c r="H103" s="198">
        <f>VLOOKUP($A103,'INDEXACIÓN PRODUCTOS MES A MES'!$B$5:$W$396,20,0)</f>
        <v>33437</v>
      </c>
      <c r="I103" s="198">
        <f t="shared" si="26"/>
        <v>5339</v>
      </c>
      <c r="J103" s="198">
        <f t="shared" si="27"/>
        <v>28098</v>
      </c>
      <c r="K103" s="199">
        <v>24</v>
      </c>
      <c r="L103" s="200">
        <f t="shared" si="23"/>
        <v>1393</v>
      </c>
      <c r="M103" s="200">
        <f t="shared" si="24"/>
        <v>2786</v>
      </c>
      <c r="N103" s="203">
        <f t="shared" si="25"/>
        <v>2786</v>
      </c>
      <c r="P103" s="130"/>
      <c r="Q103" s="130"/>
    </row>
    <row r="104" spans="1:17" ht="38.25">
      <c r="A104" s="143" t="s">
        <v>404</v>
      </c>
      <c r="B104" s="133" t="s">
        <v>405</v>
      </c>
      <c r="C104" s="156" t="s">
        <v>137</v>
      </c>
      <c r="D104" s="147" t="s">
        <v>36</v>
      </c>
      <c r="E104" s="152">
        <v>1</v>
      </c>
      <c r="F104" s="147">
        <v>1</v>
      </c>
      <c r="G104" s="197">
        <f>VLOOKUP($A104,'INDEXACIÓN PRODUCTOS MES A MES'!$B$5:$W$396,22,0)</f>
        <v>9.1078394362652568E-2</v>
      </c>
      <c r="H104" s="198">
        <f>VLOOKUP($A104,'INDEXACIÓN PRODUCTOS MES A MES'!$B$5:$W$396,20,0)</f>
        <v>43354</v>
      </c>
      <c r="I104" s="198">
        <f t="shared" si="26"/>
        <v>6922</v>
      </c>
      <c r="J104" s="198">
        <f t="shared" si="27"/>
        <v>36432</v>
      </c>
      <c r="K104" s="199">
        <v>24</v>
      </c>
      <c r="L104" s="200">
        <f t="shared" si="23"/>
        <v>1806</v>
      </c>
      <c r="M104" s="200">
        <f t="shared" si="24"/>
        <v>1806</v>
      </c>
      <c r="N104" s="203">
        <f t="shared" si="25"/>
        <v>1806</v>
      </c>
      <c r="P104" s="130"/>
      <c r="Q104" s="130"/>
    </row>
    <row r="105" spans="1:17" ht="38.25">
      <c r="A105" s="143" t="s">
        <v>406</v>
      </c>
      <c r="B105" s="133" t="s">
        <v>407</v>
      </c>
      <c r="C105" s="78" t="s">
        <v>137</v>
      </c>
      <c r="D105" s="153" t="s">
        <v>36</v>
      </c>
      <c r="E105" s="152">
        <v>1</v>
      </c>
      <c r="F105" s="147">
        <v>1</v>
      </c>
      <c r="G105" s="197">
        <f>VLOOKUP($A105,'INDEXACIÓN PRODUCTOS MES A MES'!$B$5:$W$396,22,0)</f>
        <v>9.1078394362652568E-2</v>
      </c>
      <c r="H105" s="198">
        <f>VLOOKUP($A105,'INDEXACIÓN PRODUCTOS MES A MES'!$B$5:$W$396,20,0)</f>
        <v>43354</v>
      </c>
      <c r="I105" s="198">
        <f t="shared" si="26"/>
        <v>6922</v>
      </c>
      <c r="J105" s="198">
        <f t="shared" si="27"/>
        <v>36432</v>
      </c>
      <c r="K105" s="199">
        <v>24</v>
      </c>
      <c r="L105" s="200">
        <f t="shared" si="23"/>
        <v>1806</v>
      </c>
      <c r="M105" s="200">
        <f t="shared" si="24"/>
        <v>1806</v>
      </c>
      <c r="N105" s="203">
        <f t="shared" si="25"/>
        <v>1806</v>
      </c>
      <c r="P105" s="130"/>
      <c r="Q105" s="130"/>
    </row>
    <row r="106" spans="1:17" ht="38.25">
      <c r="A106" s="143" t="s">
        <v>410</v>
      </c>
      <c r="B106" s="133" t="s">
        <v>1496</v>
      </c>
      <c r="C106" s="78" t="s">
        <v>108</v>
      </c>
      <c r="D106" s="153" t="s">
        <v>52</v>
      </c>
      <c r="E106" s="152">
        <v>216</v>
      </c>
      <c r="F106" s="147">
        <v>300</v>
      </c>
      <c r="G106" s="197">
        <f>VLOOKUP($A106,'INDEXACIÓN PRODUCTOS MES A MES'!$B$5:$W$396,22,0)</f>
        <v>4.28867796361233E-2</v>
      </c>
      <c r="H106" s="198">
        <f>VLOOKUP($A106,'INDEXACIÓN PRODUCTOS MES A MES'!$B$5:$W$396,20,0)</f>
        <v>56805</v>
      </c>
      <c r="I106" s="198">
        <f t="shared" si="26"/>
        <v>9070</v>
      </c>
      <c r="J106" s="198">
        <f t="shared" si="27"/>
        <v>47735</v>
      </c>
      <c r="K106" s="199">
        <v>12</v>
      </c>
      <c r="L106" s="200">
        <f t="shared" si="23"/>
        <v>4734</v>
      </c>
      <c r="M106" s="200">
        <f t="shared" si="24"/>
        <v>1022544</v>
      </c>
      <c r="N106" s="203">
        <f t="shared" si="25"/>
        <v>1420200</v>
      </c>
      <c r="P106" s="130"/>
      <c r="Q106" s="130"/>
    </row>
    <row r="107" spans="1:17" ht="38.25">
      <c r="A107" s="157" t="s">
        <v>414</v>
      </c>
      <c r="B107" s="133" t="s">
        <v>415</v>
      </c>
      <c r="C107" s="78" t="s">
        <v>137</v>
      </c>
      <c r="D107" s="78" t="s">
        <v>44</v>
      </c>
      <c r="E107" s="142">
        <v>100</v>
      </c>
      <c r="F107" s="78">
        <v>130</v>
      </c>
      <c r="G107" s="197">
        <f>VLOOKUP($A107,'INDEXACIÓN PRODUCTOS MES A MES'!$B$5:$W$396,22,0)</f>
        <v>6.3091964558509017E-2</v>
      </c>
      <c r="H107" s="198">
        <f>VLOOKUP($A107,'INDEXACIÓN PRODUCTOS MES A MES'!$B$5:$W$396,20,0)</f>
        <v>6959</v>
      </c>
      <c r="I107" s="198">
        <f t="shared" si="26"/>
        <v>1111</v>
      </c>
      <c r="J107" s="198">
        <f t="shared" si="27"/>
        <v>5848</v>
      </c>
      <c r="K107" s="199">
        <v>24</v>
      </c>
      <c r="L107" s="200">
        <f t="shared" si="23"/>
        <v>290</v>
      </c>
      <c r="M107" s="200">
        <f t="shared" si="24"/>
        <v>29000</v>
      </c>
      <c r="N107" s="203">
        <f t="shared" si="25"/>
        <v>37700</v>
      </c>
      <c r="P107" s="130"/>
      <c r="Q107" s="130"/>
    </row>
    <row r="108" spans="1:17" ht="76.5">
      <c r="A108" s="143" t="s">
        <v>416</v>
      </c>
      <c r="B108" s="136" t="s">
        <v>417</v>
      </c>
      <c r="C108" s="156" t="s">
        <v>137</v>
      </c>
      <c r="D108" s="147" t="s">
        <v>36</v>
      </c>
      <c r="E108" s="142">
        <v>1</v>
      </c>
      <c r="F108" s="78">
        <v>1</v>
      </c>
      <c r="G108" s="197">
        <f>VLOOKUP($A108,'INDEXACIÓN PRODUCTOS MES A MES'!$B$5:$W$396,22,0)</f>
        <v>9.1311240820937681E-2</v>
      </c>
      <c r="H108" s="198">
        <f>VLOOKUP($A108,'INDEXACIÓN PRODUCTOS MES A MES'!$B$5:$W$396,20,0)</f>
        <v>2897977</v>
      </c>
      <c r="I108" s="198">
        <f t="shared" si="26"/>
        <v>462702</v>
      </c>
      <c r="J108" s="198">
        <f t="shared" si="27"/>
        <v>2435275</v>
      </c>
      <c r="K108" s="199">
        <v>60</v>
      </c>
      <c r="L108" s="200">
        <f t="shared" si="23"/>
        <v>48300</v>
      </c>
      <c r="M108" s="142">
        <f t="shared" si="24"/>
        <v>48300</v>
      </c>
      <c r="N108" s="203">
        <f t="shared" si="25"/>
        <v>48300</v>
      </c>
      <c r="P108" s="130"/>
      <c r="Q108" s="130"/>
    </row>
    <row r="109" spans="1:17" ht="38.25">
      <c r="A109" s="143" t="s">
        <v>418</v>
      </c>
      <c r="B109" s="133" t="s">
        <v>419</v>
      </c>
      <c r="C109" s="156" t="s">
        <v>137</v>
      </c>
      <c r="D109" s="147" t="s">
        <v>38</v>
      </c>
      <c r="E109" s="142">
        <v>2</v>
      </c>
      <c r="F109" s="78">
        <v>2</v>
      </c>
      <c r="G109" s="197">
        <f>VLOOKUP($A109,'INDEXACIÓN PRODUCTOS MES A MES'!$B$5:$W$396,22,0)</f>
        <v>7.9970483752589805E-2</v>
      </c>
      <c r="H109" s="198">
        <f>VLOOKUP($A109,'INDEXACIÓN PRODUCTOS MES A MES'!$B$5:$W$396,20,0)</f>
        <v>1362575</v>
      </c>
      <c r="I109" s="198">
        <f t="shared" si="26"/>
        <v>217554</v>
      </c>
      <c r="J109" s="198">
        <f t="shared" si="27"/>
        <v>1145021</v>
      </c>
      <c r="K109" s="199">
        <v>60</v>
      </c>
      <c r="L109" s="200">
        <f t="shared" si="23"/>
        <v>22710</v>
      </c>
      <c r="M109" s="142">
        <f t="shared" si="24"/>
        <v>45420</v>
      </c>
      <c r="N109" s="203">
        <f t="shared" si="25"/>
        <v>45420</v>
      </c>
      <c r="P109" s="130"/>
      <c r="Q109" s="130"/>
    </row>
    <row r="110" spans="1:17" ht="38.25">
      <c r="A110" s="158" t="s">
        <v>420</v>
      </c>
      <c r="B110" s="146" t="s">
        <v>421</v>
      </c>
      <c r="C110" s="78" t="s">
        <v>137</v>
      </c>
      <c r="D110" s="147" t="s">
        <v>84</v>
      </c>
      <c r="E110" s="142">
        <v>1</v>
      </c>
      <c r="F110" s="78">
        <v>1</v>
      </c>
      <c r="G110" s="197">
        <f>VLOOKUP($A110,'INDEXACIÓN PRODUCTOS MES A MES'!$B$5:$W$396,22,0)</f>
        <v>0</v>
      </c>
      <c r="H110" s="198">
        <f>VLOOKUP($A110,'INDEXACIÓN PRODUCTOS MES A MES'!$B$5:$W$396,20,0)</f>
        <v>3063900</v>
      </c>
      <c r="I110" s="198">
        <f t="shared" si="26"/>
        <v>489194</v>
      </c>
      <c r="J110" s="198">
        <f t="shared" si="27"/>
        <v>2574706</v>
      </c>
      <c r="K110" s="199">
        <v>60</v>
      </c>
      <c r="L110" s="200">
        <f t="shared" si="23"/>
        <v>51065</v>
      </c>
      <c r="M110" s="142">
        <f t="shared" ref="M110:M111" si="43">ROUND((L110*E110),0)</f>
        <v>51065</v>
      </c>
      <c r="N110" s="203">
        <f t="shared" si="25"/>
        <v>51065</v>
      </c>
      <c r="P110" s="130"/>
      <c r="Q110" s="130"/>
    </row>
    <row r="111" spans="1:17" ht="51">
      <c r="A111" s="132" t="s">
        <v>348</v>
      </c>
      <c r="B111" s="133" t="s">
        <v>349</v>
      </c>
      <c r="C111" s="78" t="s">
        <v>108</v>
      </c>
      <c r="D111" s="134" t="s">
        <v>84</v>
      </c>
      <c r="E111" s="142">
        <v>8</v>
      </c>
      <c r="F111" s="78">
        <v>10</v>
      </c>
      <c r="G111" s="197">
        <f>VLOOKUP($A111,'INDEXACIÓN PRODUCTOS MES A MES'!$B$5:$W$396,22,0)</f>
        <v>0</v>
      </c>
      <c r="H111" s="198">
        <f>VLOOKUP($A111,'INDEXACIÓN PRODUCTOS MES A MES'!$B$5:$W$396,20,0)</f>
        <v>339849</v>
      </c>
      <c r="I111" s="198">
        <f t="shared" si="26"/>
        <v>54262</v>
      </c>
      <c r="J111" s="198">
        <f t="shared" si="27"/>
        <v>285587</v>
      </c>
      <c r="K111" s="200">
        <v>60</v>
      </c>
      <c r="L111" s="200">
        <f t="shared" si="23"/>
        <v>5664</v>
      </c>
      <c r="M111" s="142">
        <f t="shared" si="43"/>
        <v>45312</v>
      </c>
      <c r="N111" s="203">
        <f t="shared" si="25"/>
        <v>56640</v>
      </c>
      <c r="P111" s="130"/>
      <c r="Q111" s="130"/>
    </row>
    <row r="112" spans="1:17">
      <c r="A112" s="159"/>
      <c r="B112" s="160"/>
      <c r="C112" s="161"/>
      <c r="D112" s="162"/>
      <c r="E112" s="165"/>
      <c r="F112" s="165"/>
      <c r="G112" s="128"/>
      <c r="H112" s="128"/>
      <c r="I112" s="128"/>
      <c r="J112" s="128"/>
      <c r="K112" s="163"/>
      <c r="L112" s="164"/>
      <c r="M112" s="164"/>
      <c r="N112" s="164"/>
    </row>
    <row r="113" spans="11:14" ht="15">
      <c r="K113" s="414" t="s">
        <v>1497</v>
      </c>
      <c r="L113" s="415"/>
      <c r="M113" s="166">
        <f>SUM(M7:M111)</f>
        <v>15130791</v>
      </c>
      <c r="N113" s="166">
        <f>SUM(N7:N111)</f>
        <v>19253061</v>
      </c>
    </row>
    <row r="114" spans="11:14" ht="15">
      <c r="K114" s="414" t="s">
        <v>1498</v>
      </c>
      <c r="L114" s="415"/>
      <c r="M114" s="166">
        <f>ROUND(M113/30,0)</f>
        <v>504360</v>
      </c>
      <c r="N114" s="166">
        <f>ROUND(N113/30,0)</f>
        <v>641769</v>
      </c>
    </row>
    <row r="115" spans="11:14" ht="15">
      <c r="K115" s="414" t="s">
        <v>1499</v>
      </c>
      <c r="L115" s="415"/>
      <c r="M115" s="166">
        <f>ROUND(M114/M6,0)</f>
        <v>5044</v>
      </c>
      <c r="N115" s="166">
        <f>ROUND(N114/N6,0)</f>
        <v>4937</v>
      </c>
    </row>
  </sheetData>
  <autoFilter ref="A6:Q111" xr:uid="{00000000-0009-0000-0000-00000D000000}">
    <sortState xmlns:xlrd2="http://schemas.microsoft.com/office/spreadsheetml/2017/richdata2" ref="A8:Q112">
      <sortCondition ref="A6"/>
    </sortState>
  </autoFilter>
  <mergeCells count="15">
    <mergeCell ref="A1:L1"/>
    <mergeCell ref="A2:N2"/>
    <mergeCell ref="A3:N3"/>
    <mergeCell ref="H5:H6"/>
    <mergeCell ref="I5:I6"/>
    <mergeCell ref="K5:K6"/>
    <mergeCell ref="M5:N5"/>
    <mergeCell ref="E5:F5"/>
    <mergeCell ref="L5:L6"/>
    <mergeCell ref="A5:A6"/>
    <mergeCell ref="B5:B6"/>
    <mergeCell ref="C5:C6"/>
    <mergeCell ref="G5:G6"/>
    <mergeCell ref="D5:D6"/>
    <mergeCell ref="J5:J6"/>
  </mergeCells>
  <conditionalFormatting sqref="D7:F111">
    <cfRule type="containsBlanks" dxfId="8" priority="3">
      <formula>LEN(TRIM(D7))=0</formula>
    </cfRule>
  </conditionalFormatting>
  <pageMargins left="0.7" right="0.7" top="0.75" bottom="0.75" header="0.3" footer="0.3"/>
  <legacyDrawing r:id="rId1"/>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00B050"/>
  </sheetPr>
  <dimension ref="A1:N45"/>
  <sheetViews>
    <sheetView showGridLines="0" topLeftCell="A26" workbookViewId="0">
      <selection activeCell="C15" sqref="C15"/>
    </sheetView>
  </sheetViews>
  <sheetFormatPr defaultColWidth="9.140625" defaultRowHeight="12.75"/>
  <cols>
    <col min="1" max="1" width="37" style="85" customWidth="1"/>
    <col min="2" max="2" width="48.28515625" style="85" customWidth="1"/>
    <col min="3" max="3" width="11.85546875" style="85" customWidth="1"/>
    <col min="4" max="4" width="9.140625" style="85" customWidth="1"/>
    <col min="5" max="5" width="11.140625" style="85" customWidth="1"/>
    <col min="6" max="6" width="9.140625" style="85" customWidth="1"/>
    <col min="7" max="7" width="16.140625" style="85" customWidth="1"/>
    <col min="8" max="8" width="14.28515625" style="85" customWidth="1"/>
    <col min="9" max="15" width="14.42578125" style="85" customWidth="1"/>
    <col min="16" max="16" width="9.140625" style="85" customWidth="1"/>
    <col min="17" max="16384" width="9.140625" style="85"/>
  </cols>
  <sheetData>
    <row r="1" spans="1:14" ht="15">
      <c r="A1" s="363" t="s">
        <v>1500</v>
      </c>
      <c r="B1" s="129"/>
      <c r="C1" s="364"/>
      <c r="D1" s="364"/>
      <c r="E1" s="129"/>
      <c r="F1" s="129"/>
      <c r="G1" s="129"/>
      <c r="H1" s="129"/>
      <c r="I1" s="129"/>
      <c r="J1" s="129"/>
      <c r="K1" s="129"/>
      <c r="L1" s="594"/>
      <c r="M1" s="594"/>
      <c r="N1" s="594"/>
    </row>
    <row r="2" spans="1:14" ht="27.75" customHeight="1">
      <c r="A2" s="740" t="s">
        <v>1501</v>
      </c>
      <c r="B2" s="740"/>
      <c r="C2" s="740"/>
      <c r="D2" s="740"/>
      <c r="E2" s="740"/>
      <c r="F2" s="740"/>
      <c r="G2" s="740"/>
      <c r="H2" s="740"/>
      <c r="I2" s="740"/>
      <c r="J2" s="740"/>
      <c r="K2" s="740"/>
      <c r="L2" s="740"/>
      <c r="M2" s="740"/>
      <c r="N2" s="740"/>
    </row>
    <row r="3" spans="1:14" ht="15">
      <c r="A3" s="594"/>
      <c r="B3" s="594"/>
      <c r="C3" s="594"/>
      <c r="D3" s="594"/>
      <c r="E3" s="594"/>
      <c r="F3" s="594"/>
      <c r="G3" s="594"/>
      <c r="H3" s="594"/>
      <c r="I3" s="594"/>
      <c r="J3" s="594"/>
      <c r="K3" s="594"/>
      <c r="L3" s="594"/>
      <c r="M3" s="594"/>
      <c r="N3" s="594"/>
    </row>
    <row r="4" spans="1:14">
      <c r="A4" s="806" t="s">
        <v>87</v>
      </c>
      <c r="B4" s="809" t="s">
        <v>1216</v>
      </c>
      <c r="C4" s="814" t="s">
        <v>1172</v>
      </c>
      <c r="D4" s="815"/>
      <c r="E4" s="705" t="s">
        <v>1502</v>
      </c>
      <c r="F4" s="811"/>
      <c r="G4" s="818" t="s">
        <v>89</v>
      </c>
      <c r="H4" s="818" t="s">
        <v>90</v>
      </c>
      <c r="I4" s="803" t="s">
        <v>1503</v>
      </c>
      <c r="J4" s="819" t="s">
        <v>1174</v>
      </c>
      <c r="K4" s="803" t="s">
        <v>1175</v>
      </c>
      <c r="L4" s="803" t="s">
        <v>1176</v>
      </c>
      <c r="M4" s="816" t="s">
        <v>1220</v>
      </c>
      <c r="N4" s="817"/>
    </row>
    <row r="5" spans="1:14">
      <c r="A5" s="807"/>
      <c r="B5" s="718"/>
      <c r="C5" s="812"/>
      <c r="D5" s="813"/>
      <c r="E5" s="812"/>
      <c r="F5" s="813"/>
      <c r="G5" s="818"/>
      <c r="H5" s="818"/>
      <c r="I5" s="822"/>
      <c r="J5" s="820"/>
      <c r="K5" s="822"/>
      <c r="L5" s="822"/>
      <c r="M5" s="592" t="s">
        <v>1180</v>
      </c>
      <c r="N5" s="593" t="s">
        <v>1180</v>
      </c>
    </row>
    <row r="6" spans="1:14">
      <c r="A6" s="808"/>
      <c r="B6" s="810"/>
      <c r="C6" s="593">
        <v>100</v>
      </c>
      <c r="D6" s="593">
        <v>130</v>
      </c>
      <c r="E6" s="593">
        <v>100</v>
      </c>
      <c r="F6" s="593">
        <v>130</v>
      </c>
      <c r="G6" s="818"/>
      <c r="H6" s="818"/>
      <c r="I6" s="804"/>
      <c r="J6" s="821"/>
      <c r="K6" s="804"/>
      <c r="L6" s="804"/>
      <c r="M6" s="593">
        <v>100</v>
      </c>
      <c r="N6" s="593">
        <v>130</v>
      </c>
    </row>
    <row r="7" spans="1:14">
      <c r="A7" s="212" t="s">
        <v>583</v>
      </c>
      <c r="B7" s="204" t="s">
        <v>584</v>
      </c>
      <c r="C7" s="205">
        <v>103</v>
      </c>
      <c r="D7" s="205">
        <v>133</v>
      </c>
      <c r="E7" s="205">
        <v>9</v>
      </c>
      <c r="F7" s="205">
        <v>11</v>
      </c>
      <c r="G7" s="76" t="s">
        <v>585</v>
      </c>
      <c r="H7" s="77" t="s">
        <v>42</v>
      </c>
      <c r="I7" s="210">
        <f>VLOOKUP($A7,'INDEXACIÓN PRODUCTOS MES A MES'!$B$5:$W$396,22,0)</f>
        <v>6.5800865800865804E-2</v>
      </c>
      <c r="J7" s="209">
        <f>VLOOKUP($A7,'INDEXACIÓN PRODUCTOS MES A MES'!$B$5:$W$396,20,0)</f>
        <v>4924</v>
      </c>
      <c r="K7" s="209">
        <f>J7-L7</f>
        <v>786</v>
      </c>
      <c r="L7" s="211">
        <f>ROUND((J7/1.19),0)</f>
        <v>4138</v>
      </c>
      <c r="M7" s="209">
        <f>ROUND((E7*$J7),0)</f>
        <v>44316</v>
      </c>
      <c r="N7" s="209">
        <f>ROUND((F7*$J7),0)</f>
        <v>54164</v>
      </c>
    </row>
    <row r="8" spans="1:14">
      <c r="A8" s="212" t="s">
        <v>529</v>
      </c>
      <c r="B8" s="204" t="s">
        <v>528</v>
      </c>
      <c r="C8" s="205">
        <v>103</v>
      </c>
      <c r="D8" s="205">
        <v>133</v>
      </c>
      <c r="E8" s="205">
        <v>9</v>
      </c>
      <c r="F8" s="205">
        <v>11</v>
      </c>
      <c r="G8" s="76" t="s">
        <v>528</v>
      </c>
      <c r="H8" s="77" t="s">
        <v>42</v>
      </c>
      <c r="I8" s="210">
        <f>VLOOKUP($A8,'INDEXACIÓN PRODUCTOS MES A MES'!$B$5:$W$396,22,0)</f>
        <v>6.6155707946752726E-2</v>
      </c>
      <c r="J8" s="209">
        <f>VLOOKUP($A8,'INDEXACIÓN PRODUCTOS MES A MES'!$B$5:$W$396,20,0)</f>
        <v>7929</v>
      </c>
      <c r="K8" s="209">
        <f t="shared" ref="K8:K41" si="0">J8-L8</f>
        <v>1266</v>
      </c>
      <c r="L8" s="211">
        <f t="shared" ref="L8:L41" si="1">ROUND((J8/1.19),0)</f>
        <v>6663</v>
      </c>
      <c r="M8" s="209">
        <f t="shared" ref="M8:M41" si="2">ROUND((E8*$J8),0)</f>
        <v>71361</v>
      </c>
      <c r="N8" s="209">
        <f t="shared" ref="N8:N41" si="3">ROUND((F8*$J8),0)</f>
        <v>87219</v>
      </c>
    </row>
    <row r="9" spans="1:14">
      <c r="A9" s="212" t="s">
        <v>588</v>
      </c>
      <c r="B9" s="204" t="s">
        <v>528</v>
      </c>
      <c r="C9" s="205">
        <v>347</v>
      </c>
      <c r="D9" s="205">
        <v>450</v>
      </c>
      <c r="E9" s="205">
        <v>29</v>
      </c>
      <c r="F9" s="205">
        <v>38</v>
      </c>
      <c r="G9" s="76" t="s">
        <v>528</v>
      </c>
      <c r="H9" s="77" t="s">
        <v>42</v>
      </c>
      <c r="I9" s="210">
        <f>VLOOKUP($A9,'INDEXACIÓN PRODUCTOS MES A MES'!$B$5:$W$396,22,0)</f>
        <v>6.0109289617486336E-2</v>
      </c>
      <c r="J9" s="209">
        <f>VLOOKUP($A9,'INDEXACIÓN PRODUCTOS MES A MES'!$B$5:$W$396,20,0)</f>
        <v>776</v>
      </c>
      <c r="K9" s="209">
        <f t="shared" si="0"/>
        <v>124</v>
      </c>
      <c r="L9" s="211">
        <f t="shared" si="1"/>
        <v>652</v>
      </c>
      <c r="M9" s="209">
        <f t="shared" si="2"/>
        <v>22504</v>
      </c>
      <c r="N9" s="209">
        <f t="shared" si="3"/>
        <v>29488</v>
      </c>
    </row>
    <row r="10" spans="1:14">
      <c r="A10" s="212" t="s">
        <v>603</v>
      </c>
      <c r="B10" s="204" t="s">
        <v>605</v>
      </c>
      <c r="C10" s="205">
        <v>31</v>
      </c>
      <c r="D10" s="205">
        <v>40</v>
      </c>
      <c r="E10" s="205">
        <v>3</v>
      </c>
      <c r="F10" s="205">
        <v>3</v>
      </c>
      <c r="G10" s="76" t="s">
        <v>605</v>
      </c>
      <c r="H10" s="77" t="s">
        <v>42</v>
      </c>
      <c r="I10" s="210">
        <f>VLOOKUP($A10,'INDEXACIÓN PRODUCTOS MES A MES'!$B$5:$W$396,22,0)</f>
        <v>6.6847457627118648E-2</v>
      </c>
      <c r="J10" s="209">
        <f>VLOOKUP($A10,'INDEXACIÓN PRODUCTOS MES A MES'!$B$5:$W$396,20,0)</f>
        <v>31472</v>
      </c>
      <c r="K10" s="209">
        <f t="shared" si="0"/>
        <v>5025</v>
      </c>
      <c r="L10" s="211">
        <f t="shared" si="1"/>
        <v>26447</v>
      </c>
      <c r="M10" s="209">
        <f t="shared" si="2"/>
        <v>94416</v>
      </c>
      <c r="N10" s="209">
        <f t="shared" si="3"/>
        <v>94416</v>
      </c>
    </row>
    <row r="11" spans="1:14">
      <c r="A11" s="212" t="s">
        <v>530</v>
      </c>
      <c r="B11" s="204" t="s">
        <v>531</v>
      </c>
      <c r="C11" s="205">
        <v>70</v>
      </c>
      <c r="D11" s="205">
        <v>90</v>
      </c>
      <c r="E11" s="205">
        <v>6</v>
      </c>
      <c r="F11" s="205">
        <v>8</v>
      </c>
      <c r="G11" s="76" t="s">
        <v>1504</v>
      </c>
      <c r="H11" s="77" t="s">
        <v>42</v>
      </c>
      <c r="I11" s="210">
        <f>VLOOKUP($A11,'INDEXACIÓN PRODUCTOS MES A MES'!$B$5:$W$396,22,0)</f>
        <v>6.5963606286186929E-2</v>
      </c>
      <c r="J11" s="209">
        <f>VLOOKUP($A11,'INDEXACIÓN PRODUCTOS MES A MES'!$B$5:$W$396,20,0)</f>
        <v>5155</v>
      </c>
      <c r="K11" s="209">
        <f t="shared" si="0"/>
        <v>823</v>
      </c>
      <c r="L11" s="211">
        <f t="shared" si="1"/>
        <v>4332</v>
      </c>
      <c r="M11" s="209">
        <f t="shared" si="2"/>
        <v>30930</v>
      </c>
      <c r="N11" s="209">
        <f t="shared" si="3"/>
        <v>41240</v>
      </c>
    </row>
    <row r="12" spans="1:14">
      <c r="A12" s="212" t="s">
        <v>533</v>
      </c>
      <c r="B12" s="204" t="s">
        <v>528</v>
      </c>
      <c r="C12" s="205">
        <v>103</v>
      </c>
      <c r="D12" s="205">
        <v>133</v>
      </c>
      <c r="E12" s="205">
        <v>9</v>
      </c>
      <c r="F12" s="205">
        <v>11</v>
      </c>
      <c r="G12" s="76" t="s">
        <v>465</v>
      </c>
      <c r="H12" s="77" t="s">
        <v>42</v>
      </c>
      <c r="I12" s="210">
        <f>VLOOKUP($A12,'INDEXACIÓN PRODUCTOS MES A MES'!$B$5:$W$396,22,0)</f>
        <v>6.5399020455200227E-2</v>
      </c>
      <c r="J12" s="209">
        <f>VLOOKUP($A12,'INDEXACIÓN PRODUCTOS MES A MES'!$B$5:$W$396,20,0)</f>
        <v>3698</v>
      </c>
      <c r="K12" s="209">
        <f t="shared" si="0"/>
        <v>590</v>
      </c>
      <c r="L12" s="211">
        <f t="shared" si="1"/>
        <v>3108</v>
      </c>
      <c r="M12" s="209">
        <f t="shared" si="2"/>
        <v>33282</v>
      </c>
      <c r="N12" s="209">
        <f t="shared" si="3"/>
        <v>40678</v>
      </c>
    </row>
    <row r="13" spans="1:14">
      <c r="A13" s="212" t="s">
        <v>527</v>
      </c>
      <c r="B13" s="204" t="s">
        <v>528</v>
      </c>
      <c r="C13" s="205">
        <v>624</v>
      </c>
      <c r="D13" s="205">
        <v>810</v>
      </c>
      <c r="E13" s="205">
        <v>52</v>
      </c>
      <c r="F13" s="205">
        <v>68</v>
      </c>
      <c r="G13" s="76" t="s">
        <v>528</v>
      </c>
      <c r="H13" s="77" t="s">
        <v>42</v>
      </c>
      <c r="I13" s="210">
        <f>VLOOKUP($A13,'INDEXACIÓN PRODUCTOS MES A MES'!$B$5:$W$396,22,0)</f>
        <v>6.5963606286186929E-2</v>
      </c>
      <c r="J13" s="209">
        <f>VLOOKUP($A13,'INDEXACIÓN PRODUCTOS MES A MES'!$B$5:$W$396,20,0)</f>
        <v>5155</v>
      </c>
      <c r="K13" s="209">
        <f t="shared" si="0"/>
        <v>823</v>
      </c>
      <c r="L13" s="211">
        <f t="shared" si="1"/>
        <v>4332</v>
      </c>
      <c r="M13" s="209">
        <f t="shared" si="2"/>
        <v>268060</v>
      </c>
      <c r="N13" s="209">
        <f t="shared" si="3"/>
        <v>350540</v>
      </c>
    </row>
    <row r="14" spans="1:14">
      <c r="A14" s="212" t="s">
        <v>586</v>
      </c>
      <c r="B14" s="204" t="s">
        <v>587</v>
      </c>
      <c r="C14" s="205">
        <v>4</v>
      </c>
      <c r="D14" s="205">
        <v>4</v>
      </c>
      <c r="E14" s="205">
        <v>0</v>
      </c>
      <c r="F14" s="205">
        <v>0</v>
      </c>
      <c r="G14" s="76" t="s">
        <v>538</v>
      </c>
      <c r="H14" s="77" t="s">
        <v>42</v>
      </c>
      <c r="I14" s="210">
        <f>VLOOKUP($A14,'INDEXACIÓN PRODUCTOS MES A MES'!$B$5:$W$396,22,0)</f>
        <v>6.6956446644981141E-2</v>
      </c>
      <c r="J14" s="209">
        <f>VLOOKUP($A14,'INDEXACIÓN PRODUCTOS MES A MES'!$B$5:$W$396,20,0)</f>
        <v>74130</v>
      </c>
      <c r="K14" s="209">
        <f t="shared" si="0"/>
        <v>11836</v>
      </c>
      <c r="L14" s="211">
        <f t="shared" si="1"/>
        <v>62294</v>
      </c>
      <c r="M14" s="209">
        <f t="shared" ref="M14" si="4">ROUND((E14*$J14),0)</f>
        <v>0</v>
      </c>
      <c r="N14" s="209">
        <f t="shared" ref="N14" si="5">ROUND((F14*$J14),0)</f>
        <v>0</v>
      </c>
    </row>
    <row r="15" spans="1:14">
      <c r="A15" s="215" t="s">
        <v>809</v>
      </c>
      <c r="B15" s="204" t="s">
        <v>1505</v>
      </c>
      <c r="C15" s="205">
        <v>46</v>
      </c>
      <c r="D15" s="205">
        <v>59</v>
      </c>
      <c r="E15" s="205">
        <v>4</v>
      </c>
      <c r="F15" s="205">
        <v>5</v>
      </c>
      <c r="G15" s="76" t="s">
        <v>108</v>
      </c>
      <c r="H15" s="82" t="s">
        <v>64</v>
      </c>
      <c r="I15" s="210">
        <f>VLOOKUP($A15,'INDEXACIÓN PRODUCTOS MES A MES'!$B$5:$W$393,22,0)</f>
        <v>0</v>
      </c>
      <c r="J15" s="209">
        <f>VLOOKUP($A15,'INDEXACIÓN PRODUCTOS MES A MES'!$B$5:$W$396,20,0)</f>
        <v>17229</v>
      </c>
      <c r="K15" s="209">
        <f t="shared" si="0"/>
        <v>2751</v>
      </c>
      <c r="L15" s="211">
        <f t="shared" si="1"/>
        <v>14478</v>
      </c>
      <c r="M15" s="209">
        <f t="shared" si="2"/>
        <v>68916</v>
      </c>
      <c r="N15" s="209">
        <f t="shared" si="3"/>
        <v>86145</v>
      </c>
    </row>
    <row r="16" spans="1:14" ht="25.5">
      <c r="A16" s="212" t="s">
        <v>580</v>
      </c>
      <c r="B16" s="204" t="s">
        <v>582</v>
      </c>
      <c r="C16" s="205">
        <v>6</v>
      </c>
      <c r="D16" s="205">
        <v>7</v>
      </c>
      <c r="E16" s="205">
        <v>1</v>
      </c>
      <c r="F16" s="205">
        <v>1</v>
      </c>
      <c r="G16" s="76" t="s">
        <v>1506</v>
      </c>
      <c r="H16" s="77" t="s">
        <v>42</v>
      </c>
      <c r="I16" s="210">
        <f>VLOOKUP($A16,'INDEXACIÓN PRODUCTOS MES A MES'!$B$5:$W$396,22,0)</f>
        <v>6.6946653325609562E-2</v>
      </c>
      <c r="J16" s="209">
        <f>VLOOKUP($A16,'INDEXACIÓN PRODUCTOS MES A MES'!$B$5:$W$396,20,0)</f>
        <v>81041</v>
      </c>
      <c r="K16" s="209">
        <f t="shared" si="0"/>
        <v>12939</v>
      </c>
      <c r="L16" s="211">
        <f t="shared" si="1"/>
        <v>68102</v>
      </c>
      <c r="M16" s="209">
        <f t="shared" si="2"/>
        <v>81041</v>
      </c>
      <c r="N16" s="209">
        <f t="shared" si="3"/>
        <v>81041</v>
      </c>
    </row>
    <row r="17" spans="1:14">
      <c r="A17" s="212" t="s">
        <v>537</v>
      </c>
      <c r="B17" s="204" t="s">
        <v>535</v>
      </c>
      <c r="C17" s="205">
        <v>39</v>
      </c>
      <c r="D17" s="205">
        <v>50</v>
      </c>
      <c r="E17" s="205">
        <v>3</v>
      </c>
      <c r="F17" s="205">
        <v>4</v>
      </c>
      <c r="G17" s="76" t="s">
        <v>538</v>
      </c>
      <c r="H17" s="77" t="s">
        <v>42</v>
      </c>
      <c r="I17" s="210">
        <f>VLOOKUP($A17,'INDEXACIÓN PRODUCTOS MES A MES'!$B$5:$W$396,22,0)</f>
        <v>6.6464155528554072E-2</v>
      </c>
      <c r="J17" s="209">
        <f>VLOOKUP($A17,'INDEXACIÓN PRODUCTOS MES A MES'!$B$5:$W$396,20,0)</f>
        <v>8777</v>
      </c>
      <c r="K17" s="209">
        <f t="shared" si="0"/>
        <v>1401</v>
      </c>
      <c r="L17" s="211">
        <f t="shared" si="1"/>
        <v>7376</v>
      </c>
      <c r="M17" s="209">
        <f t="shared" si="2"/>
        <v>26331</v>
      </c>
      <c r="N17" s="209">
        <f t="shared" si="3"/>
        <v>35108</v>
      </c>
    </row>
    <row r="18" spans="1:14">
      <c r="A18" s="212" t="s">
        <v>534</v>
      </c>
      <c r="B18" s="204" t="s">
        <v>535</v>
      </c>
      <c r="C18" s="205">
        <v>39</v>
      </c>
      <c r="D18" s="205">
        <v>50</v>
      </c>
      <c r="E18" s="205">
        <v>3</v>
      </c>
      <c r="F18" s="205">
        <v>4</v>
      </c>
      <c r="G18" s="76" t="s">
        <v>536</v>
      </c>
      <c r="H18" s="77" t="s">
        <v>42</v>
      </c>
      <c r="I18" s="210">
        <f>VLOOKUP($A18,'INDEXACIÓN PRODUCTOS MES A MES'!$B$5:$W$396,22,0)</f>
        <v>6.6559391456992398E-2</v>
      </c>
      <c r="J18" s="209">
        <f>VLOOKUP($A18,'INDEXACIÓN PRODUCTOS MES A MES'!$B$5:$W$396,20,0)</f>
        <v>14582</v>
      </c>
      <c r="K18" s="209">
        <f t="shared" si="0"/>
        <v>2328</v>
      </c>
      <c r="L18" s="211">
        <f t="shared" si="1"/>
        <v>12254</v>
      </c>
      <c r="M18" s="209">
        <f t="shared" si="2"/>
        <v>43746</v>
      </c>
      <c r="N18" s="209">
        <f t="shared" si="3"/>
        <v>58328</v>
      </c>
    </row>
    <row r="19" spans="1:14" ht="25.5">
      <c r="A19" s="212" t="s">
        <v>524</v>
      </c>
      <c r="B19" s="206" t="s">
        <v>1507</v>
      </c>
      <c r="C19" s="205">
        <v>31</v>
      </c>
      <c r="D19" s="205">
        <v>40</v>
      </c>
      <c r="E19" s="205">
        <v>3</v>
      </c>
      <c r="F19" s="205">
        <v>3</v>
      </c>
      <c r="G19" s="76" t="s">
        <v>569</v>
      </c>
      <c r="H19" s="77" t="s">
        <v>36</v>
      </c>
      <c r="I19" s="210">
        <f>VLOOKUP($A19,'INDEXACIÓN PRODUCTOS MES A MES'!$B$5:$W$396,22,0)</f>
        <v>9.1132710816038978E-2</v>
      </c>
      <c r="J19" s="209">
        <f>VLOOKUP($A19,'INDEXACIÓN PRODUCTOS MES A MES'!$B$5:$W$396,20,0)</f>
        <v>45689</v>
      </c>
      <c r="K19" s="209">
        <f t="shared" si="0"/>
        <v>7295</v>
      </c>
      <c r="L19" s="211">
        <f t="shared" si="1"/>
        <v>38394</v>
      </c>
      <c r="M19" s="209">
        <f t="shared" si="2"/>
        <v>137067</v>
      </c>
      <c r="N19" s="209">
        <f t="shared" si="3"/>
        <v>137067</v>
      </c>
    </row>
    <row r="20" spans="1:14">
      <c r="A20" s="212" t="s">
        <v>544</v>
      </c>
      <c r="B20" s="204" t="s">
        <v>1508</v>
      </c>
      <c r="C20" s="205">
        <v>31</v>
      </c>
      <c r="D20" s="205">
        <v>40</v>
      </c>
      <c r="E20" s="205">
        <v>3</v>
      </c>
      <c r="F20" s="205">
        <v>3</v>
      </c>
      <c r="G20" s="76" t="s">
        <v>1509</v>
      </c>
      <c r="H20" s="77" t="s">
        <v>42</v>
      </c>
      <c r="I20" s="210">
        <f>VLOOKUP($A20,'INDEXACIÓN PRODUCTOS MES A MES'!$B$5:$W$396,22,0)</f>
        <v>6.6613719845130551E-2</v>
      </c>
      <c r="J20" s="209">
        <f>VLOOKUP($A20,'INDEXACIÓN PRODUCTOS MES A MES'!$B$5:$W$396,20,0)</f>
        <v>10744</v>
      </c>
      <c r="K20" s="209">
        <f t="shared" si="0"/>
        <v>1715</v>
      </c>
      <c r="L20" s="211">
        <f t="shared" si="1"/>
        <v>9029</v>
      </c>
      <c r="M20" s="209">
        <f t="shared" si="2"/>
        <v>32232</v>
      </c>
      <c r="N20" s="209">
        <f t="shared" si="3"/>
        <v>32232</v>
      </c>
    </row>
    <row r="21" spans="1:14">
      <c r="A21" s="212" t="s">
        <v>567</v>
      </c>
      <c r="B21" s="204" t="s">
        <v>1510</v>
      </c>
      <c r="C21" s="205">
        <v>31</v>
      </c>
      <c r="D21" s="205">
        <v>40</v>
      </c>
      <c r="E21" s="205">
        <v>3</v>
      </c>
      <c r="F21" s="205">
        <v>3</v>
      </c>
      <c r="G21" s="76" t="s">
        <v>1511</v>
      </c>
      <c r="H21" s="77" t="s">
        <v>42</v>
      </c>
      <c r="I21" s="210">
        <f>VLOOKUP($A21,'INDEXACIÓN PRODUCTOS MES A MES'!$B$5:$W$396,22,0)</f>
        <v>6.6662928907826866E-2</v>
      </c>
      <c r="J21" s="209">
        <f>VLOOKUP($A21,'INDEXACIÓN PRODUCTOS MES A MES'!$B$5:$W$396,20,0)</f>
        <v>19025</v>
      </c>
      <c r="K21" s="209">
        <f t="shared" si="0"/>
        <v>3038</v>
      </c>
      <c r="L21" s="211">
        <f t="shared" si="1"/>
        <v>15987</v>
      </c>
      <c r="M21" s="209">
        <f t="shared" si="2"/>
        <v>57075</v>
      </c>
      <c r="N21" s="209">
        <f t="shared" si="3"/>
        <v>57075</v>
      </c>
    </row>
    <row r="22" spans="1:14">
      <c r="A22" s="212" t="s">
        <v>615</v>
      </c>
      <c r="B22" s="204" t="s">
        <v>1512</v>
      </c>
      <c r="C22" s="205">
        <v>39</v>
      </c>
      <c r="D22" s="205">
        <v>50</v>
      </c>
      <c r="E22" s="205">
        <v>3</v>
      </c>
      <c r="F22" s="205">
        <v>4</v>
      </c>
      <c r="G22" s="76" t="s">
        <v>108</v>
      </c>
      <c r="H22" s="77" t="s">
        <v>42</v>
      </c>
      <c r="I22" s="210">
        <f>VLOOKUP($A22,'INDEXACIÓN PRODUCTOS MES A MES'!$B$5:$W$396,22,0)</f>
        <v>6.3978494623655915E-2</v>
      </c>
      <c r="J22" s="209">
        <f>VLOOKUP($A22,'INDEXACIÓN PRODUCTOS MES A MES'!$B$5:$W$396,20,0)</f>
        <v>1979</v>
      </c>
      <c r="K22" s="209">
        <f t="shared" si="0"/>
        <v>316</v>
      </c>
      <c r="L22" s="211">
        <f t="shared" si="1"/>
        <v>1663</v>
      </c>
      <c r="M22" s="209">
        <f t="shared" si="2"/>
        <v>5937</v>
      </c>
      <c r="N22" s="209">
        <f t="shared" si="3"/>
        <v>7916</v>
      </c>
    </row>
    <row r="23" spans="1:14">
      <c r="A23" s="212" t="s">
        <v>601</v>
      </c>
      <c r="B23" s="204" t="s">
        <v>1513</v>
      </c>
      <c r="C23" s="205">
        <v>39</v>
      </c>
      <c r="D23" s="205">
        <v>50</v>
      </c>
      <c r="E23" s="205">
        <v>3</v>
      </c>
      <c r="F23" s="205">
        <v>4</v>
      </c>
      <c r="G23" s="76" t="s">
        <v>108</v>
      </c>
      <c r="H23" s="77" t="s">
        <v>42</v>
      </c>
      <c r="I23" s="210">
        <f>VLOOKUP($A23,'INDEXACIÓN PRODUCTOS MES A MES'!$B$5:$W$396,22,0)</f>
        <v>6.5932407966203976E-2</v>
      </c>
      <c r="J23" s="209">
        <f>VLOOKUP($A23,'INDEXACIÓN PRODUCTOS MES A MES'!$B$5:$W$396,20,0)</f>
        <v>7065</v>
      </c>
      <c r="K23" s="209">
        <f t="shared" si="0"/>
        <v>1128</v>
      </c>
      <c r="L23" s="211">
        <f t="shared" si="1"/>
        <v>5937</v>
      </c>
      <c r="M23" s="209">
        <f t="shared" si="2"/>
        <v>21195</v>
      </c>
      <c r="N23" s="209">
        <f t="shared" si="3"/>
        <v>28260</v>
      </c>
    </row>
    <row r="24" spans="1:14">
      <c r="A24" s="212" t="s">
        <v>515</v>
      </c>
      <c r="B24" s="204" t="s">
        <v>1514</v>
      </c>
      <c r="C24" s="205">
        <v>39</v>
      </c>
      <c r="D24" s="205">
        <v>50</v>
      </c>
      <c r="E24" s="205">
        <v>3</v>
      </c>
      <c r="F24" s="205">
        <v>4</v>
      </c>
      <c r="G24" s="76" t="s">
        <v>108</v>
      </c>
      <c r="H24" s="77" t="s">
        <v>42</v>
      </c>
      <c r="I24" s="210">
        <f>VLOOKUP($A24,'INDEXACIÓN PRODUCTOS MES A MES'!$B$5:$W$396,22,0)</f>
        <v>6.3534083388484444E-2</v>
      </c>
      <c r="J24" s="209">
        <f>VLOOKUP($A24,'INDEXACIÓN PRODUCTOS MES A MES'!$B$5:$W$396,20,0)</f>
        <v>1607</v>
      </c>
      <c r="K24" s="209">
        <f t="shared" si="0"/>
        <v>257</v>
      </c>
      <c r="L24" s="211">
        <f t="shared" si="1"/>
        <v>1350</v>
      </c>
      <c r="M24" s="209">
        <f t="shared" si="2"/>
        <v>4821</v>
      </c>
      <c r="N24" s="209">
        <f t="shared" si="3"/>
        <v>6428</v>
      </c>
    </row>
    <row r="25" spans="1:14">
      <c r="A25" s="212" t="s">
        <v>589</v>
      </c>
      <c r="B25" s="204" t="s">
        <v>590</v>
      </c>
      <c r="C25" s="205">
        <v>39</v>
      </c>
      <c r="D25" s="205">
        <v>50</v>
      </c>
      <c r="E25" s="205">
        <v>3</v>
      </c>
      <c r="F25" s="205">
        <v>4</v>
      </c>
      <c r="G25" s="76" t="s">
        <v>108</v>
      </c>
      <c r="H25" s="77" t="s">
        <v>36</v>
      </c>
      <c r="I25" s="210">
        <f>VLOOKUP($A25,'INDEXACIÓN PRODUCTOS MES A MES'!$B$5:$W$396,22,0)</f>
        <v>9.1126111294040177E-2</v>
      </c>
      <c r="J25" s="209">
        <f>VLOOKUP($A25,'INDEXACIÓN PRODUCTOS MES A MES'!$B$5:$W$396,20,0)</f>
        <v>39765</v>
      </c>
      <c r="K25" s="209">
        <f t="shared" si="0"/>
        <v>6349</v>
      </c>
      <c r="L25" s="211">
        <f t="shared" si="1"/>
        <v>33416</v>
      </c>
      <c r="M25" s="209">
        <f t="shared" si="2"/>
        <v>119295</v>
      </c>
      <c r="N25" s="209">
        <f t="shared" si="3"/>
        <v>159060</v>
      </c>
    </row>
    <row r="26" spans="1:14" ht="25.5">
      <c r="A26" s="212" t="s">
        <v>620</v>
      </c>
      <c r="B26" s="204" t="s">
        <v>618</v>
      </c>
      <c r="C26" s="205">
        <v>39</v>
      </c>
      <c r="D26" s="205">
        <v>50</v>
      </c>
      <c r="E26" s="205">
        <v>3</v>
      </c>
      <c r="F26" s="205">
        <v>4</v>
      </c>
      <c r="G26" s="76" t="s">
        <v>108</v>
      </c>
      <c r="H26" s="77" t="s">
        <v>36</v>
      </c>
      <c r="I26" s="210">
        <f>VLOOKUP($A26,'INDEXACIÓN PRODUCTOS MES A MES'!$B$5:$W$396,22,0)</f>
        <v>9.0757575757575759E-2</v>
      </c>
      <c r="J26" s="209">
        <f>VLOOKUP($A26,'INDEXACIÓN PRODUCTOS MES A MES'!$B$5:$W$396,20,0)</f>
        <v>14398</v>
      </c>
      <c r="K26" s="209">
        <f t="shared" si="0"/>
        <v>2299</v>
      </c>
      <c r="L26" s="211">
        <f t="shared" si="1"/>
        <v>12099</v>
      </c>
      <c r="M26" s="209">
        <f t="shared" si="2"/>
        <v>43194</v>
      </c>
      <c r="N26" s="209">
        <f t="shared" si="3"/>
        <v>57592</v>
      </c>
    </row>
    <row r="27" spans="1:14" ht="25.5">
      <c r="A27" s="212" t="s">
        <v>621</v>
      </c>
      <c r="B27" s="204" t="s">
        <v>618</v>
      </c>
      <c r="C27" s="205">
        <v>39</v>
      </c>
      <c r="D27" s="205">
        <v>50</v>
      </c>
      <c r="E27" s="205">
        <v>3</v>
      </c>
      <c r="F27" s="205">
        <v>4</v>
      </c>
      <c r="G27" s="76" t="s">
        <v>108</v>
      </c>
      <c r="H27" s="77" t="s">
        <v>36</v>
      </c>
      <c r="I27" s="210">
        <f>VLOOKUP($A27,'INDEXACIÓN PRODUCTOS MES A MES'!$B$5:$W$396,22,0)</f>
        <v>9.0757575757575759E-2</v>
      </c>
      <c r="J27" s="209">
        <f>VLOOKUP($A27,'INDEXACIÓN PRODUCTOS MES A MES'!$B$5:$W$396,20,0)</f>
        <v>14398</v>
      </c>
      <c r="K27" s="209">
        <f t="shared" si="0"/>
        <v>2299</v>
      </c>
      <c r="L27" s="211">
        <f t="shared" si="1"/>
        <v>12099</v>
      </c>
      <c r="M27" s="209">
        <f t="shared" si="2"/>
        <v>43194</v>
      </c>
      <c r="N27" s="209">
        <f t="shared" si="3"/>
        <v>57592</v>
      </c>
    </row>
    <row r="28" spans="1:14" ht="25.5">
      <c r="A28" s="212" t="s">
        <v>617</v>
      </c>
      <c r="B28" s="204" t="s">
        <v>618</v>
      </c>
      <c r="C28" s="205">
        <v>39</v>
      </c>
      <c r="D28" s="205">
        <v>50</v>
      </c>
      <c r="E28" s="205">
        <v>3</v>
      </c>
      <c r="F28" s="205">
        <v>4</v>
      </c>
      <c r="G28" s="76" t="s">
        <v>108</v>
      </c>
      <c r="H28" s="77" t="s">
        <v>36</v>
      </c>
      <c r="I28" s="210">
        <f>VLOOKUP($A28,'INDEXACIÓN PRODUCTOS MES A MES'!$B$5:$W$396,22,0)</f>
        <v>9.0757575757575759E-2</v>
      </c>
      <c r="J28" s="209">
        <f>VLOOKUP($A28,'INDEXACIÓN PRODUCTOS MES A MES'!$B$5:$W$396,20,0)</f>
        <v>14398</v>
      </c>
      <c r="K28" s="209">
        <f t="shared" si="0"/>
        <v>2299</v>
      </c>
      <c r="L28" s="211">
        <f t="shared" si="1"/>
        <v>12099</v>
      </c>
      <c r="M28" s="209">
        <f t="shared" si="2"/>
        <v>43194</v>
      </c>
      <c r="N28" s="209">
        <f t="shared" si="3"/>
        <v>57592</v>
      </c>
    </row>
    <row r="29" spans="1:14" ht="25.5">
      <c r="A29" s="212" t="s">
        <v>622</v>
      </c>
      <c r="B29" s="204" t="s">
        <v>618</v>
      </c>
      <c r="C29" s="205">
        <v>39</v>
      </c>
      <c r="D29" s="205">
        <v>50</v>
      </c>
      <c r="E29" s="205">
        <v>3</v>
      </c>
      <c r="F29" s="205">
        <v>4</v>
      </c>
      <c r="G29" s="76" t="s">
        <v>108</v>
      </c>
      <c r="H29" s="77" t="s">
        <v>36</v>
      </c>
      <c r="I29" s="210">
        <f>VLOOKUP($A29,'INDEXACIÓN PRODUCTOS MES A MES'!$B$5:$W$396,22,0)</f>
        <v>9.0757575757575759E-2</v>
      </c>
      <c r="J29" s="209">
        <f>VLOOKUP($A29,'INDEXACIÓN PRODUCTOS MES A MES'!$B$5:$W$396,20,0)</f>
        <v>14398</v>
      </c>
      <c r="K29" s="209">
        <f t="shared" si="0"/>
        <v>2299</v>
      </c>
      <c r="L29" s="211">
        <f t="shared" si="1"/>
        <v>12099</v>
      </c>
      <c r="M29" s="209">
        <f t="shared" si="2"/>
        <v>43194</v>
      </c>
      <c r="N29" s="209">
        <f t="shared" si="3"/>
        <v>57592</v>
      </c>
    </row>
    <row r="30" spans="1:14" ht="25.5">
      <c r="A30" s="212" t="s">
        <v>619</v>
      </c>
      <c r="B30" s="204" t="s">
        <v>618</v>
      </c>
      <c r="C30" s="205">
        <v>39</v>
      </c>
      <c r="D30" s="205">
        <v>50</v>
      </c>
      <c r="E30" s="205">
        <v>3</v>
      </c>
      <c r="F30" s="205">
        <v>4</v>
      </c>
      <c r="G30" s="76" t="s">
        <v>108</v>
      </c>
      <c r="H30" s="77" t="s">
        <v>36</v>
      </c>
      <c r="I30" s="210">
        <f>VLOOKUP($A30,'INDEXACIÓN PRODUCTOS MES A MES'!$B$5:$W$396,22,0)</f>
        <v>9.0757575757575759E-2</v>
      </c>
      <c r="J30" s="209">
        <f>VLOOKUP($A30,'INDEXACIÓN PRODUCTOS MES A MES'!$B$5:$W$396,20,0)</f>
        <v>14398</v>
      </c>
      <c r="K30" s="209">
        <f t="shared" si="0"/>
        <v>2299</v>
      </c>
      <c r="L30" s="211">
        <f t="shared" si="1"/>
        <v>12099</v>
      </c>
      <c r="M30" s="209">
        <f t="shared" si="2"/>
        <v>43194</v>
      </c>
      <c r="N30" s="209">
        <f t="shared" si="3"/>
        <v>57592</v>
      </c>
    </row>
    <row r="31" spans="1:14" ht="25.5">
      <c r="A31" s="212" t="s">
        <v>594</v>
      </c>
      <c r="B31" s="204" t="s">
        <v>595</v>
      </c>
      <c r="C31" s="205">
        <v>46</v>
      </c>
      <c r="D31" s="205">
        <v>59</v>
      </c>
      <c r="E31" s="205">
        <v>4</v>
      </c>
      <c r="F31" s="205">
        <v>5</v>
      </c>
      <c r="G31" s="76" t="s">
        <v>1515</v>
      </c>
      <c r="H31" s="77" t="s">
        <v>38</v>
      </c>
      <c r="I31" s="210">
        <f>VLOOKUP($A31,'INDEXACIÓN PRODUCTOS MES A MES'!$B$5:$W$396,22,0)</f>
        <v>7.9609367010941817E-2</v>
      </c>
      <c r="J31" s="209">
        <f>VLOOKUP($A31,'INDEXACIÓN PRODUCTOS MES A MES'!$B$5:$W$396,20,0)</f>
        <v>21115</v>
      </c>
      <c r="K31" s="209">
        <f t="shared" si="0"/>
        <v>3371</v>
      </c>
      <c r="L31" s="211">
        <f t="shared" si="1"/>
        <v>17744</v>
      </c>
      <c r="M31" s="209">
        <f t="shared" si="2"/>
        <v>84460</v>
      </c>
      <c r="N31" s="209">
        <f t="shared" si="3"/>
        <v>105575</v>
      </c>
    </row>
    <row r="32" spans="1:14">
      <c r="A32" s="212" t="s">
        <v>562</v>
      </c>
      <c r="B32" s="204" t="s">
        <v>563</v>
      </c>
      <c r="C32" s="205">
        <v>46</v>
      </c>
      <c r="D32" s="205">
        <v>59</v>
      </c>
      <c r="E32" s="205">
        <v>4</v>
      </c>
      <c r="F32" s="205">
        <v>5</v>
      </c>
      <c r="G32" s="76" t="s">
        <v>108</v>
      </c>
      <c r="H32" s="77" t="s">
        <v>84</v>
      </c>
      <c r="I32" s="210">
        <f>VLOOKUP($A32,'INDEXACIÓN PRODUCTOS MES A MES'!$B$5:$W$396,22,0)</f>
        <v>0</v>
      </c>
      <c r="J32" s="209">
        <f>VLOOKUP($A32,'INDEXACIÓN PRODUCTOS MES A MES'!$B$5:$W$396,20,0)</f>
        <v>12788</v>
      </c>
      <c r="K32" s="209">
        <f t="shared" si="0"/>
        <v>2042</v>
      </c>
      <c r="L32" s="211">
        <f t="shared" si="1"/>
        <v>10746</v>
      </c>
      <c r="M32" s="209">
        <f t="shared" si="2"/>
        <v>51152</v>
      </c>
      <c r="N32" s="209">
        <f t="shared" si="3"/>
        <v>63940</v>
      </c>
    </row>
    <row r="33" spans="1:14">
      <c r="A33" s="212" t="s">
        <v>547</v>
      </c>
      <c r="B33" s="204" t="s">
        <v>548</v>
      </c>
      <c r="C33" s="205">
        <v>12</v>
      </c>
      <c r="D33" s="205">
        <v>15</v>
      </c>
      <c r="E33" s="205">
        <v>1</v>
      </c>
      <c r="F33" s="205">
        <v>1</v>
      </c>
      <c r="G33" s="76" t="s">
        <v>1516</v>
      </c>
      <c r="H33" s="77" t="s">
        <v>38</v>
      </c>
      <c r="I33" s="210">
        <f>VLOOKUP($A33,'INDEXACIÓN PRODUCTOS MES A MES'!$B$5:$W$396,22,0)</f>
        <v>7.9679726368159204E-2</v>
      </c>
      <c r="J33" s="209">
        <f>VLOOKUP($A33,'INDEXACIÓN PRODUCTOS MES A MES'!$B$5:$W$396,20,0)</f>
        <v>27778</v>
      </c>
      <c r="K33" s="209">
        <f t="shared" si="0"/>
        <v>4435</v>
      </c>
      <c r="L33" s="211">
        <f t="shared" si="1"/>
        <v>23343</v>
      </c>
      <c r="M33" s="209">
        <f t="shared" si="2"/>
        <v>27778</v>
      </c>
      <c r="N33" s="209">
        <f t="shared" si="3"/>
        <v>27778</v>
      </c>
    </row>
    <row r="34" spans="1:14" ht="38.25">
      <c r="A34" s="212" t="s">
        <v>497</v>
      </c>
      <c r="B34" s="207" t="s">
        <v>495</v>
      </c>
      <c r="C34" s="205">
        <v>10</v>
      </c>
      <c r="D34" s="205">
        <v>12</v>
      </c>
      <c r="E34" s="205">
        <v>1</v>
      </c>
      <c r="F34" s="205">
        <v>1</v>
      </c>
      <c r="G34" s="82" t="s">
        <v>108</v>
      </c>
      <c r="H34" s="83" t="s">
        <v>38</v>
      </c>
      <c r="I34" s="210">
        <f>VLOOKUP($A34,'INDEXACIÓN PRODUCTOS MES A MES'!$B$5:$W$396,22,0)</f>
        <v>7.9549929676511949E-2</v>
      </c>
      <c r="J34" s="209">
        <f>VLOOKUP($A34,'INDEXACIÓN PRODUCTOS MES A MES'!$B$5:$W$396,20,0)</f>
        <v>19189</v>
      </c>
      <c r="K34" s="209">
        <f t="shared" si="0"/>
        <v>3064</v>
      </c>
      <c r="L34" s="211">
        <f t="shared" si="1"/>
        <v>16125</v>
      </c>
      <c r="M34" s="209">
        <f t="shared" si="2"/>
        <v>19189</v>
      </c>
      <c r="N34" s="209">
        <f t="shared" si="3"/>
        <v>19189</v>
      </c>
    </row>
    <row r="35" spans="1:14" ht="38.25">
      <c r="A35" s="212" t="s">
        <v>496</v>
      </c>
      <c r="B35" s="207" t="s">
        <v>495</v>
      </c>
      <c r="C35" s="205">
        <v>10</v>
      </c>
      <c r="D35" s="205">
        <v>12</v>
      </c>
      <c r="E35" s="205">
        <v>1</v>
      </c>
      <c r="F35" s="205">
        <v>1</v>
      </c>
      <c r="G35" s="82" t="s">
        <v>108</v>
      </c>
      <c r="H35" s="83" t="s">
        <v>38</v>
      </c>
      <c r="I35" s="210">
        <f>VLOOKUP($A35,'INDEXACIÓN PRODUCTOS MES A MES'!$B$5:$W$396,22,0)</f>
        <v>7.9549929676511949E-2</v>
      </c>
      <c r="J35" s="209">
        <f>VLOOKUP($A35,'INDEXACIÓN PRODUCTOS MES A MES'!$B$5:$W$396,20,0)</f>
        <v>19189</v>
      </c>
      <c r="K35" s="209">
        <f t="shared" si="0"/>
        <v>3064</v>
      </c>
      <c r="L35" s="211">
        <f t="shared" si="1"/>
        <v>16125</v>
      </c>
      <c r="M35" s="209">
        <f t="shared" si="2"/>
        <v>19189</v>
      </c>
      <c r="N35" s="209">
        <f t="shared" si="3"/>
        <v>19189</v>
      </c>
    </row>
    <row r="36" spans="1:14" ht="38.25">
      <c r="A36" s="212" t="s">
        <v>494</v>
      </c>
      <c r="B36" s="207" t="s">
        <v>495</v>
      </c>
      <c r="C36" s="205">
        <v>10</v>
      </c>
      <c r="D36" s="205">
        <v>12</v>
      </c>
      <c r="E36" s="205">
        <v>1</v>
      </c>
      <c r="F36" s="205">
        <v>1</v>
      </c>
      <c r="G36" s="82" t="s">
        <v>108</v>
      </c>
      <c r="H36" s="83" t="s">
        <v>38</v>
      </c>
      <c r="I36" s="210">
        <f>VLOOKUP($A36,'INDEXACIÓN PRODUCTOS MES A MES'!$B$5:$W$396,22,0)</f>
        <v>7.9549929676511949E-2</v>
      </c>
      <c r="J36" s="209">
        <f>VLOOKUP($A36,'INDEXACIÓN PRODUCTOS MES A MES'!$B$5:$W$396,20,0)</f>
        <v>19189</v>
      </c>
      <c r="K36" s="209">
        <f t="shared" si="0"/>
        <v>3064</v>
      </c>
      <c r="L36" s="211">
        <f t="shared" si="1"/>
        <v>16125</v>
      </c>
      <c r="M36" s="209">
        <f t="shared" si="2"/>
        <v>19189</v>
      </c>
      <c r="N36" s="209">
        <f t="shared" si="3"/>
        <v>19189</v>
      </c>
    </row>
    <row r="37" spans="1:14" ht="38.25">
      <c r="A37" s="212" t="s">
        <v>501</v>
      </c>
      <c r="B37" s="207" t="s">
        <v>495</v>
      </c>
      <c r="C37" s="205">
        <v>10</v>
      </c>
      <c r="D37" s="205">
        <v>12</v>
      </c>
      <c r="E37" s="205">
        <v>1</v>
      </c>
      <c r="F37" s="205">
        <v>1</v>
      </c>
      <c r="G37" s="82" t="s">
        <v>108</v>
      </c>
      <c r="H37" s="83" t="s">
        <v>38</v>
      </c>
      <c r="I37" s="210">
        <f>VLOOKUP($A37,'INDEXACIÓN PRODUCTOS MES A MES'!$B$5:$W$396,22,0)</f>
        <v>7.9549929676511949E-2</v>
      </c>
      <c r="J37" s="209">
        <f>VLOOKUP($A37,'INDEXACIÓN PRODUCTOS MES A MES'!$B$5:$W$396,20,0)</f>
        <v>19189</v>
      </c>
      <c r="K37" s="209">
        <f t="shared" si="0"/>
        <v>3064</v>
      </c>
      <c r="L37" s="211">
        <f t="shared" si="1"/>
        <v>16125</v>
      </c>
      <c r="M37" s="209">
        <f t="shared" si="2"/>
        <v>19189</v>
      </c>
      <c r="N37" s="209">
        <f t="shared" si="3"/>
        <v>19189</v>
      </c>
    </row>
    <row r="38" spans="1:14" ht="38.25">
      <c r="A38" s="212" t="s">
        <v>499</v>
      </c>
      <c r="B38" s="207" t="s">
        <v>495</v>
      </c>
      <c r="C38" s="205">
        <v>10</v>
      </c>
      <c r="D38" s="205">
        <v>12</v>
      </c>
      <c r="E38" s="205">
        <v>1</v>
      </c>
      <c r="F38" s="205">
        <v>1</v>
      </c>
      <c r="G38" s="82" t="s">
        <v>108</v>
      </c>
      <c r="H38" s="83" t="s">
        <v>38</v>
      </c>
      <c r="I38" s="210">
        <f>VLOOKUP($A38,'INDEXACIÓN PRODUCTOS MES A MES'!$B$5:$W$396,22,0)</f>
        <v>7.9549929676511949E-2</v>
      </c>
      <c r="J38" s="209">
        <f>VLOOKUP($A38,'INDEXACIÓN PRODUCTOS MES A MES'!$B$5:$W$396,20,0)</f>
        <v>19189</v>
      </c>
      <c r="K38" s="209">
        <f t="shared" si="0"/>
        <v>3064</v>
      </c>
      <c r="L38" s="211">
        <f t="shared" si="1"/>
        <v>16125</v>
      </c>
      <c r="M38" s="209">
        <f t="shared" si="2"/>
        <v>19189</v>
      </c>
      <c r="N38" s="209">
        <f t="shared" si="3"/>
        <v>19189</v>
      </c>
    </row>
    <row r="39" spans="1:14" ht="38.25">
      <c r="A39" s="212" t="s">
        <v>498</v>
      </c>
      <c r="B39" s="207" t="s">
        <v>495</v>
      </c>
      <c r="C39" s="205">
        <v>10</v>
      </c>
      <c r="D39" s="205">
        <v>12</v>
      </c>
      <c r="E39" s="205">
        <v>1</v>
      </c>
      <c r="F39" s="205">
        <v>1</v>
      </c>
      <c r="G39" s="82" t="s">
        <v>108</v>
      </c>
      <c r="H39" s="83" t="s">
        <v>38</v>
      </c>
      <c r="I39" s="210">
        <f>VLOOKUP($A39,'INDEXACIÓN PRODUCTOS MES A MES'!$B$5:$W$396,22,0)</f>
        <v>7.9549929676511949E-2</v>
      </c>
      <c r="J39" s="209">
        <f>VLOOKUP($A39,'INDEXACIÓN PRODUCTOS MES A MES'!$B$5:$W$396,20,0)</f>
        <v>19189</v>
      </c>
      <c r="K39" s="209">
        <f t="shared" si="0"/>
        <v>3064</v>
      </c>
      <c r="L39" s="211">
        <f t="shared" si="1"/>
        <v>16125</v>
      </c>
      <c r="M39" s="209">
        <f t="shared" si="2"/>
        <v>19189</v>
      </c>
      <c r="N39" s="209">
        <f t="shared" si="3"/>
        <v>19189</v>
      </c>
    </row>
    <row r="40" spans="1:14" ht="38.25">
      <c r="A40" s="212" t="s">
        <v>500</v>
      </c>
      <c r="B40" s="207" t="s">
        <v>495</v>
      </c>
      <c r="C40" s="205">
        <v>10</v>
      </c>
      <c r="D40" s="205">
        <v>12</v>
      </c>
      <c r="E40" s="205">
        <v>1</v>
      </c>
      <c r="F40" s="205">
        <v>1</v>
      </c>
      <c r="G40" s="82" t="s">
        <v>108</v>
      </c>
      <c r="H40" s="83" t="s">
        <v>38</v>
      </c>
      <c r="I40" s="210">
        <f>VLOOKUP($A40,'INDEXACIÓN PRODUCTOS MES A MES'!$B$5:$W$396,22,0)</f>
        <v>7.9549929676511949E-2</v>
      </c>
      <c r="J40" s="209">
        <f>VLOOKUP($A40,'INDEXACIÓN PRODUCTOS MES A MES'!$B$5:$W$396,20,0)</f>
        <v>19189</v>
      </c>
      <c r="K40" s="209">
        <f t="shared" si="0"/>
        <v>3064</v>
      </c>
      <c r="L40" s="211">
        <f t="shared" si="1"/>
        <v>16125</v>
      </c>
      <c r="M40" s="209">
        <f t="shared" si="2"/>
        <v>19189</v>
      </c>
      <c r="N40" s="209">
        <f t="shared" si="3"/>
        <v>19189</v>
      </c>
    </row>
    <row r="41" spans="1:14" s="168" customFormat="1" ht="102">
      <c r="A41" s="213" t="s">
        <v>217</v>
      </c>
      <c r="B41" s="173" t="s">
        <v>218</v>
      </c>
      <c r="C41" s="208">
        <v>20</v>
      </c>
      <c r="D41" s="208">
        <v>25</v>
      </c>
      <c r="E41" s="208">
        <v>2</v>
      </c>
      <c r="F41" s="208">
        <v>2</v>
      </c>
      <c r="G41" s="76" t="s">
        <v>108</v>
      </c>
      <c r="H41" s="77" t="s">
        <v>64</v>
      </c>
      <c r="I41" s="210">
        <f>VLOOKUP($A41,'INDEXACIÓN PRODUCTOS MES A MES'!$B$5:$W$396,22,0)</f>
        <v>0</v>
      </c>
      <c r="J41" s="209">
        <f>VLOOKUP($A41,'INDEXACIÓN PRODUCTOS MES A MES'!$B$5:$W$396,20,0)</f>
        <v>1952567</v>
      </c>
      <c r="K41" s="209">
        <f t="shared" si="0"/>
        <v>311754</v>
      </c>
      <c r="L41" s="211">
        <f t="shared" si="1"/>
        <v>1640813</v>
      </c>
      <c r="M41" s="209">
        <f t="shared" si="2"/>
        <v>3905134</v>
      </c>
      <c r="N41" s="209">
        <f t="shared" si="3"/>
        <v>3905134</v>
      </c>
    </row>
    <row r="42" spans="1:14">
      <c r="I42" s="167"/>
      <c r="J42" s="167"/>
      <c r="K42" s="167"/>
      <c r="L42" s="167"/>
      <c r="M42" s="167"/>
      <c r="N42" s="167"/>
    </row>
    <row r="43" spans="1:14">
      <c r="I43" s="805" t="s">
        <v>1517</v>
      </c>
      <c r="J43" s="805"/>
      <c r="K43" s="805"/>
      <c r="L43" s="805"/>
      <c r="M43" s="169">
        <f>SUM(M7:M41)</f>
        <v>5581342</v>
      </c>
      <c r="N43" s="169">
        <f>SUM(N7:N41)</f>
        <v>5911115</v>
      </c>
    </row>
    <row r="44" spans="1:14">
      <c r="I44" s="805" t="s">
        <v>1518</v>
      </c>
      <c r="J44" s="805"/>
      <c r="K44" s="805"/>
      <c r="L44" s="805"/>
      <c r="M44" s="169">
        <f>ROUND((M43/30),0)</f>
        <v>186045</v>
      </c>
      <c r="N44" s="169">
        <f>ROUND((N43/30),0)</f>
        <v>197037</v>
      </c>
    </row>
    <row r="45" spans="1:14">
      <c r="I45" s="805" t="s">
        <v>1519</v>
      </c>
      <c r="J45" s="805" t="s">
        <v>1520</v>
      </c>
      <c r="K45" s="805"/>
      <c r="L45" s="805"/>
      <c r="M45" s="169">
        <f>ROUND((M44/M6),0)</f>
        <v>1860</v>
      </c>
      <c r="N45" s="169">
        <f>ROUND((N44/N6),0)</f>
        <v>1516</v>
      </c>
    </row>
  </sheetData>
  <autoFilter ref="A4:N41" xr:uid="{00000000-0009-0000-0000-00000E000000}">
    <filterColumn colId="2" showButton="0"/>
    <filterColumn colId="4" showButton="0"/>
    <filterColumn colId="12" showButton="0"/>
  </autoFilter>
  <mergeCells count="15">
    <mergeCell ref="A2:N2"/>
    <mergeCell ref="M4:N4"/>
    <mergeCell ref="G4:G6"/>
    <mergeCell ref="H4:H6"/>
    <mergeCell ref="J4:J6"/>
    <mergeCell ref="L4:L6"/>
    <mergeCell ref="K4:K6"/>
    <mergeCell ref="I4:I6"/>
    <mergeCell ref="I45:L45"/>
    <mergeCell ref="A4:A6"/>
    <mergeCell ref="B4:B6"/>
    <mergeCell ref="I43:L43"/>
    <mergeCell ref="I44:L44"/>
    <mergeCell ref="E4:F5"/>
    <mergeCell ref="C4:D5"/>
  </mergeCells>
  <conditionalFormatting sqref="H7:H14 H16:H41">
    <cfRule type="containsBlanks" dxfId="7" priority="1">
      <formula>LEN(TRIM(H7))=0</formula>
    </cfRule>
  </conditionalFormatting>
  <pageMargins left="0.7" right="0.7" top="0.75" bottom="0.75" header="0.3" footer="0.3"/>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00B050"/>
  </sheetPr>
  <dimension ref="A1:P35"/>
  <sheetViews>
    <sheetView showGridLines="0" topLeftCell="A28" zoomScale="85" zoomScaleNormal="85" zoomScalePageLayoutView="85" workbookViewId="0">
      <selection activeCell="K34" sqref="K34:L34"/>
    </sheetView>
  </sheetViews>
  <sheetFormatPr defaultColWidth="9.140625" defaultRowHeight="12.75"/>
  <cols>
    <col min="1" max="1" width="23.42578125" style="185" customWidth="1"/>
    <col min="2" max="2" width="51.140625" style="185" customWidth="1"/>
    <col min="3" max="4" width="12.42578125" style="185" customWidth="1"/>
    <col min="5" max="6" width="14.42578125" style="185" customWidth="1"/>
    <col min="7" max="10" width="14.42578125" style="186" customWidth="1"/>
    <col min="11" max="11" width="14.42578125" style="188" customWidth="1"/>
    <col min="12" max="12" width="14.42578125" style="186" customWidth="1"/>
    <col min="13" max="13" width="15.28515625" style="186" customWidth="1"/>
    <col min="14" max="14" width="14.42578125" style="186" customWidth="1"/>
    <col min="15" max="15" width="9.42578125" style="185" customWidth="1"/>
    <col min="16" max="16" width="9.42578125" style="185" bestFit="1" customWidth="1"/>
    <col min="17" max="16384" width="9.140625" style="185"/>
  </cols>
  <sheetData>
    <row r="1" spans="1:16">
      <c r="A1" s="363" t="s">
        <v>1521</v>
      </c>
      <c r="B1" s="129"/>
      <c r="C1" s="364"/>
      <c r="D1" s="364"/>
      <c r="E1" s="129"/>
      <c r="F1" s="129"/>
      <c r="G1" s="129"/>
      <c r="H1" s="129"/>
      <c r="I1" s="129"/>
      <c r="J1" s="129"/>
      <c r="K1" s="129"/>
      <c r="L1" s="103"/>
      <c r="M1" s="130"/>
      <c r="N1" s="130"/>
      <c r="O1" s="129"/>
      <c r="P1" s="129"/>
    </row>
    <row r="2" spans="1:16" ht="29.25" customHeight="1">
      <c r="A2" s="740" t="s">
        <v>1522</v>
      </c>
      <c r="B2" s="740"/>
      <c r="C2" s="740"/>
      <c r="D2" s="740"/>
      <c r="E2" s="740"/>
      <c r="F2" s="740"/>
      <c r="G2" s="740"/>
      <c r="H2" s="740"/>
      <c r="I2" s="740"/>
      <c r="J2" s="740"/>
      <c r="K2" s="740"/>
      <c r="L2" s="740"/>
      <c r="M2" s="740"/>
      <c r="N2" s="740"/>
      <c r="O2" s="129"/>
      <c r="P2" s="129"/>
    </row>
    <row r="5" spans="1:16" ht="19.5" customHeight="1">
      <c r="A5" s="831" t="s">
        <v>1523</v>
      </c>
      <c r="B5" s="831" t="s">
        <v>1216</v>
      </c>
      <c r="C5" s="834" t="s">
        <v>1172</v>
      </c>
      <c r="D5" s="835"/>
      <c r="E5" s="818" t="s">
        <v>89</v>
      </c>
      <c r="F5" s="818" t="s">
        <v>90</v>
      </c>
      <c r="G5" s="796" t="s">
        <v>1524</v>
      </c>
      <c r="H5" s="800" t="s">
        <v>1174</v>
      </c>
      <c r="I5" s="796" t="s">
        <v>1175</v>
      </c>
      <c r="J5" s="796" t="s">
        <v>1176</v>
      </c>
      <c r="K5" s="798" t="s">
        <v>1525</v>
      </c>
      <c r="L5" s="828" t="s">
        <v>1526</v>
      </c>
      <c r="M5" s="823" t="s">
        <v>1527</v>
      </c>
      <c r="N5" s="824"/>
      <c r="O5" s="129"/>
      <c r="P5" s="129"/>
    </row>
    <row r="6" spans="1:16" ht="19.5" customHeight="1">
      <c r="A6" s="831"/>
      <c r="B6" s="831"/>
      <c r="C6" s="834" t="s">
        <v>1180</v>
      </c>
      <c r="D6" s="835"/>
      <c r="E6" s="818"/>
      <c r="F6" s="818"/>
      <c r="G6" s="833"/>
      <c r="H6" s="800"/>
      <c r="I6" s="833"/>
      <c r="J6" s="833"/>
      <c r="K6" s="832"/>
      <c r="L6" s="829"/>
      <c r="M6" s="825" t="s">
        <v>1180</v>
      </c>
      <c r="N6" s="826"/>
      <c r="O6" s="129"/>
      <c r="P6" s="129"/>
    </row>
    <row r="7" spans="1:16" ht="24" customHeight="1">
      <c r="A7" s="831"/>
      <c r="B7" s="831"/>
      <c r="C7" s="595">
        <v>100</v>
      </c>
      <c r="D7" s="595">
        <v>130</v>
      </c>
      <c r="E7" s="818"/>
      <c r="F7" s="818"/>
      <c r="G7" s="797"/>
      <c r="H7" s="800"/>
      <c r="I7" s="797"/>
      <c r="J7" s="797"/>
      <c r="K7" s="799"/>
      <c r="L7" s="830"/>
      <c r="M7" s="595">
        <v>100</v>
      </c>
      <c r="N7" s="595">
        <v>130</v>
      </c>
      <c r="O7" s="129"/>
      <c r="P7" s="129"/>
    </row>
    <row r="8" spans="1:16">
      <c r="A8" s="215" t="s">
        <v>632</v>
      </c>
      <c r="B8" s="215" t="s">
        <v>633</v>
      </c>
      <c r="C8" s="216">
        <v>3</v>
      </c>
      <c r="D8" s="216">
        <f>ROUND((C8*1.3),0)</f>
        <v>4</v>
      </c>
      <c r="E8" s="76" t="s">
        <v>108</v>
      </c>
      <c r="F8" s="223" t="s">
        <v>36</v>
      </c>
      <c r="G8" s="210">
        <f>VLOOKUP($A8,'INDEXACIÓN PRODUCTOS MES A MES'!$B$5:$W$396,22,0)</f>
        <v>9.1214528944381382E-2</v>
      </c>
      <c r="H8" s="217">
        <f>VLOOKUP($A8,'INDEXACIÓN PRODUCTOS MES A MES'!$B$5:$W$396,20,0)</f>
        <v>96136</v>
      </c>
      <c r="I8" s="217">
        <f>H8-J8</f>
        <v>15349</v>
      </c>
      <c r="J8" s="217">
        <f>ROUND((H8/1.19),0)</f>
        <v>80787</v>
      </c>
      <c r="K8" s="218">
        <v>12</v>
      </c>
      <c r="L8" s="219">
        <f>ROUND((H8/K8),0)</f>
        <v>8011</v>
      </c>
      <c r="M8" s="219">
        <f>ROUND(L8*C8,0)</f>
        <v>24033</v>
      </c>
      <c r="N8" s="219">
        <f>ROUND(L8*D8,0)</f>
        <v>32044</v>
      </c>
      <c r="O8" s="130"/>
      <c r="P8" s="130"/>
    </row>
    <row r="9" spans="1:16">
      <c r="A9" s="215" t="s">
        <v>630</v>
      </c>
      <c r="B9" s="215" t="s">
        <v>1528</v>
      </c>
      <c r="C9" s="216">
        <v>3</v>
      </c>
      <c r="D9" s="216">
        <f t="shared" ref="D9:D29" si="0">ROUND((C9*1.3),0)</f>
        <v>4</v>
      </c>
      <c r="E9" s="214"/>
      <c r="F9" s="223" t="s">
        <v>36</v>
      </c>
      <c r="G9" s="210">
        <f>VLOOKUP($A9,'INDEXACIÓN PRODUCTOS MES A MES'!$B$5:$W$396,22,0)</f>
        <v>9.1214528944381382E-2</v>
      </c>
      <c r="H9" s="217">
        <f>VLOOKUP($A9,'INDEXACIÓN PRODUCTOS MES A MES'!$B$5:$W$396,20,0)</f>
        <v>96136</v>
      </c>
      <c r="I9" s="217">
        <f t="shared" ref="I9:I29" si="1">H9-J9</f>
        <v>15349</v>
      </c>
      <c r="J9" s="217">
        <f t="shared" ref="J9:J29" si="2">ROUND((H9/1.19),0)</f>
        <v>80787</v>
      </c>
      <c r="K9" s="218">
        <v>12</v>
      </c>
      <c r="L9" s="219">
        <f t="shared" ref="L9:L29" si="3">ROUND((H9/K9),0)</f>
        <v>8011</v>
      </c>
      <c r="M9" s="219">
        <f t="shared" ref="M9:M29" si="4">ROUND(L9*C9,0)</f>
        <v>24033</v>
      </c>
      <c r="N9" s="219">
        <f t="shared" ref="N9:N29" si="5">ROUND(L9*D9,0)</f>
        <v>32044</v>
      </c>
      <c r="O9" s="129"/>
      <c r="P9" s="129"/>
    </row>
    <row r="10" spans="1:16" ht="25.5" customHeight="1">
      <c r="A10" s="215" t="s">
        <v>640</v>
      </c>
      <c r="B10" s="215" t="s">
        <v>1529</v>
      </c>
      <c r="C10" s="216">
        <v>2</v>
      </c>
      <c r="D10" s="216">
        <f t="shared" si="0"/>
        <v>3</v>
      </c>
      <c r="E10" s="76" t="s">
        <v>108</v>
      </c>
      <c r="F10" s="77" t="s">
        <v>36</v>
      </c>
      <c r="G10" s="210">
        <f>VLOOKUP($A10,'INDEXACIÓN PRODUCTOS MES A MES'!$B$5:$W$396,22,0)</f>
        <v>9.1237675642149837E-2</v>
      </c>
      <c r="H10" s="217">
        <f>VLOOKUP($A10,'INDEXACIÓN PRODUCTOS MES A MES'!$B$5:$W$396,20,0)</f>
        <v>102046</v>
      </c>
      <c r="I10" s="217">
        <f t="shared" si="1"/>
        <v>16293</v>
      </c>
      <c r="J10" s="217">
        <f t="shared" si="2"/>
        <v>85753</v>
      </c>
      <c r="K10" s="218">
        <v>12</v>
      </c>
      <c r="L10" s="219">
        <f t="shared" si="3"/>
        <v>8504</v>
      </c>
      <c r="M10" s="219">
        <f t="shared" si="4"/>
        <v>17008</v>
      </c>
      <c r="N10" s="219">
        <f t="shared" si="5"/>
        <v>25512</v>
      </c>
      <c r="O10" s="129"/>
      <c r="P10" s="129"/>
    </row>
    <row r="11" spans="1:16" ht="25.5">
      <c r="A11" s="215" t="s">
        <v>628</v>
      </c>
      <c r="B11" s="215" t="s">
        <v>629</v>
      </c>
      <c r="C11" s="216">
        <v>2</v>
      </c>
      <c r="D11" s="216">
        <f t="shared" si="0"/>
        <v>3</v>
      </c>
      <c r="E11" s="76" t="s">
        <v>108</v>
      </c>
      <c r="F11" s="223" t="s">
        <v>36</v>
      </c>
      <c r="G11" s="210">
        <f>VLOOKUP($A11,'INDEXACIÓN PRODUCTOS MES A MES'!$B$5:$W$396,22,0)</f>
        <v>9.1238171246152092E-2</v>
      </c>
      <c r="H11" s="217">
        <f>VLOOKUP($A11,'INDEXACIÓN PRODUCTOS MES A MES'!$B$5:$W$396,20,0)</f>
        <v>76570</v>
      </c>
      <c r="I11" s="217">
        <f t="shared" si="1"/>
        <v>12225</v>
      </c>
      <c r="J11" s="217">
        <f t="shared" si="2"/>
        <v>64345</v>
      </c>
      <c r="K11" s="218">
        <v>12</v>
      </c>
      <c r="L11" s="219">
        <f t="shared" si="3"/>
        <v>6381</v>
      </c>
      <c r="M11" s="219">
        <f t="shared" si="4"/>
        <v>12762</v>
      </c>
      <c r="N11" s="219">
        <f t="shared" si="5"/>
        <v>19143</v>
      </c>
      <c r="O11" s="129"/>
      <c r="P11" s="129"/>
    </row>
    <row r="12" spans="1:16" ht="25.5">
      <c r="A12" s="215" t="s">
        <v>655</v>
      </c>
      <c r="B12" s="215" t="s">
        <v>656</v>
      </c>
      <c r="C12" s="216">
        <v>8</v>
      </c>
      <c r="D12" s="216">
        <f t="shared" si="0"/>
        <v>10</v>
      </c>
      <c r="E12" s="76" t="s">
        <v>108</v>
      </c>
      <c r="F12" s="77" t="s">
        <v>38</v>
      </c>
      <c r="G12" s="210">
        <f>VLOOKUP($A12,'INDEXACIÓN PRODUCTOS MES A MES'!$B$5:$W$396,22,0)</f>
        <v>7.96961418004931E-2</v>
      </c>
      <c r="H12" s="217">
        <f>VLOOKUP($A12,'INDEXACIÓN PRODUCTOS MES A MES'!$B$5:$W$396,20,0)</f>
        <v>16203</v>
      </c>
      <c r="I12" s="217">
        <f t="shared" si="1"/>
        <v>2587</v>
      </c>
      <c r="J12" s="217">
        <f t="shared" si="2"/>
        <v>13616</v>
      </c>
      <c r="K12" s="218">
        <v>12</v>
      </c>
      <c r="L12" s="219">
        <f t="shared" si="3"/>
        <v>1350</v>
      </c>
      <c r="M12" s="219">
        <f t="shared" si="4"/>
        <v>10800</v>
      </c>
      <c r="N12" s="219">
        <f t="shared" si="5"/>
        <v>13500</v>
      </c>
      <c r="O12" s="129"/>
      <c r="P12" s="129"/>
    </row>
    <row r="13" spans="1:16">
      <c r="A13" s="215" t="s">
        <v>626</v>
      </c>
      <c r="B13" s="215" t="s">
        <v>1530</v>
      </c>
      <c r="C13" s="216">
        <v>12</v>
      </c>
      <c r="D13" s="216">
        <f t="shared" si="0"/>
        <v>16</v>
      </c>
      <c r="E13" s="76" t="s">
        <v>108</v>
      </c>
      <c r="F13" s="77" t="s">
        <v>38</v>
      </c>
      <c r="G13" s="210">
        <f>VLOOKUP($A13,'INDEXACIÓN PRODUCTOS MES A MES'!$B$5:$W$396,22,0)</f>
        <v>7.9523327361944077E-2</v>
      </c>
      <c r="H13" s="217">
        <f>VLOOKUP($A13,'INDEXACIÓN PRODUCTOS MES A MES'!$B$5:$W$396,20,0)</f>
        <v>13860</v>
      </c>
      <c r="I13" s="217">
        <f t="shared" si="1"/>
        <v>2213</v>
      </c>
      <c r="J13" s="217">
        <f t="shared" si="2"/>
        <v>11647</v>
      </c>
      <c r="K13" s="218">
        <v>12</v>
      </c>
      <c r="L13" s="219">
        <f t="shared" si="3"/>
        <v>1155</v>
      </c>
      <c r="M13" s="219">
        <f t="shared" si="4"/>
        <v>13860</v>
      </c>
      <c r="N13" s="219">
        <f t="shared" si="5"/>
        <v>18480</v>
      </c>
      <c r="O13" s="129"/>
      <c r="P13" s="129"/>
    </row>
    <row r="14" spans="1:16" ht="38.25">
      <c r="A14" s="215" t="s">
        <v>669</v>
      </c>
      <c r="B14" s="215" t="s">
        <v>1531</v>
      </c>
      <c r="C14" s="216">
        <v>4</v>
      </c>
      <c r="D14" s="216">
        <f t="shared" si="0"/>
        <v>5</v>
      </c>
      <c r="E14" s="78" t="s">
        <v>137</v>
      </c>
      <c r="F14" s="134" t="s">
        <v>36</v>
      </c>
      <c r="G14" s="210">
        <f>VLOOKUP($A14,'INDEXACIÓN PRODUCTOS MES A MES'!$B$5:$W$396,22,0)</f>
        <v>9.1005633022439747E-2</v>
      </c>
      <c r="H14" s="217">
        <f>VLOOKUP($A14,'INDEXACIÓN PRODUCTOS MES A MES'!$B$5:$W$396,20,0)</f>
        <v>23629</v>
      </c>
      <c r="I14" s="217">
        <f t="shared" si="1"/>
        <v>3773</v>
      </c>
      <c r="J14" s="217">
        <f t="shared" si="2"/>
        <v>19856</v>
      </c>
      <c r="K14" s="218">
        <v>12</v>
      </c>
      <c r="L14" s="219">
        <f t="shared" si="3"/>
        <v>1969</v>
      </c>
      <c r="M14" s="219">
        <f t="shared" si="4"/>
        <v>7876</v>
      </c>
      <c r="N14" s="219">
        <f t="shared" si="5"/>
        <v>9845</v>
      </c>
      <c r="O14" s="129"/>
      <c r="P14" s="129"/>
    </row>
    <row r="15" spans="1:16" ht="38.25">
      <c r="A15" s="215" t="s">
        <v>665</v>
      </c>
      <c r="B15" s="220" t="s">
        <v>666</v>
      </c>
      <c r="C15" s="216">
        <v>2</v>
      </c>
      <c r="D15" s="216">
        <f t="shared" si="0"/>
        <v>3</v>
      </c>
      <c r="E15" s="76" t="s">
        <v>137</v>
      </c>
      <c r="F15" s="77" t="s">
        <v>36</v>
      </c>
      <c r="G15" s="210">
        <f>VLOOKUP($A15,'INDEXACIÓN PRODUCTOS MES A MES'!$B$5:$W$396,22,0)</f>
        <v>9.1305037333259217E-2</v>
      </c>
      <c r="H15" s="217">
        <f>VLOOKUP($A15,'INDEXACIÓN PRODUCTOS MES A MES'!$B$5:$W$396,20,0)</f>
        <v>667500</v>
      </c>
      <c r="I15" s="217">
        <f t="shared" si="1"/>
        <v>106576</v>
      </c>
      <c r="J15" s="217">
        <f t="shared" si="2"/>
        <v>560924</v>
      </c>
      <c r="K15" s="218">
        <v>12</v>
      </c>
      <c r="L15" s="219">
        <f t="shared" si="3"/>
        <v>55625</v>
      </c>
      <c r="M15" s="219">
        <f t="shared" si="4"/>
        <v>111250</v>
      </c>
      <c r="N15" s="219">
        <f t="shared" si="5"/>
        <v>166875</v>
      </c>
      <c r="O15" s="129"/>
      <c r="P15" s="129"/>
    </row>
    <row r="16" spans="1:16" ht="38.25">
      <c r="A16" s="215" t="s">
        <v>671</v>
      </c>
      <c r="B16" s="220" t="s">
        <v>672</v>
      </c>
      <c r="C16" s="216">
        <v>2</v>
      </c>
      <c r="D16" s="216">
        <f t="shared" si="0"/>
        <v>3</v>
      </c>
      <c r="E16" s="221" t="s">
        <v>137</v>
      </c>
      <c r="F16" s="222" t="s">
        <v>62</v>
      </c>
      <c r="G16" s="210">
        <f>VLOOKUP($A16,'INDEXACIÓN PRODUCTOS MES A MES'!$B$5:$W$396,22,0)</f>
        <v>4.2917782814753759E-2</v>
      </c>
      <c r="H16" s="217">
        <f>VLOOKUP($A16,'INDEXACIÓN PRODUCTOS MES A MES'!$B$5:$W$396,20,0)</f>
        <v>253064</v>
      </c>
      <c r="I16" s="217">
        <f t="shared" si="1"/>
        <v>40405</v>
      </c>
      <c r="J16" s="217">
        <f t="shared" si="2"/>
        <v>212659</v>
      </c>
      <c r="K16" s="218">
        <v>12</v>
      </c>
      <c r="L16" s="219">
        <f t="shared" si="3"/>
        <v>21089</v>
      </c>
      <c r="M16" s="219">
        <f t="shared" si="4"/>
        <v>42178</v>
      </c>
      <c r="N16" s="219">
        <f t="shared" si="5"/>
        <v>63267</v>
      </c>
      <c r="O16" s="129"/>
      <c r="P16" s="129"/>
    </row>
    <row r="17" spans="1:16" ht="37.5" customHeight="1">
      <c r="A17" s="215" t="s">
        <v>652</v>
      </c>
      <c r="B17" s="220" t="s">
        <v>653</v>
      </c>
      <c r="C17" s="216">
        <v>2</v>
      </c>
      <c r="D17" s="216">
        <f t="shared" si="0"/>
        <v>3</v>
      </c>
      <c r="E17" s="221" t="s">
        <v>137</v>
      </c>
      <c r="F17" s="77" t="s">
        <v>84</v>
      </c>
      <c r="G17" s="210">
        <f>VLOOKUP($A17,'INDEXACIÓN PRODUCTOS MES A MES'!$B$5:$W$396,22,0)</f>
        <v>0</v>
      </c>
      <c r="H17" s="217">
        <f>VLOOKUP($A17,'INDEXACIÓN PRODUCTOS MES A MES'!$B$5:$W$396,20,0)</f>
        <v>141556</v>
      </c>
      <c r="I17" s="217">
        <f t="shared" si="1"/>
        <v>22601</v>
      </c>
      <c r="J17" s="217">
        <f t="shared" si="2"/>
        <v>118955</v>
      </c>
      <c r="K17" s="218">
        <v>12</v>
      </c>
      <c r="L17" s="219">
        <f t="shared" si="3"/>
        <v>11796</v>
      </c>
      <c r="M17" s="219">
        <f t="shared" si="4"/>
        <v>23592</v>
      </c>
      <c r="N17" s="219">
        <f t="shared" si="5"/>
        <v>35388</v>
      </c>
      <c r="O17" s="129"/>
      <c r="P17" s="129"/>
    </row>
    <row r="18" spans="1:16" ht="38.25" customHeight="1">
      <c r="A18" s="215" t="s">
        <v>667</v>
      </c>
      <c r="B18" s="215" t="s">
        <v>668</v>
      </c>
      <c r="C18" s="216">
        <v>4</v>
      </c>
      <c r="D18" s="216">
        <f t="shared" si="0"/>
        <v>5</v>
      </c>
      <c r="E18" s="76" t="s">
        <v>137</v>
      </c>
      <c r="F18" s="77" t="s">
        <v>62</v>
      </c>
      <c r="G18" s="210">
        <f>VLOOKUP($A18,'INDEXACIÓN PRODUCTOS MES A MES'!$B$5:$W$396,22,0)</f>
        <v>4.2853619435195459E-2</v>
      </c>
      <c r="H18" s="217">
        <f>VLOOKUP($A18,'INDEXACIÓN PRODUCTOS MES A MES'!$B$5:$W$396,20,0)</f>
        <v>33826</v>
      </c>
      <c r="I18" s="217">
        <f t="shared" si="1"/>
        <v>5401</v>
      </c>
      <c r="J18" s="217">
        <f t="shared" si="2"/>
        <v>28425</v>
      </c>
      <c r="K18" s="218">
        <v>12</v>
      </c>
      <c r="L18" s="219">
        <f t="shared" si="3"/>
        <v>2819</v>
      </c>
      <c r="M18" s="219">
        <f t="shared" si="4"/>
        <v>11276</v>
      </c>
      <c r="N18" s="219">
        <f t="shared" si="5"/>
        <v>14095</v>
      </c>
      <c r="O18" s="129"/>
      <c r="P18" s="129"/>
    </row>
    <row r="19" spans="1:16" ht="38.25">
      <c r="A19" s="215" t="s">
        <v>645</v>
      </c>
      <c r="B19" s="220" t="s">
        <v>1532</v>
      </c>
      <c r="C19" s="216">
        <v>4</v>
      </c>
      <c r="D19" s="216">
        <f t="shared" si="0"/>
        <v>5</v>
      </c>
      <c r="E19" s="76" t="s">
        <v>647</v>
      </c>
      <c r="F19" s="77" t="s">
        <v>36</v>
      </c>
      <c r="G19" s="210">
        <f>VLOOKUP($A19,'INDEXACIÓN PRODUCTOS MES A MES'!$B$5:$W$396,22,0)</f>
        <v>9.1146240934940267E-2</v>
      </c>
      <c r="H19" s="217">
        <f>VLOOKUP($A19,'INDEXACIÓN PRODUCTOS MES A MES'!$B$5:$W$396,20,0)</f>
        <v>41828</v>
      </c>
      <c r="I19" s="217">
        <f t="shared" si="1"/>
        <v>6678</v>
      </c>
      <c r="J19" s="217">
        <f t="shared" si="2"/>
        <v>35150</v>
      </c>
      <c r="K19" s="218">
        <v>12</v>
      </c>
      <c r="L19" s="219">
        <f t="shared" si="3"/>
        <v>3486</v>
      </c>
      <c r="M19" s="219">
        <f t="shared" si="4"/>
        <v>13944</v>
      </c>
      <c r="N19" s="219">
        <f t="shared" si="5"/>
        <v>17430</v>
      </c>
      <c r="O19" s="129"/>
      <c r="P19" s="129"/>
    </row>
    <row r="20" spans="1:16" ht="38.25">
      <c r="A20" s="215" t="s">
        <v>651</v>
      </c>
      <c r="B20" s="215" t="s">
        <v>216</v>
      </c>
      <c r="C20" s="216">
        <v>20</v>
      </c>
      <c r="D20" s="216">
        <f t="shared" si="0"/>
        <v>26</v>
      </c>
      <c r="E20" s="76" t="s">
        <v>137</v>
      </c>
      <c r="F20" s="77" t="s">
        <v>36</v>
      </c>
      <c r="G20" s="210">
        <f>VLOOKUP($A20,'INDEXACIÓN PRODUCTOS MES A MES'!$B$5:$W$396,22,0)</f>
        <v>9.1246468668883626E-2</v>
      </c>
      <c r="H20" s="217">
        <f>VLOOKUP($A20,'INDEXACIÓN PRODUCTOS MES A MES'!$B$5:$W$396,20,0)</f>
        <v>104680</v>
      </c>
      <c r="I20" s="217">
        <f t="shared" si="1"/>
        <v>16714</v>
      </c>
      <c r="J20" s="217">
        <f t="shared" si="2"/>
        <v>87966</v>
      </c>
      <c r="K20" s="218">
        <v>12</v>
      </c>
      <c r="L20" s="219">
        <f t="shared" si="3"/>
        <v>8723</v>
      </c>
      <c r="M20" s="219">
        <f t="shared" si="4"/>
        <v>174460</v>
      </c>
      <c r="N20" s="219">
        <f t="shared" si="5"/>
        <v>226798</v>
      </c>
      <c r="O20" s="129"/>
      <c r="P20" s="129"/>
    </row>
    <row r="21" spans="1:16" s="187" customFormat="1" ht="127.5">
      <c r="A21" s="215" t="s">
        <v>677</v>
      </c>
      <c r="B21" s="215" t="s">
        <v>678</v>
      </c>
      <c r="C21" s="216">
        <v>4</v>
      </c>
      <c r="D21" s="216">
        <f t="shared" si="0"/>
        <v>5</v>
      </c>
      <c r="E21" s="221" t="s">
        <v>465</v>
      </c>
      <c r="F21" s="222" t="s">
        <v>62</v>
      </c>
      <c r="G21" s="210">
        <f>VLOOKUP($A21,'INDEXACIÓN PRODUCTOS MES A MES'!$B$5:$W$396,22,0)</f>
        <v>4.2911079916743311E-2</v>
      </c>
      <c r="H21" s="217">
        <f>VLOOKUP($A21,'INDEXACIÓN PRODUCTOS MES A MES'!$B$5:$W$396,20,0)</f>
        <v>172364</v>
      </c>
      <c r="I21" s="217">
        <f t="shared" si="1"/>
        <v>27520</v>
      </c>
      <c r="J21" s="217">
        <f t="shared" si="2"/>
        <v>144844</v>
      </c>
      <c r="K21" s="218">
        <v>12</v>
      </c>
      <c r="L21" s="219">
        <f t="shared" si="3"/>
        <v>14364</v>
      </c>
      <c r="M21" s="219">
        <f t="shared" si="4"/>
        <v>57456</v>
      </c>
      <c r="N21" s="219">
        <f t="shared" si="5"/>
        <v>71820</v>
      </c>
      <c r="O21" s="263"/>
      <c r="P21" s="263"/>
    </row>
    <row r="22" spans="1:16" s="187" customFormat="1" ht="127.5">
      <c r="A22" s="215" t="s">
        <v>673</v>
      </c>
      <c r="B22" s="215" t="s">
        <v>674</v>
      </c>
      <c r="C22" s="216">
        <v>1</v>
      </c>
      <c r="D22" s="216">
        <f t="shared" si="0"/>
        <v>1</v>
      </c>
      <c r="E22" s="76" t="s">
        <v>465</v>
      </c>
      <c r="F22" s="77" t="s">
        <v>62</v>
      </c>
      <c r="G22" s="210">
        <f>VLOOKUP($A22,'INDEXACIÓN PRODUCTOS MES A MES'!$B$5:$W$396,22,0)</f>
        <v>4.2902561508725026E-2</v>
      </c>
      <c r="H22" s="217">
        <f>VLOOKUP($A22,'INDEXACIÓN PRODUCTOS MES A MES'!$B$5:$W$396,20,0)</f>
        <v>115466</v>
      </c>
      <c r="I22" s="217">
        <f t="shared" si="1"/>
        <v>18436</v>
      </c>
      <c r="J22" s="217">
        <f t="shared" si="2"/>
        <v>97030</v>
      </c>
      <c r="K22" s="218">
        <v>12</v>
      </c>
      <c r="L22" s="219">
        <f t="shared" si="3"/>
        <v>9622</v>
      </c>
      <c r="M22" s="219">
        <f t="shared" si="4"/>
        <v>9622</v>
      </c>
      <c r="N22" s="219">
        <f t="shared" si="5"/>
        <v>9622</v>
      </c>
      <c r="O22" s="263"/>
      <c r="P22" s="263"/>
    </row>
    <row r="23" spans="1:16">
      <c r="A23" s="215" t="s">
        <v>634</v>
      </c>
      <c r="B23" s="173" t="s">
        <v>635</v>
      </c>
      <c r="C23" s="216">
        <v>1</v>
      </c>
      <c r="D23" s="216">
        <f t="shared" si="0"/>
        <v>1</v>
      </c>
      <c r="E23" s="223" t="s">
        <v>465</v>
      </c>
      <c r="F23" s="223" t="s">
        <v>84</v>
      </c>
      <c r="G23" s="210">
        <f>VLOOKUP($A23,'INDEXACIÓN PRODUCTOS MES A MES'!$B$5:$W$396,22,0)</f>
        <v>0</v>
      </c>
      <c r="H23" s="217">
        <f>VLOOKUP($A23,'INDEXACIÓN PRODUCTOS MES A MES'!$B$5:$W$396,20,0)</f>
        <v>107694</v>
      </c>
      <c r="I23" s="217">
        <f t="shared" si="1"/>
        <v>17195</v>
      </c>
      <c r="J23" s="217">
        <f t="shared" si="2"/>
        <v>90499</v>
      </c>
      <c r="K23" s="218">
        <v>12</v>
      </c>
      <c r="L23" s="219">
        <f t="shared" si="3"/>
        <v>8975</v>
      </c>
      <c r="M23" s="219">
        <f t="shared" si="4"/>
        <v>8975</v>
      </c>
      <c r="N23" s="219">
        <f t="shared" si="5"/>
        <v>8975</v>
      </c>
      <c r="O23" s="129"/>
      <c r="P23" s="129"/>
    </row>
    <row r="24" spans="1:16">
      <c r="A24" s="215" t="s">
        <v>636</v>
      </c>
      <c r="B24" s="173" t="s">
        <v>637</v>
      </c>
      <c r="C24" s="216">
        <v>1</v>
      </c>
      <c r="D24" s="216">
        <f t="shared" si="0"/>
        <v>1</v>
      </c>
      <c r="E24" s="223" t="s">
        <v>465</v>
      </c>
      <c r="F24" s="223" t="s">
        <v>84</v>
      </c>
      <c r="G24" s="210">
        <f>VLOOKUP($A24,'INDEXACIÓN PRODUCTOS MES A MES'!$B$5:$W$396,22,0)</f>
        <v>0</v>
      </c>
      <c r="H24" s="217">
        <f>VLOOKUP($A24,'INDEXACIÓN PRODUCTOS MES A MES'!$B$5:$W$396,20,0)</f>
        <v>108767</v>
      </c>
      <c r="I24" s="217">
        <f t="shared" si="1"/>
        <v>17366</v>
      </c>
      <c r="J24" s="217">
        <f t="shared" si="2"/>
        <v>91401</v>
      </c>
      <c r="K24" s="218">
        <v>12</v>
      </c>
      <c r="L24" s="219">
        <f t="shared" si="3"/>
        <v>9064</v>
      </c>
      <c r="M24" s="219">
        <f t="shared" si="4"/>
        <v>9064</v>
      </c>
      <c r="N24" s="219">
        <f t="shared" si="5"/>
        <v>9064</v>
      </c>
      <c r="O24" s="129"/>
      <c r="P24" s="129"/>
    </row>
    <row r="25" spans="1:16">
      <c r="A25" s="215" t="s">
        <v>638</v>
      </c>
      <c r="B25" s="173" t="s">
        <v>639</v>
      </c>
      <c r="C25" s="216">
        <v>1</v>
      </c>
      <c r="D25" s="216">
        <f t="shared" si="0"/>
        <v>1</v>
      </c>
      <c r="E25" s="223" t="s">
        <v>465</v>
      </c>
      <c r="F25" s="223" t="s">
        <v>84</v>
      </c>
      <c r="G25" s="210">
        <f>VLOOKUP($A25,'INDEXACIÓN PRODUCTOS MES A MES'!$B$5:$W$396,22,0)</f>
        <v>0</v>
      </c>
      <c r="H25" s="217">
        <f>VLOOKUP($A25,'INDEXACIÓN PRODUCTOS MES A MES'!$B$5:$W$396,20,0)</f>
        <v>147902</v>
      </c>
      <c r="I25" s="217">
        <f t="shared" si="1"/>
        <v>23615</v>
      </c>
      <c r="J25" s="217">
        <f t="shared" si="2"/>
        <v>124287</v>
      </c>
      <c r="K25" s="218">
        <v>12</v>
      </c>
      <c r="L25" s="219">
        <f t="shared" si="3"/>
        <v>12325</v>
      </c>
      <c r="M25" s="219">
        <f t="shared" si="4"/>
        <v>12325</v>
      </c>
      <c r="N25" s="219">
        <f t="shared" si="5"/>
        <v>12325</v>
      </c>
      <c r="O25" s="129"/>
      <c r="P25" s="129"/>
    </row>
    <row r="26" spans="1:16">
      <c r="A26" s="215" t="s">
        <v>642</v>
      </c>
      <c r="B26" s="173" t="s">
        <v>1533</v>
      </c>
      <c r="C26" s="216">
        <v>20</v>
      </c>
      <c r="D26" s="216">
        <f t="shared" si="0"/>
        <v>26</v>
      </c>
      <c r="E26" s="223" t="s">
        <v>465</v>
      </c>
      <c r="F26" s="77" t="s">
        <v>36</v>
      </c>
      <c r="G26" s="210">
        <f>VLOOKUP($A26,'INDEXACIÓN PRODUCTOS MES A MES'!$B$5:$W$396,22,0)</f>
        <v>0</v>
      </c>
      <c r="H26" s="217">
        <f>VLOOKUP($A26,'INDEXACIÓN PRODUCTOS MES A MES'!$B$5:$W$396,20,0)</f>
        <v>69100</v>
      </c>
      <c r="I26" s="217">
        <f t="shared" si="1"/>
        <v>11033</v>
      </c>
      <c r="J26" s="217">
        <f t="shared" si="2"/>
        <v>58067</v>
      </c>
      <c r="K26" s="218">
        <v>12</v>
      </c>
      <c r="L26" s="219">
        <f t="shared" si="3"/>
        <v>5758</v>
      </c>
      <c r="M26" s="219">
        <f t="shared" si="4"/>
        <v>115160</v>
      </c>
      <c r="N26" s="219">
        <f t="shared" si="5"/>
        <v>149708</v>
      </c>
      <c r="O26" s="129"/>
      <c r="P26" s="129"/>
    </row>
    <row r="27" spans="1:16" ht="25.5">
      <c r="A27" s="215" t="s">
        <v>659</v>
      </c>
      <c r="B27" s="173" t="s">
        <v>660</v>
      </c>
      <c r="C27" s="216">
        <v>1</v>
      </c>
      <c r="D27" s="216">
        <f t="shared" si="0"/>
        <v>1</v>
      </c>
      <c r="E27" s="76" t="s">
        <v>124</v>
      </c>
      <c r="F27" s="77" t="s">
        <v>46</v>
      </c>
      <c r="G27" s="210">
        <f>VLOOKUP($A27,'INDEXACIÓN PRODUCTOS MES A MES'!$B$5:$W$396,22,0)</f>
        <v>5.8414281963770021E-2</v>
      </c>
      <c r="H27" s="217">
        <f>VLOOKUP($A27,'INDEXACIÓN PRODUCTOS MES A MES'!$B$5:$W$396,20,0)</f>
        <v>48378</v>
      </c>
      <c r="I27" s="217">
        <f t="shared" si="1"/>
        <v>7724</v>
      </c>
      <c r="J27" s="217">
        <f t="shared" si="2"/>
        <v>40654</v>
      </c>
      <c r="K27" s="218">
        <v>12</v>
      </c>
      <c r="L27" s="219">
        <f t="shared" si="3"/>
        <v>4032</v>
      </c>
      <c r="M27" s="219">
        <f t="shared" si="4"/>
        <v>4032</v>
      </c>
      <c r="N27" s="219">
        <f t="shared" si="5"/>
        <v>4032</v>
      </c>
      <c r="O27" s="129"/>
      <c r="P27" s="129"/>
    </row>
    <row r="28" spans="1:16" ht="25.5">
      <c r="A28" s="215" t="s">
        <v>661</v>
      </c>
      <c r="B28" s="173" t="s">
        <v>662</v>
      </c>
      <c r="C28" s="216">
        <v>1</v>
      </c>
      <c r="D28" s="216">
        <f t="shared" si="0"/>
        <v>1</v>
      </c>
      <c r="E28" s="76" t="s">
        <v>124</v>
      </c>
      <c r="F28" s="77" t="s">
        <v>46</v>
      </c>
      <c r="G28" s="210">
        <f>VLOOKUP($A28,'INDEXACIÓN PRODUCTOS MES A MES'!$B$5:$W$396,22,0)</f>
        <v>5.8452400064215766E-2</v>
      </c>
      <c r="H28" s="217">
        <f>VLOOKUP($A28,'INDEXACIÓN PRODUCTOS MES A MES'!$B$5:$W$396,20,0)</f>
        <v>65931</v>
      </c>
      <c r="I28" s="217">
        <f t="shared" si="1"/>
        <v>10527</v>
      </c>
      <c r="J28" s="217">
        <f t="shared" si="2"/>
        <v>55404</v>
      </c>
      <c r="K28" s="218">
        <v>12</v>
      </c>
      <c r="L28" s="219">
        <f t="shared" si="3"/>
        <v>5494</v>
      </c>
      <c r="M28" s="219">
        <f t="shared" si="4"/>
        <v>5494</v>
      </c>
      <c r="N28" s="219">
        <f t="shared" si="5"/>
        <v>5494</v>
      </c>
      <c r="O28" s="129"/>
      <c r="P28" s="129"/>
    </row>
    <row r="29" spans="1:16" ht="25.5">
      <c r="A29" s="215" t="s">
        <v>663</v>
      </c>
      <c r="B29" s="173" t="s">
        <v>664</v>
      </c>
      <c r="C29" s="216">
        <v>1</v>
      </c>
      <c r="D29" s="216">
        <f t="shared" si="0"/>
        <v>1</v>
      </c>
      <c r="E29" s="223" t="s">
        <v>124</v>
      </c>
      <c r="F29" s="223" t="s">
        <v>84</v>
      </c>
      <c r="G29" s="210">
        <f>VLOOKUP($A29,'INDEXACIÓN PRODUCTOS MES A MES'!$B$5:$W$396,22,0)</f>
        <v>0</v>
      </c>
      <c r="H29" s="217">
        <f>VLOOKUP($A29,'INDEXACIÓN PRODUCTOS MES A MES'!$B$5:$W$396,20,0)</f>
        <v>101547</v>
      </c>
      <c r="I29" s="217">
        <f t="shared" si="1"/>
        <v>16213</v>
      </c>
      <c r="J29" s="217">
        <f t="shared" si="2"/>
        <v>85334</v>
      </c>
      <c r="K29" s="218">
        <v>12</v>
      </c>
      <c r="L29" s="219">
        <f t="shared" si="3"/>
        <v>8462</v>
      </c>
      <c r="M29" s="219">
        <f t="shared" si="4"/>
        <v>8462</v>
      </c>
      <c r="N29" s="219">
        <f t="shared" si="5"/>
        <v>8462</v>
      </c>
      <c r="O29" s="129"/>
      <c r="P29" s="129"/>
    </row>
    <row r="32" spans="1:16">
      <c r="A32" s="129"/>
      <c r="B32" s="129"/>
      <c r="C32" s="129"/>
      <c r="D32" s="129"/>
      <c r="E32" s="129"/>
      <c r="F32" s="129"/>
      <c r="G32" s="130"/>
      <c r="H32" s="130"/>
      <c r="I32" s="130"/>
      <c r="J32" s="130"/>
      <c r="K32" s="827" t="s">
        <v>1497</v>
      </c>
      <c r="L32" s="827"/>
      <c r="M32" s="264">
        <f>SUM(M8:M29)</f>
        <v>717662</v>
      </c>
      <c r="N32" s="264">
        <f>SUM(N8:N29)</f>
        <v>953923</v>
      </c>
      <c r="O32" s="129"/>
      <c r="P32" s="129"/>
    </row>
    <row r="33" spans="1:16">
      <c r="A33" s="129"/>
      <c r="B33" s="129"/>
      <c r="C33" s="129"/>
      <c r="D33" s="129"/>
      <c r="E33" s="129"/>
      <c r="F33" s="129"/>
      <c r="G33" s="130"/>
      <c r="H33" s="130"/>
      <c r="I33" s="130"/>
      <c r="J33" s="130"/>
      <c r="K33" s="827" t="s">
        <v>1534</v>
      </c>
      <c r="L33" s="827"/>
      <c r="M33" s="264">
        <f>ROUND(M32/30,0)</f>
        <v>23922</v>
      </c>
      <c r="N33" s="264">
        <f>ROUND(N32/30,0)</f>
        <v>31797</v>
      </c>
      <c r="O33" s="129"/>
      <c r="P33" s="129"/>
    </row>
    <row r="34" spans="1:16">
      <c r="A34" s="129"/>
      <c r="B34" s="129"/>
      <c r="C34" s="129"/>
      <c r="D34" s="129"/>
      <c r="E34" s="129"/>
      <c r="F34" s="129"/>
      <c r="G34" s="130"/>
      <c r="H34" s="130"/>
      <c r="I34" s="130"/>
      <c r="J34" s="130"/>
      <c r="K34" s="827" t="s">
        <v>1535</v>
      </c>
      <c r="L34" s="827" t="s">
        <v>1520</v>
      </c>
      <c r="M34" s="264">
        <f>ROUND(M33/M7,0)</f>
        <v>239</v>
      </c>
      <c r="N34" s="264">
        <f>ROUND(N33/N7,0)</f>
        <v>245</v>
      </c>
      <c r="O34" s="129"/>
      <c r="P34" s="129"/>
    </row>
    <row r="35" spans="1:16">
      <c r="A35" s="129"/>
      <c r="B35" s="129"/>
      <c r="C35" s="129"/>
      <c r="D35" s="129"/>
      <c r="E35" s="129"/>
      <c r="F35" s="129"/>
      <c r="G35" s="130"/>
      <c r="H35" s="130"/>
      <c r="I35" s="130"/>
      <c r="J35" s="130"/>
      <c r="K35" s="131"/>
      <c r="L35" s="130"/>
      <c r="M35" s="130"/>
      <c r="N35" s="130"/>
      <c r="O35" s="129"/>
      <c r="P35" s="129"/>
    </row>
  </sheetData>
  <autoFilter ref="A5:M29" xr:uid="{00000000-0009-0000-0000-00000F000000}"/>
  <mergeCells count="18">
    <mergeCell ref="A2:N2"/>
    <mergeCell ref="A5:A7"/>
    <mergeCell ref="B5:B7"/>
    <mergeCell ref="K5:K7"/>
    <mergeCell ref="E5:E7"/>
    <mergeCell ref="F5:F7"/>
    <mergeCell ref="H5:H7"/>
    <mergeCell ref="I5:I7"/>
    <mergeCell ref="G5:G7"/>
    <mergeCell ref="C5:D5"/>
    <mergeCell ref="C6:D6"/>
    <mergeCell ref="J5:J7"/>
    <mergeCell ref="M5:N5"/>
    <mergeCell ref="M6:N6"/>
    <mergeCell ref="K34:L34"/>
    <mergeCell ref="K32:L32"/>
    <mergeCell ref="K33:L33"/>
    <mergeCell ref="L5:L7"/>
  </mergeCells>
  <conditionalFormatting sqref="F8:F29">
    <cfRule type="containsBlanks" dxfId="6" priority="2">
      <formula>LEN(TRIM(F8))=0</formula>
    </cfRule>
  </conditionalFormatting>
  <pageMargins left="0.7" right="0.7" top="0.75" bottom="0.75" header="0.3" footer="0.3"/>
  <extLs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00B050"/>
  </sheetPr>
  <dimension ref="A1:P66"/>
  <sheetViews>
    <sheetView showGridLines="0" topLeftCell="B57" workbookViewId="0">
      <selection activeCell="O64" sqref="O64"/>
    </sheetView>
  </sheetViews>
  <sheetFormatPr defaultColWidth="11.42578125" defaultRowHeight="12"/>
  <cols>
    <col min="1" max="1" width="25.7109375" style="103" customWidth="1"/>
    <col min="2" max="2" width="38.85546875" style="103" customWidth="1"/>
    <col min="3" max="3" width="14.28515625" style="103" customWidth="1"/>
    <col min="4" max="4" width="10.140625" style="103" customWidth="1"/>
    <col min="5" max="5" width="9.42578125" style="103" customWidth="1"/>
    <col min="6" max="6" width="11.42578125" style="103" customWidth="1"/>
    <col min="7" max="7" width="11.42578125" style="103"/>
    <col min="8" max="8" width="13.28515625" style="103" customWidth="1"/>
    <col min="9" max="10" width="14.42578125" style="103" customWidth="1"/>
    <col min="11" max="11" width="14.42578125" style="600" customWidth="1"/>
    <col min="12" max="12" width="14.28515625" style="103" customWidth="1"/>
    <col min="13" max="13" width="11.7109375" style="103" customWidth="1"/>
    <col min="14" max="14" width="15.140625" style="103" customWidth="1"/>
    <col min="15" max="15" width="15.42578125" style="103" customWidth="1"/>
    <col min="16" max="16384" width="11.42578125" style="103"/>
  </cols>
  <sheetData>
    <row r="1" spans="1:16">
      <c r="A1" s="104" t="s">
        <v>1536</v>
      </c>
    </row>
    <row r="2" spans="1:16" ht="24" customHeight="1">
      <c r="A2" s="836" t="s">
        <v>1537</v>
      </c>
      <c r="B2" s="836"/>
      <c r="C2" s="836"/>
      <c r="D2" s="836"/>
      <c r="E2" s="836"/>
      <c r="F2" s="836"/>
      <c r="G2" s="836"/>
      <c r="H2" s="836"/>
      <c r="I2" s="836"/>
      <c r="J2" s="836"/>
      <c r="K2" s="836"/>
      <c r="L2" s="836"/>
      <c r="M2" s="836"/>
      <c r="N2" s="836"/>
      <c r="O2" s="836"/>
    </row>
    <row r="3" spans="1:16">
      <c r="A3" s="104"/>
    </row>
    <row r="4" spans="1:16">
      <c r="A4" s="104" t="s">
        <v>1538</v>
      </c>
    </row>
    <row r="5" spans="1:16" ht="12" customHeight="1">
      <c r="A5" s="841" t="s">
        <v>1523</v>
      </c>
      <c r="B5" s="841" t="s">
        <v>1216</v>
      </c>
      <c r="C5" s="841" t="s">
        <v>1171</v>
      </c>
      <c r="D5" s="861" t="s">
        <v>1172</v>
      </c>
      <c r="E5" s="861"/>
      <c r="F5" s="842" t="s">
        <v>89</v>
      </c>
      <c r="G5" s="842" t="s">
        <v>90</v>
      </c>
      <c r="H5" s="846" t="s">
        <v>1173</v>
      </c>
      <c r="I5" s="842" t="s">
        <v>1174</v>
      </c>
      <c r="J5" s="843" t="s">
        <v>1175</v>
      </c>
      <c r="K5" s="843" t="s">
        <v>1176</v>
      </c>
      <c r="L5" s="843" t="s">
        <v>1539</v>
      </c>
      <c r="M5" s="837" t="s">
        <v>1178</v>
      </c>
      <c r="N5" s="840" t="s">
        <v>1540</v>
      </c>
      <c r="O5" s="840"/>
    </row>
    <row r="6" spans="1:16">
      <c r="A6" s="841"/>
      <c r="B6" s="841"/>
      <c r="C6" s="841"/>
      <c r="D6" s="597" t="s">
        <v>1180</v>
      </c>
      <c r="E6" s="597" t="s">
        <v>1180</v>
      </c>
      <c r="F6" s="842"/>
      <c r="G6" s="842"/>
      <c r="H6" s="847"/>
      <c r="I6" s="842"/>
      <c r="J6" s="844"/>
      <c r="K6" s="844"/>
      <c r="L6" s="844"/>
      <c r="M6" s="838"/>
      <c r="N6" s="597" t="s">
        <v>1180</v>
      </c>
      <c r="O6" s="597" t="s">
        <v>1180</v>
      </c>
    </row>
    <row r="7" spans="1:16">
      <c r="A7" s="841"/>
      <c r="B7" s="841"/>
      <c r="C7" s="841"/>
      <c r="D7" s="597">
        <v>100</v>
      </c>
      <c r="E7" s="597">
        <v>130</v>
      </c>
      <c r="F7" s="842"/>
      <c r="G7" s="842"/>
      <c r="H7" s="848"/>
      <c r="I7" s="842"/>
      <c r="J7" s="845"/>
      <c r="K7" s="845"/>
      <c r="L7" s="845"/>
      <c r="M7" s="839"/>
      <c r="N7" s="597">
        <v>100</v>
      </c>
      <c r="O7" s="597">
        <v>130</v>
      </c>
      <c r="P7" s="103">
        <f>N7/130</f>
        <v>0.76923076923076927</v>
      </c>
    </row>
    <row r="8" spans="1:16" s="116" customFormat="1" ht="12.75">
      <c r="A8" s="204" t="s">
        <v>730</v>
      </c>
      <c r="B8" s="215" t="s">
        <v>731</v>
      </c>
      <c r="C8" s="204" t="s">
        <v>1541</v>
      </c>
      <c r="D8" s="225">
        <v>8</v>
      </c>
      <c r="E8" s="226">
        <v>10</v>
      </c>
      <c r="F8" s="225" t="s">
        <v>108</v>
      </c>
      <c r="G8" s="225" t="s">
        <v>84</v>
      </c>
      <c r="H8" s="227">
        <f>VLOOKUP($A8,'INDEXACIÓN PRODUCTOS MES A MES'!$B$5:$W$396,22,0)</f>
        <v>0</v>
      </c>
      <c r="I8" s="209">
        <f>VLOOKUP($A8,'INDEXACIÓN PRODUCTOS MES A MES'!$B$5:$W$396,20,0)</f>
        <v>29591</v>
      </c>
      <c r="J8" s="598">
        <f>I8-K8</f>
        <v>4725</v>
      </c>
      <c r="K8" s="101">
        <f>ROUND((I8/1.19),0)</f>
        <v>24866</v>
      </c>
      <c r="L8" s="114">
        <v>12</v>
      </c>
      <c r="M8" s="115">
        <f>ROUND((I8/L8),0)</f>
        <v>2466</v>
      </c>
      <c r="N8" s="115">
        <f>ROUND(($M8*D8),0)</f>
        <v>19728</v>
      </c>
      <c r="O8" s="115">
        <f>ROUND(($M8*E8),0)</f>
        <v>24660</v>
      </c>
    </row>
    <row r="9" spans="1:16" s="116" customFormat="1" ht="12.75">
      <c r="A9" s="204" t="s">
        <v>690</v>
      </c>
      <c r="B9" s="215" t="s">
        <v>691</v>
      </c>
      <c r="C9" s="204" t="s">
        <v>1541</v>
      </c>
      <c r="D9" s="225">
        <v>8</v>
      </c>
      <c r="E9" s="226">
        <v>10</v>
      </c>
      <c r="F9" s="225" t="s">
        <v>108</v>
      </c>
      <c r="G9" s="225" t="s">
        <v>84</v>
      </c>
      <c r="H9" s="227">
        <f>VLOOKUP($A9,'INDEXACIÓN PRODUCTOS MES A MES'!$B$5:$W$396,22,0)</f>
        <v>0</v>
      </c>
      <c r="I9" s="209">
        <f>VLOOKUP($A9,'INDEXACIÓN PRODUCTOS MES A MES'!$B$5:$W$396,20,0)</f>
        <v>54686</v>
      </c>
      <c r="J9" s="598">
        <f t="shared" ref="J9:J47" si="0">I9-K9</f>
        <v>8731</v>
      </c>
      <c r="K9" s="224">
        <f t="shared" ref="K9:K47" si="1">ROUND((I9/1.19),0)</f>
        <v>45955</v>
      </c>
      <c r="L9" s="114">
        <v>12</v>
      </c>
      <c r="M9" s="115">
        <f t="shared" ref="M9:M47" si="2">ROUND((I9/L9),0)</f>
        <v>4557</v>
      </c>
      <c r="N9" s="115">
        <f t="shared" ref="N9:N47" si="3">ROUND(($M9*D9),0)</f>
        <v>36456</v>
      </c>
      <c r="O9" s="115">
        <f t="shared" ref="O9:O47" si="4">ROUND(($M9*E9),0)</f>
        <v>45570</v>
      </c>
    </row>
    <row r="10" spans="1:16" s="116" customFormat="1" ht="12.75">
      <c r="A10" s="204" t="s">
        <v>684</v>
      </c>
      <c r="B10" s="215" t="s">
        <v>685</v>
      </c>
      <c r="C10" s="204" t="s">
        <v>1541</v>
      </c>
      <c r="D10" s="225">
        <v>3</v>
      </c>
      <c r="E10" s="226">
        <v>3</v>
      </c>
      <c r="F10" s="225" t="s">
        <v>108</v>
      </c>
      <c r="G10" s="225" t="s">
        <v>84</v>
      </c>
      <c r="H10" s="227">
        <f>VLOOKUP($A10,'INDEXACIÓN PRODUCTOS MES A MES'!$B$5:$W$396,22,0)</f>
        <v>0</v>
      </c>
      <c r="I10" s="209">
        <f>VLOOKUP($A10,'INDEXACIÓN PRODUCTOS MES A MES'!$B$5:$W$396,20,0)</f>
        <v>84035</v>
      </c>
      <c r="J10" s="598">
        <f t="shared" si="0"/>
        <v>13417</v>
      </c>
      <c r="K10" s="224">
        <f t="shared" si="1"/>
        <v>70618</v>
      </c>
      <c r="L10" s="114">
        <v>12</v>
      </c>
      <c r="M10" s="115">
        <f t="shared" si="2"/>
        <v>7003</v>
      </c>
      <c r="N10" s="115">
        <f t="shared" si="3"/>
        <v>21009</v>
      </c>
      <c r="O10" s="115">
        <f t="shared" si="4"/>
        <v>21009</v>
      </c>
    </row>
    <row r="11" spans="1:16" s="116" customFormat="1" ht="12.75">
      <c r="A11" s="204" t="s">
        <v>682</v>
      </c>
      <c r="B11" s="215" t="s">
        <v>683</v>
      </c>
      <c r="C11" s="204" t="s">
        <v>1541</v>
      </c>
      <c r="D11" s="225">
        <v>2</v>
      </c>
      <c r="E11" s="226">
        <v>2</v>
      </c>
      <c r="F11" s="225" t="s">
        <v>108</v>
      </c>
      <c r="G11" s="225" t="s">
        <v>84</v>
      </c>
      <c r="H11" s="227">
        <f>VLOOKUP($A11,'INDEXACIÓN PRODUCTOS MES A MES'!$B$5:$W$396,22,0)</f>
        <v>0</v>
      </c>
      <c r="I11" s="209">
        <f>VLOOKUP($A11,'INDEXACIÓN PRODUCTOS MES A MES'!$B$5:$W$396,20,0)</f>
        <v>45173</v>
      </c>
      <c r="J11" s="598">
        <f t="shared" si="0"/>
        <v>7212</v>
      </c>
      <c r="K11" s="224">
        <f t="shared" si="1"/>
        <v>37961</v>
      </c>
      <c r="L11" s="114">
        <v>12</v>
      </c>
      <c r="M11" s="115">
        <f t="shared" si="2"/>
        <v>3764</v>
      </c>
      <c r="N11" s="115">
        <f t="shared" si="3"/>
        <v>7528</v>
      </c>
      <c r="O11" s="115">
        <f t="shared" si="4"/>
        <v>7528</v>
      </c>
    </row>
    <row r="12" spans="1:16" s="116" customFormat="1" ht="25.5">
      <c r="A12" s="204" t="s">
        <v>743</v>
      </c>
      <c r="B12" s="215" t="s">
        <v>744</v>
      </c>
      <c r="C12" s="204" t="s">
        <v>1541</v>
      </c>
      <c r="D12" s="225">
        <v>3</v>
      </c>
      <c r="E12" s="226">
        <v>3</v>
      </c>
      <c r="F12" s="225" t="s">
        <v>108</v>
      </c>
      <c r="G12" s="225" t="s">
        <v>84</v>
      </c>
      <c r="H12" s="227">
        <f>VLOOKUP($A12,'INDEXACIÓN PRODUCTOS MES A MES'!$B$5:$W$396,22,0)</f>
        <v>0</v>
      </c>
      <c r="I12" s="209">
        <f>VLOOKUP($A12,'INDEXACIÓN PRODUCTOS MES A MES'!$B$5:$W$396,20,0)</f>
        <v>78474</v>
      </c>
      <c r="J12" s="598">
        <f t="shared" si="0"/>
        <v>12529</v>
      </c>
      <c r="K12" s="224">
        <f t="shared" si="1"/>
        <v>65945</v>
      </c>
      <c r="L12" s="114">
        <v>12</v>
      </c>
      <c r="M12" s="115">
        <f t="shared" si="2"/>
        <v>6540</v>
      </c>
      <c r="N12" s="115">
        <f t="shared" si="3"/>
        <v>19620</v>
      </c>
      <c r="O12" s="115">
        <f t="shared" si="4"/>
        <v>19620</v>
      </c>
    </row>
    <row r="13" spans="1:16" s="116" customFormat="1" ht="12.75">
      <c r="A13" s="204" t="s">
        <v>739</v>
      </c>
      <c r="B13" s="215" t="s">
        <v>740</v>
      </c>
      <c r="C13" s="204" t="s">
        <v>1541</v>
      </c>
      <c r="D13" s="225">
        <v>3</v>
      </c>
      <c r="E13" s="226">
        <v>3</v>
      </c>
      <c r="F13" s="225" t="s">
        <v>108</v>
      </c>
      <c r="G13" s="225" t="s">
        <v>84</v>
      </c>
      <c r="H13" s="227">
        <f>VLOOKUP($A13,'INDEXACIÓN PRODUCTOS MES A MES'!$B$5:$W$396,22,0)</f>
        <v>0</v>
      </c>
      <c r="I13" s="209">
        <f>VLOOKUP($A13,'INDEXACIÓN PRODUCTOS MES A MES'!$B$5:$W$396,20,0)</f>
        <v>30895</v>
      </c>
      <c r="J13" s="598">
        <f t="shared" si="0"/>
        <v>4933</v>
      </c>
      <c r="K13" s="224">
        <f t="shared" si="1"/>
        <v>25962</v>
      </c>
      <c r="L13" s="114">
        <v>12</v>
      </c>
      <c r="M13" s="115">
        <f t="shared" si="2"/>
        <v>2575</v>
      </c>
      <c r="N13" s="115">
        <f t="shared" si="3"/>
        <v>7725</v>
      </c>
      <c r="O13" s="115">
        <f t="shared" si="4"/>
        <v>7725</v>
      </c>
    </row>
    <row r="14" spans="1:16" s="116" customFormat="1" ht="12.75">
      <c r="A14" s="204" t="s">
        <v>741</v>
      </c>
      <c r="B14" s="215" t="s">
        <v>742</v>
      </c>
      <c r="C14" s="204" t="s">
        <v>1541</v>
      </c>
      <c r="D14" s="225">
        <v>2</v>
      </c>
      <c r="E14" s="226">
        <v>2</v>
      </c>
      <c r="F14" s="225" t="s">
        <v>108</v>
      </c>
      <c r="G14" s="225" t="s">
        <v>84</v>
      </c>
      <c r="H14" s="227">
        <f>VLOOKUP($A14,'INDEXACIÓN PRODUCTOS MES A MES'!$B$5:$W$396,22,0)</f>
        <v>0</v>
      </c>
      <c r="I14" s="209">
        <f>VLOOKUP($A14,'INDEXACIÓN PRODUCTOS MES A MES'!$B$5:$W$396,20,0)</f>
        <v>30895</v>
      </c>
      <c r="J14" s="598">
        <f t="shared" si="0"/>
        <v>4933</v>
      </c>
      <c r="K14" s="224">
        <f t="shared" si="1"/>
        <v>25962</v>
      </c>
      <c r="L14" s="114">
        <v>12</v>
      </c>
      <c r="M14" s="115">
        <f t="shared" si="2"/>
        <v>2575</v>
      </c>
      <c r="N14" s="115">
        <f t="shared" si="3"/>
        <v>5150</v>
      </c>
      <c r="O14" s="115">
        <f t="shared" si="4"/>
        <v>5150</v>
      </c>
    </row>
    <row r="15" spans="1:16" s="116" customFormat="1" ht="25.5">
      <c r="A15" s="204" t="s">
        <v>745</v>
      </c>
      <c r="B15" s="215" t="s">
        <v>746</v>
      </c>
      <c r="C15" s="204" t="s">
        <v>1541</v>
      </c>
      <c r="D15" s="225">
        <v>2</v>
      </c>
      <c r="E15" s="226">
        <v>2</v>
      </c>
      <c r="F15" s="225" t="s">
        <v>108</v>
      </c>
      <c r="G15" s="225" t="s">
        <v>84</v>
      </c>
      <c r="H15" s="227">
        <f>VLOOKUP($A15,'INDEXACIÓN PRODUCTOS MES A MES'!$B$5:$W$396,22,0)</f>
        <v>0</v>
      </c>
      <c r="I15" s="209">
        <f>VLOOKUP($A15,'INDEXACIÓN PRODUCTOS MES A MES'!$B$5:$W$396,20,0)</f>
        <v>83541</v>
      </c>
      <c r="J15" s="598">
        <f t="shared" si="0"/>
        <v>13338</v>
      </c>
      <c r="K15" s="224">
        <f t="shared" si="1"/>
        <v>70203</v>
      </c>
      <c r="L15" s="114">
        <v>12</v>
      </c>
      <c r="M15" s="115">
        <f t="shared" si="2"/>
        <v>6962</v>
      </c>
      <c r="N15" s="115">
        <f t="shared" si="3"/>
        <v>13924</v>
      </c>
      <c r="O15" s="115">
        <f t="shared" si="4"/>
        <v>13924</v>
      </c>
    </row>
    <row r="16" spans="1:16" s="116" customFormat="1" ht="12.75">
      <c r="A16" s="204" t="s">
        <v>755</v>
      </c>
      <c r="B16" s="215" t="s">
        <v>756</v>
      </c>
      <c r="C16" s="204" t="s">
        <v>1541</v>
      </c>
      <c r="D16" s="225">
        <v>3</v>
      </c>
      <c r="E16" s="226">
        <v>3</v>
      </c>
      <c r="F16" s="225" t="s">
        <v>108</v>
      </c>
      <c r="G16" s="225" t="s">
        <v>84</v>
      </c>
      <c r="H16" s="227">
        <f>VLOOKUP($A16,'INDEXACIÓN PRODUCTOS MES A MES'!$B$5:$W$396,22,0)</f>
        <v>0</v>
      </c>
      <c r="I16" s="209">
        <f>VLOOKUP($A16,'INDEXACIÓN PRODUCTOS MES A MES'!$B$5:$W$396,20,0)</f>
        <v>40493</v>
      </c>
      <c r="J16" s="598">
        <f t="shared" si="0"/>
        <v>6465</v>
      </c>
      <c r="K16" s="224">
        <f t="shared" si="1"/>
        <v>34028</v>
      </c>
      <c r="L16" s="114">
        <v>12</v>
      </c>
      <c r="M16" s="115">
        <f t="shared" si="2"/>
        <v>3374</v>
      </c>
      <c r="N16" s="115">
        <f t="shared" si="3"/>
        <v>10122</v>
      </c>
      <c r="O16" s="115">
        <f t="shared" si="4"/>
        <v>10122</v>
      </c>
    </row>
    <row r="17" spans="1:15" s="116" customFormat="1" ht="12.75">
      <c r="A17" s="204" t="s">
        <v>762</v>
      </c>
      <c r="B17" s="196"/>
      <c r="C17" s="204" t="s">
        <v>1541</v>
      </c>
      <c r="D17" s="225">
        <v>2</v>
      </c>
      <c r="E17" s="226">
        <v>2</v>
      </c>
      <c r="F17" s="225" t="s">
        <v>108</v>
      </c>
      <c r="G17" s="225" t="s">
        <v>84</v>
      </c>
      <c r="H17" s="227">
        <f>VLOOKUP($A17,'INDEXACIÓN PRODUCTOS MES A MES'!$B$5:$W$396,22,0)</f>
        <v>0</v>
      </c>
      <c r="I17" s="209">
        <f>VLOOKUP($A17,'INDEXACIÓN PRODUCTOS MES A MES'!$B$5:$W$396,20,0)</f>
        <v>51904</v>
      </c>
      <c r="J17" s="598">
        <f t="shared" si="0"/>
        <v>8287</v>
      </c>
      <c r="K17" s="224">
        <f t="shared" si="1"/>
        <v>43617</v>
      </c>
      <c r="L17" s="114">
        <v>12</v>
      </c>
      <c r="M17" s="115">
        <f t="shared" si="2"/>
        <v>4325</v>
      </c>
      <c r="N17" s="115">
        <f t="shared" si="3"/>
        <v>8650</v>
      </c>
      <c r="O17" s="115">
        <f t="shared" si="4"/>
        <v>8650</v>
      </c>
    </row>
    <row r="18" spans="1:15" s="116" customFormat="1" ht="12.75">
      <c r="A18" s="204" t="s">
        <v>737</v>
      </c>
      <c r="B18" s="215" t="s">
        <v>738</v>
      </c>
      <c r="C18" s="204" t="s">
        <v>1541</v>
      </c>
      <c r="D18" s="225">
        <v>2</v>
      </c>
      <c r="E18" s="226">
        <v>2</v>
      </c>
      <c r="F18" s="225" t="s">
        <v>108</v>
      </c>
      <c r="G18" s="225" t="s">
        <v>84</v>
      </c>
      <c r="H18" s="227">
        <f>VLOOKUP($A18,'INDEXACIÓN PRODUCTOS MES A MES'!$B$5:$W$396,22,0)</f>
        <v>0</v>
      </c>
      <c r="I18" s="209">
        <f>VLOOKUP($A18,'INDEXACIÓN PRODUCTOS MES A MES'!$B$5:$W$396,20,0)</f>
        <v>193754</v>
      </c>
      <c r="J18" s="598">
        <f t="shared" si="0"/>
        <v>30936</v>
      </c>
      <c r="K18" s="224">
        <f t="shared" si="1"/>
        <v>162818</v>
      </c>
      <c r="L18" s="114">
        <v>12</v>
      </c>
      <c r="M18" s="115">
        <f t="shared" si="2"/>
        <v>16146</v>
      </c>
      <c r="N18" s="115">
        <f t="shared" si="3"/>
        <v>32292</v>
      </c>
      <c r="O18" s="115">
        <f t="shared" si="4"/>
        <v>32292</v>
      </c>
    </row>
    <row r="19" spans="1:15" s="116" customFormat="1" ht="25.5">
      <c r="A19" s="204" t="s">
        <v>694</v>
      </c>
      <c r="B19" s="215" t="s">
        <v>695</v>
      </c>
      <c r="C19" s="204" t="s">
        <v>1541</v>
      </c>
      <c r="D19" s="225">
        <v>1</v>
      </c>
      <c r="E19" s="226">
        <v>1</v>
      </c>
      <c r="F19" s="225" t="s">
        <v>108</v>
      </c>
      <c r="G19" s="225" t="s">
        <v>84</v>
      </c>
      <c r="H19" s="227">
        <f>VLOOKUP($A19,'INDEXACIÓN PRODUCTOS MES A MES'!$B$5:$W$396,22,0)</f>
        <v>0</v>
      </c>
      <c r="I19" s="209">
        <f>VLOOKUP($A19,'INDEXACIÓN PRODUCTOS MES A MES'!$B$5:$W$396,20,0)</f>
        <v>314750</v>
      </c>
      <c r="J19" s="598">
        <f t="shared" si="0"/>
        <v>50254</v>
      </c>
      <c r="K19" s="224">
        <f t="shared" si="1"/>
        <v>264496</v>
      </c>
      <c r="L19" s="114">
        <v>12</v>
      </c>
      <c r="M19" s="115">
        <f t="shared" si="2"/>
        <v>26229</v>
      </c>
      <c r="N19" s="115">
        <f t="shared" si="3"/>
        <v>26229</v>
      </c>
      <c r="O19" s="115">
        <f t="shared" si="4"/>
        <v>26229</v>
      </c>
    </row>
    <row r="20" spans="1:15" s="119" customFormat="1" ht="191.25">
      <c r="A20" s="76" t="s">
        <v>759</v>
      </c>
      <c r="B20" s="229" t="s">
        <v>760</v>
      </c>
      <c r="C20" s="76" t="s">
        <v>1541</v>
      </c>
      <c r="D20" s="223">
        <v>2</v>
      </c>
      <c r="E20" s="76">
        <v>2</v>
      </c>
      <c r="F20" s="223" t="s">
        <v>761</v>
      </c>
      <c r="G20" s="223" t="s">
        <v>84</v>
      </c>
      <c r="H20" s="227">
        <f>VLOOKUP($A20,'INDEXACIÓN PRODUCTOS MES A MES'!$B$5:$W$396,22,0)</f>
        <v>0</v>
      </c>
      <c r="I20" s="209">
        <f>VLOOKUP($A20,'INDEXACIÓN PRODUCTOS MES A MES'!$B$5:$W$396,20,0)</f>
        <v>179193</v>
      </c>
      <c r="J20" s="598">
        <f t="shared" si="0"/>
        <v>28611</v>
      </c>
      <c r="K20" s="224">
        <f t="shared" si="1"/>
        <v>150582</v>
      </c>
      <c r="L20" s="118">
        <v>12</v>
      </c>
      <c r="M20" s="170">
        <f t="shared" si="2"/>
        <v>14933</v>
      </c>
      <c r="N20" s="170">
        <f t="shared" si="3"/>
        <v>29866</v>
      </c>
      <c r="O20" s="170">
        <f t="shared" si="4"/>
        <v>29866</v>
      </c>
    </row>
    <row r="21" spans="1:15" s="119" customFormat="1" ht="25.5">
      <c r="A21" s="76" t="s">
        <v>732</v>
      </c>
      <c r="B21" s="215" t="s">
        <v>733</v>
      </c>
      <c r="C21" s="76" t="s">
        <v>1541</v>
      </c>
      <c r="D21" s="223">
        <v>308</v>
      </c>
      <c r="E21" s="76">
        <v>400</v>
      </c>
      <c r="F21" s="223" t="s">
        <v>734</v>
      </c>
      <c r="G21" s="223" t="s">
        <v>84</v>
      </c>
      <c r="H21" s="227">
        <f>VLOOKUP($A21,'INDEXACIÓN PRODUCTOS MES A MES'!$B$5:$W$396,22,0)</f>
        <v>0</v>
      </c>
      <c r="I21" s="209">
        <f>VLOOKUP($A21,'INDEXACIÓN PRODUCTOS MES A MES'!$B$5:$W$396,20,0)</f>
        <v>72978</v>
      </c>
      <c r="J21" s="598">
        <f t="shared" si="0"/>
        <v>11652</v>
      </c>
      <c r="K21" s="224">
        <f t="shared" si="1"/>
        <v>61326</v>
      </c>
      <c r="L21" s="114">
        <v>12</v>
      </c>
      <c r="M21" s="115">
        <f t="shared" si="2"/>
        <v>6082</v>
      </c>
      <c r="N21" s="115">
        <f t="shared" si="3"/>
        <v>1873256</v>
      </c>
      <c r="O21" s="115">
        <f t="shared" si="4"/>
        <v>2432800</v>
      </c>
    </row>
    <row r="22" spans="1:15" s="119" customFormat="1" ht="25.5">
      <c r="A22" s="76" t="s">
        <v>688</v>
      </c>
      <c r="B22" s="215" t="s">
        <v>689</v>
      </c>
      <c r="C22" s="76" t="s">
        <v>1541</v>
      </c>
      <c r="D22" s="223">
        <v>4</v>
      </c>
      <c r="E22" s="216">
        <v>5</v>
      </c>
      <c r="F22" s="223"/>
      <c r="G22" s="223" t="s">
        <v>84</v>
      </c>
      <c r="H22" s="227">
        <f>VLOOKUP($A22,'INDEXACIÓN PRODUCTOS MES A MES'!$B$5:$W$396,22,0)</f>
        <v>0</v>
      </c>
      <c r="I22" s="209">
        <f>VLOOKUP($A22,'INDEXACIÓN PRODUCTOS MES A MES'!$B$5:$W$396,20,0)</f>
        <v>33573</v>
      </c>
      <c r="J22" s="598">
        <f t="shared" si="0"/>
        <v>5360</v>
      </c>
      <c r="K22" s="224">
        <f t="shared" si="1"/>
        <v>28213</v>
      </c>
      <c r="L22" s="114">
        <v>12</v>
      </c>
      <c r="M22" s="115">
        <f t="shared" si="2"/>
        <v>2798</v>
      </c>
      <c r="N22" s="115">
        <f t="shared" si="3"/>
        <v>11192</v>
      </c>
      <c r="O22" s="115">
        <f t="shared" si="4"/>
        <v>13990</v>
      </c>
    </row>
    <row r="23" spans="1:15" s="119" customFormat="1" ht="25.5">
      <c r="A23" s="76" t="s">
        <v>727</v>
      </c>
      <c r="B23" s="215" t="s">
        <v>728</v>
      </c>
      <c r="C23" s="76" t="s">
        <v>1541</v>
      </c>
      <c r="D23" s="223">
        <v>2</v>
      </c>
      <c r="E23" s="76">
        <v>2</v>
      </c>
      <c r="F23" s="76" t="s">
        <v>729</v>
      </c>
      <c r="G23" s="223" t="s">
        <v>84</v>
      </c>
      <c r="H23" s="227">
        <f>VLOOKUP($A23,'INDEXACIÓN PRODUCTOS MES A MES'!$B$5:$W$396,22,0)</f>
        <v>0</v>
      </c>
      <c r="I23" s="209">
        <f>VLOOKUP($A23,'INDEXACIÓN PRODUCTOS MES A MES'!$B$5:$W$396,20,0)</f>
        <v>107829</v>
      </c>
      <c r="J23" s="598">
        <f t="shared" si="0"/>
        <v>17216</v>
      </c>
      <c r="K23" s="224">
        <f t="shared" si="1"/>
        <v>90613</v>
      </c>
      <c r="L23" s="114">
        <v>12</v>
      </c>
      <c r="M23" s="115">
        <f t="shared" si="2"/>
        <v>8986</v>
      </c>
      <c r="N23" s="115">
        <f t="shared" si="3"/>
        <v>17972</v>
      </c>
      <c r="O23" s="115">
        <f t="shared" si="4"/>
        <v>17972</v>
      </c>
    </row>
    <row r="24" spans="1:15" s="119" customFormat="1" ht="12.75">
      <c r="A24" s="76" t="s">
        <v>747</v>
      </c>
      <c r="B24" s="215" t="s">
        <v>748</v>
      </c>
      <c r="C24" s="76" t="s">
        <v>1541</v>
      </c>
      <c r="D24" s="223">
        <v>2</v>
      </c>
      <c r="E24" s="216">
        <v>2</v>
      </c>
      <c r="F24" s="223" t="s">
        <v>108</v>
      </c>
      <c r="G24" s="223" t="s">
        <v>84</v>
      </c>
      <c r="H24" s="227">
        <f>VLOOKUP($A24,'INDEXACIÓN PRODUCTOS MES A MES'!$B$5:$W$396,22,0)</f>
        <v>0</v>
      </c>
      <c r="I24" s="209">
        <f>VLOOKUP($A24,'INDEXACIÓN PRODUCTOS MES A MES'!$B$5:$W$396,20,0)</f>
        <v>30057</v>
      </c>
      <c r="J24" s="598">
        <f t="shared" si="0"/>
        <v>4799</v>
      </c>
      <c r="K24" s="224">
        <f t="shared" si="1"/>
        <v>25258</v>
      </c>
      <c r="L24" s="114">
        <v>12</v>
      </c>
      <c r="M24" s="115">
        <f t="shared" si="2"/>
        <v>2505</v>
      </c>
      <c r="N24" s="115">
        <f t="shared" si="3"/>
        <v>5010</v>
      </c>
      <c r="O24" s="115">
        <f t="shared" si="4"/>
        <v>5010</v>
      </c>
    </row>
    <row r="25" spans="1:15" s="119" customFormat="1" ht="25.5">
      <c r="A25" s="76" t="s">
        <v>703</v>
      </c>
      <c r="B25" s="173" t="s">
        <v>704</v>
      </c>
      <c r="C25" s="76" t="s">
        <v>1541</v>
      </c>
      <c r="D25" s="223">
        <v>24</v>
      </c>
      <c r="E25" s="76">
        <v>30</v>
      </c>
      <c r="F25" s="76" t="s">
        <v>705</v>
      </c>
      <c r="G25" s="223" t="s">
        <v>84</v>
      </c>
      <c r="H25" s="227">
        <f>VLOOKUP($A25,'INDEXACIÓN PRODUCTOS MES A MES'!$B$5:$W$396,22,0)</f>
        <v>0</v>
      </c>
      <c r="I25" s="209">
        <f>VLOOKUP($A25,'INDEXACIÓN PRODUCTOS MES A MES'!$B$5:$W$396,20,0)</f>
        <v>291548</v>
      </c>
      <c r="J25" s="598">
        <f t="shared" si="0"/>
        <v>46550</v>
      </c>
      <c r="K25" s="224">
        <f t="shared" si="1"/>
        <v>244998</v>
      </c>
      <c r="L25" s="114">
        <v>12</v>
      </c>
      <c r="M25" s="115">
        <f t="shared" si="2"/>
        <v>24296</v>
      </c>
      <c r="N25" s="115">
        <f t="shared" si="3"/>
        <v>583104</v>
      </c>
      <c r="O25" s="115">
        <f t="shared" si="4"/>
        <v>728880</v>
      </c>
    </row>
    <row r="26" spans="1:15" s="119" customFormat="1" ht="51">
      <c r="A26" s="1" t="s">
        <v>680</v>
      </c>
      <c r="B26" s="1" t="s">
        <v>1542</v>
      </c>
      <c r="C26" s="76" t="s">
        <v>1541</v>
      </c>
      <c r="D26" s="223">
        <v>4</v>
      </c>
      <c r="E26" s="76">
        <v>4</v>
      </c>
      <c r="F26" s="76" t="s">
        <v>137</v>
      </c>
      <c r="G26" s="77" t="s">
        <v>64</v>
      </c>
      <c r="H26" s="227">
        <f>VLOOKUP($A26,'INDEXACIÓN PRODUCTOS MES A MES'!$B$5:$W$396,22,0)</f>
        <v>0</v>
      </c>
      <c r="I26" s="209">
        <f>VLOOKUP($A26,'INDEXACIÓN PRODUCTOS MES A MES'!$B$5:$W$396,20,0)</f>
        <v>12404</v>
      </c>
      <c r="J26" s="598">
        <f t="shared" si="0"/>
        <v>1980</v>
      </c>
      <c r="K26" s="224">
        <f t="shared" si="1"/>
        <v>10424</v>
      </c>
      <c r="L26" s="114">
        <v>12</v>
      </c>
      <c r="M26" s="115">
        <f t="shared" si="2"/>
        <v>1034</v>
      </c>
      <c r="N26" s="115">
        <f t="shared" si="3"/>
        <v>4136</v>
      </c>
      <c r="O26" s="115">
        <f t="shared" si="4"/>
        <v>4136</v>
      </c>
    </row>
    <row r="27" spans="1:15" s="119" customFormat="1" ht="102">
      <c r="A27" s="1" t="s">
        <v>751</v>
      </c>
      <c r="B27" s="1" t="s">
        <v>752</v>
      </c>
      <c r="C27" s="76" t="s">
        <v>1543</v>
      </c>
      <c r="D27" s="223">
        <v>154</v>
      </c>
      <c r="E27" s="1">
        <v>200</v>
      </c>
      <c r="F27" s="76" t="s">
        <v>753</v>
      </c>
      <c r="G27" s="77" t="s">
        <v>46</v>
      </c>
      <c r="H27" s="227">
        <f>VLOOKUP($A27,'INDEXACIÓN PRODUCTOS MES A MES'!$B$5:$W$396,22,0)</f>
        <v>5.7720953326713009E-2</v>
      </c>
      <c r="I27" s="228">
        <f>VLOOKUP($A27,'INDEXACIÓN PRODUCTOS MES A MES'!$B$5:$W$396,20,0)</f>
        <v>8521</v>
      </c>
      <c r="J27" s="598">
        <f t="shared" si="0"/>
        <v>0</v>
      </c>
      <c r="K27" s="224">
        <f>I27</f>
        <v>8521</v>
      </c>
      <c r="L27" s="118">
        <v>5</v>
      </c>
      <c r="M27" s="418">
        <f t="shared" si="2"/>
        <v>1704</v>
      </c>
      <c r="N27" s="115">
        <f t="shared" si="3"/>
        <v>262416</v>
      </c>
      <c r="O27" s="115">
        <f t="shared" si="4"/>
        <v>340800</v>
      </c>
    </row>
    <row r="28" spans="1:15" s="119" customFormat="1" ht="102">
      <c r="A28" s="1" t="s">
        <v>751</v>
      </c>
      <c r="B28" s="1" t="s">
        <v>754</v>
      </c>
      <c r="C28" s="76" t="s">
        <v>1544</v>
      </c>
      <c r="D28" s="223">
        <v>154</v>
      </c>
      <c r="E28" s="1">
        <v>200</v>
      </c>
      <c r="F28" s="76" t="s">
        <v>753</v>
      </c>
      <c r="G28" s="77" t="s">
        <v>46</v>
      </c>
      <c r="H28" s="227">
        <f>VLOOKUP($A28,'INDEXACIÓN PRODUCTOS MES A MES'!$B$5:$W$396,22,0)</f>
        <v>5.7720953326713009E-2</v>
      </c>
      <c r="I28" s="228">
        <f>VLOOKUP($A28,'INDEXACIÓN PRODUCTOS MES A MES'!$B$5:$W$396,20,0)</f>
        <v>8521</v>
      </c>
      <c r="J28" s="598">
        <f t="shared" si="0"/>
        <v>0</v>
      </c>
      <c r="K28" s="224">
        <f t="shared" ref="K28:K41" si="5">I28</f>
        <v>8521</v>
      </c>
      <c r="L28" s="118">
        <v>5</v>
      </c>
      <c r="M28" s="418">
        <f t="shared" si="2"/>
        <v>1704</v>
      </c>
      <c r="N28" s="115">
        <f t="shared" si="3"/>
        <v>262416</v>
      </c>
      <c r="O28" s="115">
        <f t="shared" si="4"/>
        <v>340800</v>
      </c>
    </row>
    <row r="29" spans="1:15" s="119" customFormat="1" ht="12.75">
      <c r="A29" s="76" t="s">
        <v>765</v>
      </c>
      <c r="B29" s="173" t="s">
        <v>766</v>
      </c>
      <c r="C29" s="76" t="s">
        <v>1545</v>
      </c>
      <c r="D29" s="223">
        <v>93</v>
      </c>
      <c r="E29" s="76">
        <v>120</v>
      </c>
      <c r="F29" s="223" t="s">
        <v>767</v>
      </c>
      <c r="G29" s="223" t="s">
        <v>84</v>
      </c>
      <c r="H29" s="227">
        <f>VLOOKUP($A29,'INDEXACIÓN PRODUCTOS MES A MES'!$B$5:$W$396,22,0)</f>
        <v>0</v>
      </c>
      <c r="I29" s="209">
        <f>VLOOKUP($A29,'INDEXACIÓN PRODUCTOS MES A MES'!$B$5:$W$396,20,0)</f>
        <v>7697</v>
      </c>
      <c r="J29" s="598">
        <f t="shared" si="0"/>
        <v>0</v>
      </c>
      <c r="K29" s="224">
        <f t="shared" si="5"/>
        <v>7697</v>
      </c>
      <c r="L29" s="118">
        <v>6</v>
      </c>
      <c r="M29" s="115">
        <f t="shared" si="2"/>
        <v>1283</v>
      </c>
      <c r="N29" s="115">
        <f t="shared" si="3"/>
        <v>119319</v>
      </c>
      <c r="O29" s="115">
        <f t="shared" si="4"/>
        <v>153960</v>
      </c>
    </row>
    <row r="30" spans="1:15" s="119" customFormat="1" ht="25.5">
      <c r="A30" s="76" t="s">
        <v>692</v>
      </c>
      <c r="B30" s="173" t="s">
        <v>693</v>
      </c>
      <c r="C30" s="76" t="s">
        <v>1541</v>
      </c>
      <c r="D30" s="223">
        <v>39</v>
      </c>
      <c r="E30" s="216">
        <v>50</v>
      </c>
      <c r="F30" s="223"/>
      <c r="G30" s="223" t="s">
        <v>84</v>
      </c>
      <c r="H30" s="227">
        <f>VLOOKUP($A30,'INDEXACIÓN PRODUCTOS MES A MES'!$B$5:$W$396,22,0)</f>
        <v>0</v>
      </c>
      <c r="I30" s="209">
        <f>VLOOKUP($A30,'INDEXACIÓN PRODUCTOS MES A MES'!$B$5:$W$396,20,0)</f>
        <v>14830</v>
      </c>
      <c r="J30" s="598">
        <f t="shared" si="0"/>
        <v>0</v>
      </c>
      <c r="K30" s="224">
        <f t="shared" si="5"/>
        <v>14830</v>
      </c>
      <c r="L30" s="118">
        <v>1</v>
      </c>
      <c r="M30" s="115">
        <f t="shared" si="2"/>
        <v>14830</v>
      </c>
      <c r="N30" s="115">
        <f t="shared" si="3"/>
        <v>578370</v>
      </c>
      <c r="O30" s="115">
        <f t="shared" si="4"/>
        <v>741500</v>
      </c>
    </row>
    <row r="31" spans="1:15" s="119" customFormat="1" ht="25.5">
      <c r="A31" s="76" t="s">
        <v>706</v>
      </c>
      <c r="B31" s="173" t="s">
        <v>707</v>
      </c>
      <c r="C31" s="76" t="s">
        <v>1541</v>
      </c>
      <c r="D31" s="223">
        <v>1</v>
      </c>
      <c r="E31" s="76">
        <v>1</v>
      </c>
      <c r="F31" s="82" t="s">
        <v>536</v>
      </c>
      <c r="G31" s="83" t="s">
        <v>708</v>
      </c>
      <c r="H31" s="227">
        <f>VLOOKUP($A31,'INDEXACIÓN PRODUCTOS MES A MES'!$B$5:$W$396,22,0)</f>
        <v>0</v>
      </c>
      <c r="I31" s="209">
        <f>VLOOKUP($A31,'INDEXACIÓN PRODUCTOS MES A MES'!$B$5:$W$396,20,0)</f>
        <v>13672</v>
      </c>
      <c r="J31" s="598">
        <f t="shared" si="0"/>
        <v>0</v>
      </c>
      <c r="K31" s="224">
        <f t="shared" si="5"/>
        <v>13672</v>
      </c>
      <c r="L31" s="118">
        <v>1</v>
      </c>
      <c r="M31" s="115">
        <f t="shared" si="2"/>
        <v>13672</v>
      </c>
      <c r="N31" s="115">
        <f t="shared" si="3"/>
        <v>13672</v>
      </c>
      <c r="O31" s="115">
        <f t="shared" si="4"/>
        <v>13672</v>
      </c>
    </row>
    <row r="32" spans="1:15" s="119" customFormat="1" ht="12.75">
      <c r="A32" s="76" t="s">
        <v>698</v>
      </c>
      <c r="B32" s="215" t="s">
        <v>699</v>
      </c>
      <c r="C32" s="76" t="s">
        <v>1546</v>
      </c>
      <c r="D32" s="223">
        <v>200</v>
      </c>
      <c r="E32" s="76">
        <v>260</v>
      </c>
      <c r="F32" s="223" t="s">
        <v>700</v>
      </c>
      <c r="G32" s="223" t="s">
        <v>84</v>
      </c>
      <c r="H32" s="227">
        <f>VLOOKUP($A32,'INDEXACIÓN PRODUCTOS MES A MES'!$B$5:$W$396,22,0)</f>
        <v>0</v>
      </c>
      <c r="I32" s="209">
        <f>VLOOKUP($A32,'INDEXACIÓN PRODUCTOS MES A MES'!$B$5:$W$396,20,0)</f>
        <v>4154</v>
      </c>
      <c r="J32" s="598">
        <f t="shared" si="0"/>
        <v>0</v>
      </c>
      <c r="K32" s="224">
        <f t="shared" si="5"/>
        <v>4154</v>
      </c>
      <c r="L32" s="118">
        <v>12</v>
      </c>
      <c r="M32" s="115">
        <f t="shared" si="2"/>
        <v>346</v>
      </c>
      <c r="N32" s="115">
        <f t="shared" si="3"/>
        <v>69200</v>
      </c>
      <c r="O32" s="115">
        <f t="shared" si="4"/>
        <v>89960</v>
      </c>
    </row>
    <row r="33" spans="1:15" s="119" customFormat="1" ht="12.75">
      <c r="A33" s="76" t="s">
        <v>725</v>
      </c>
      <c r="B33" s="215" t="s">
        <v>726</v>
      </c>
      <c r="C33" s="76" t="s">
        <v>1546</v>
      </c>
      <c r="D33" s="223">
        <v>10</v>
      </c>
      <c r="E33" s="76">
        <v>12</v>
      </c>
      <c r="F33" s="223" t="s">
        <v>718</v>
      </c>
      <c r="G33" s="223" t="s">
        <v>84</v>
      </c>
      <c r="H33" s="227">
        <f>VLOOKUP($A33,'INDEXACIÓN PRODUCTOS MES A MES'!$B$5:$W$396,22,0)</f>
        <v>0</v>
      </c>
      <c r="I33" s="209">
        <f>VLOOKUP($A33,'INDEXACIÓN PRODUCTOS MES A MES'!$B$5:$W$396,20,0)</f>
        <v>93465</v>
      </c>
      <c r="J33" s="598">
        <f t="shared" si="0"/>
        <v>0</v>
      </c>
      <c r="K33" s="224">
        <f t="shared" si="5"/>
        <v>93465</v>
      </c>
      <c r="L33" s="118">
        <v>12</v>
      </c>
      <c r="M33" s="115">
        <f t="shared" si="2"/>
        <v>7789</v>
      </c>
      <c r="N33" s="115">
        <f t="shared" si="3"/>
        <v>77890</v>
      </c>
      <c r="O33" s="115">
        <f t="shared" si="4"/>
        <v>93468</v>
      </c>
    </row>
    <row r="34" spans="1:15" s="119" customFormat="1" ht="12.75">
      <c r="A34" s="76" t="s">
        <v>716</v>
      </c>
      <c r="B34" s="215" t="s">
        <v>717</v>
      </c>
      <c r="C34" s="76" t="s">
        <v>1546</v>
      </c>
      <c r="D34" s="223">
        <v>20</v>
      </c>
      <c r="E34" s="76">
        <v>25</v>
      </c>
      <c r="F34" s="223" t="s">
        <v>718</v>
      </c>
      <c r="G34" s="223" t="s">
        <v>84</v>
      </c>
      <c r="H34" s="227">
        <f>VLOOKUP($A34,'INDEXACIÓN PRODUCTOS MES A MES'!$B$5:$W$396,22,0)</f>
        <v>0</v>
      </c>
      <c r="I34" s="209">
        <f>VLOOKUP($A34,'INDEXACIÓN PRODUCTOS MES A MES'!$B$5:$W$396,20,0)</f>
        <v>109774</v>
      </c>
      <c r="J34" s="598">
        <f t="shared" si="0"/>
        <v>0</v>
      </c>
      <c r="K34" s="224">
        <f t="shared" si="5"/>
        <v>109774</v>
      </c>
      <c r="L34" s="118">
        <v>12</v>
      </c>
      <c r="M34" s="115">
        <f t="shared" si="2"/>
        <v>9148</v>
      </c>
      <c r="N34" s="115">
        <f t="shared" si="3"/>
        <v>182960</v>
      </c>
      <c r="O34" s="115">
        <f t="shared" si="4"/>
        <v>228700</v>
      </c>
    </row>
    <row r="35" spans="1:15" s="119" customFormat="1" ht="12.75">
      <c r="A35" s="76" t="s">
        <v>768</v>
      </c>
      <c r="B35" s="215" t="s">
        <v>769</v>
      </c>
      <c r="C35" s="76" t="s">
        <v>1545</v>
      </c>
      <c r="D35" s="223">
        <v>2</v>
      </c>
      <c r="E35" s="76">
        <v>2</v>
      </c>
      <c r="F35" s="223" t="s">
        <v>718</v>
      </c>
      <c r="G35" s="223" t="s">
        <v>84</v>
      </c>
      <c r="H35" s="227">
        <f>VLOOKUP($A35,'INDEXACIÓN PRODUCTOS MES A MES'!$B$5:$W$396,22,0)</f>
        <v>0</v>
      </c>
      <c r="I35" s="209">
        <f>VLOOKUP($A35,'INDEXACIÓN PRODUCTOS MES A MES'!$B$5:$W$396,20,0)</f>
        <v>62310</v>
      </c>
      <c r="J35" s="598">
        <f t="shared" si="0"/>
        <v>0</v>
      </c>
      <c r="K35" s="224">
        <f t="shared" si="5"/>
        <v>62310</v>
      </c>
      <c r="L35" s="118">
        <v>12</v>
      </c>
      <c r="M35" s="115">
        <f t="shared" si="2"/>
        <v>5193</v>
      </c>
      <c r="N35" s="115">
        <f t="shared" si="3"/>
        <v>10386</v>
      </c>
      <c r="O35" s="115">
        <f t="shared" si="4"/>
        <v>10386</v>
      </c>
    </row>
    <row r="36" spans="1:15" s="119" customFormat="1" ht="89.25">
      <c r="A36" s="173" t="s">
        <v>709</v>
      </c>
      <c r="B36" s="173" t="s">
        <v>710</v>
      </c>
      <c r="C36" s="76" t="s">
        <v>1547</v>
      </c>
      <c r="D36" s="223">
        <v>62</v>
      </c>
      <c r="E36" s="76">
        <v>80</v>
      </c>
      <c r="F36" s="223" t="s">
        <v>700</v>
      </c>
      <c r="G36" s="223" t="s">
        <v>84</v>
      </c>
      <c r="H36" s="227">
        <f>VLOOKUP($A36,'INDEXACIÓN PRODUCTOS MES A MES'!$B$5:$W$396,22,0)</f>
        <v>0</v>
      </c>
      <c r="I36" s="209">
        <f>VLOOKUP($A36,'INDEXACIÓN PRODUCTOS MES A MES'!$B$5:$W$396,20,0)</f>
        <v>49848</v>
      </c>
      <c r="J36" s="598">
        <f t="shared" si="0"/>
        <v>0</v>
      </c>
      <c r="K36" s="224">
        <f t="shared" si="5"/>
        <v>49848</v>
      </c>
      <c r="L36" s="118">
        <v>2</v>
      </c>
      <c r="M36" s="115">
        <f t="shared" si="2"/>
        <v>24924</v>
      </c>
      <c r="N36" s="115">
        <f t="shared" si="3"/>
        <v>1545288</v>
      </c>
      <c r="O36" s="115">
        <f t="shared" si="4"/>
        <v>1993920</v>
      </c>
    </row>
    <row r="37" spans="1:15" s="119" customFormat="1" ht="89.25">
      <c r="A37" s="173" t="s">
        <v>709</v>
      </c>
      <c r="B37" s="173" t="s">
        <v>711</v>
      </c>
      <c r="C37" s="76" t="s">
        <v>1547</v>
      </c>
      <c r="D37" s="223">
        <v>70</v>
      </c>
      <c r="E37" s="76">
        <v>90</v>
      </c>
      <c r="F37" s="223" t="s">
        <v>700</v>
      </c>
      <c r="G37" s="223" t="s">
        <v>84</v>
      </c>
      <c r="H37" s="227">
        <f>VLOOKUP($A37,'INDEXACIÓN PRODUCTOS MES A MES'!$B$5:$W$396,22,0)</f>
        <v>0</v>
      </c>
      <c r="I37" s="209">
        <f>VLOOKUP($A37,'INDEXACIÓN PRODUCTOS MES A MES'!$B$5:$W$396,20,0)</f>
        <v>49848</v>
      </c>
      <c r="J37" s="598">
        <f t="shared" si="0"/>
        <v>0</v>
      </c>
      <c r="K37" s="224">
        <f t="shared" si="5"/>
        <v>49848</v>
      </c>
      <c r="L37" s="118">
        <v>2</v>
      </c>
      <c r="M37" s="115">
        <f t="shared" si="2"/>
        <v>24924</v>
      </c>
      <c r="N37" s="115">
        <f t="shared" si="3"/>
        <v>1744680</v>
      </c>
      <c r="O37" s="115">
        <f t="shared" si="4"/>
        <v>2243160</v>
      </c>
    </row>
    <row r="38" spans="1:15" s="119" customFormat="1" ht="89.25">
      <c r="A38" s="173" t="s">
        <v>709</v>
      </c>
      <c r="B38" s="173" t="s">
        <v>712</v>
      </c>
      <c r="C38" s="76" t="s">
        <v>1547</v>
      </c>
      <c r="D38" s="223">
        <v>70</v>
      </c>
      <c r="E38" s="76">
        <v>90</v>
      </c>
      <c r="F38" s="223" t="s">
        <v>700</v>
      </c>
      <c r="G38" s="223" t="s">
        <v>84</v>
      </c>
      <c r="H38" s="227">
        <f>VLOOKUP($A38,'INDEXACIÓN PRODUCTOS MES A MES'!$B$5:$W$396,22,0)</f>
        <v>0</v>
      </c>
      <c r="I38" s="209">
        <f>VLOOKUP($A38,'INDEXACIÓN PRODUCTOS MES A MES'!$B$5:$W$396,20,0)</f>
        <v>49848</v>
      </c>
      <c r="J38" s="598">
        <f t="shared" si="0"/>
        <v>0</v>
      </c>
      <c r="K38" s="224">
        <f t="shared" si="5"/>
        <v>49848</v>
      </c>
      <c r="L38" s="118">
        <v>2</v>
      </c>
      <c r="M38" s="115">
        <f t="shared" si="2"/>
        <v>24924</v>
      </c>
      <c r="N38" s="115">
        <f t="shared" si="3"/>
        <v>1744680</v>
      </c>
      <c r="O38" s="115">
        <f t="shared" si="4"/>
        <v>2243160</v>
      </c>
    </row>
    <row r="39" spans="1:15" s="119" customFormat="1" ht="89.25">
      <c r="A39" s="173" t="s">
        <v>709</v>
      </c>
      <c r="B39" s="173" t="s">
        <v>713</v>
      </c>
      <c r="C39" s="76" t="s">
        <v>1547</v>
      </c>
      <c r="D39" s="223">
        <v>20</v>
      </c>
      <c r="E39" s="76">
        <v>25</v>
      </c>
      <c r="F39" s="223" t="s">
        <v>700</v>
      </c>
      <c r="G39" s="223" t="s">
        <v>84</v>
      </c>
      <c r="H39" s="227">
        <f>VLOOKUP($A39,'INDEXACIÓN PRODUCTOS MES A MES'!$B$5:$W$396,22,0)</f>
        <v>0</v>
      </c>
      <c r="I39" s="209">
        <f>VLOOKUP($A39,'INDEXACIÓN PRODUCTOS MES A MES'!$B$5:$W$396,20,0)</f>
        <v>49848</v>
      </c>
      <c r="J39" s="598">
        <f t="shared" si="0"/>
        <v>0</v>
      </c>
      <c r="K39" s="224">
        <f t="shared" si="5"/>
        <v>49848</v>
      </c>
      <c r="L39" s="118">
        <v>2</v>
      </c>
      <c r="M39" s="115">
        <f t="shared" si="2"/>
        <v>24924</v>
      </c>
      <c r="N39" s="115">
        <f t="shared" si="3"/>
        <v>498480</v>
      </c>
      <c r="O39" s="115">
        <f t="shared" si="4"/>
        <v>623100</v>
      </c>
    </row>
    <row r="40" spans="1:15" s="119" customFormat="1" ht="89.25">
      <c r="A40" s="173" t="s">
        <v>709</v>
      </c>
      <c r="B40" s="173" t="s">
        <v>714</v>
      </c>
      <c r="C40" s="76" t="s">
        <v>1547</v>
      </c>
      <c r="D40" s="223">
        <v>70</v>
      </c>
      <c r="E40" s="76">
        <v>90</v>
      </c>
      <c r="F40" s="223" t="s">
        <v>700</v>
      </c>
      <c r="G40" s="223" t="s">
        <v>84</v>
      </c>
      <c r="H40" s="227">
        <f>VLOOKUP($A40,'INDEXACIÓN PRODUCTOS MES A MES'!$B$5:$W$396,22,0)</f>
        <v>0</v>
      </c>
      <c r="I40" s="209">
        <f>VLOOKUP($A40,'INDEXACIÓN PRODUCTOS MES A MES'!$B$5:$W$396,20,0)</f>
        <v>49848</v>
      </c>
      <c r="J40" s="598">
        <f t="shared" si="0"/>
        <v>0</v>
      </c>
      <c r="K40" s="224">
        <f t="shared" si="5"/>
        <v>49848</v>
      </c>
      <c r="L40" s="118">
        <v>2</v>
      </c>
      <c r="M40" s="115">
        <f t="shared" si="2"/>
        <v>24924</v>
      </c>
      <c r="N40" s="115">
        <f t="shared" si="3"/>
        <v>1744680</v>
      </c>
      <c r="O40" s="115">
        <f t="shared" si="4"/>
        <v>2243160</v>
      </c>
    </row>
    <row r="41" spans="1:15" s="119" customFormat="1" ht="89.25">
      <c r="A41" s="173" t="s">
        <v>709</v>
      </c>
      <c r="B41" s="173" t="s">
        <v>715</v>
      </c>
      <c r="C41" s="76" t="s">
        <v>1547</v>
      </c>
      <c r="D41" s="223">
        <v>47</v>
      </c>
      <c r="E41" s="76">
        <v>60</v>
      </c>
      <c r="F41" s="223" t="s">
        <v>700</v>
      </c>
      <c r="G41" s="223" t="s">
        <v>84</v>
      </c>
      <c r="H41" s="227">
        <f>VLOOKUP($A41,'INDEXACIÓN PRODUCTOS MES A MES'!$B$5:$W$396,22,0)</f>
        <v>0</v>
      </c>
      <c r="I41" s="209">
        <f>VLOOKUP($A41,'INDEXACIÓN PRODUCTOS MES A MES'!$B$5:$W$396,20,0)</f>
        <v>49848</v>
      </c>
      <c r="J41" s="598">
        <f t="shared" si="0"/>
        <v>0</v>
      </c>
      <c r="K41" s="224">
        <f t="shared" si="5"/>
        <v>49848</v>
      </c>
      <c r="L41" s="118">
        <v>2</v>
      </c>
      <c r="M41" s="115">
        <f t="shared" si="2"/>
        <v>24924</v>
      </c>
      <c r="N41" s="115">
        <f t="shared" si="3"/>
        <v>1171428</v>
      </c>
      <c r="O41" s="115">
        <f t="shared" si="4"/>
        <v>1495440</v>
      </c>
    </row>
    <row r="42" spans="1:15" s="119" customFormat="1" ht="12.75">
      <c r="A42" s="76" t="s">
        <v>735</v>
      </c>
      <c r="B42" s="76" t="s">
        <v>736</v>
      </c>
      <c r="C42" s="76" t="s">
        <v>1547</v>
      </c>
      <c r="D42" s="223">
        <v>62</v>
      </c>
      <c r="E42" s="216">
        <v>80</v>
      </c>
      <c r="F42" s="223"/>
      <c r="G42" s="223" t="s">
        <v>84</v>
      </c>
      <c r="H42" s="227">
        <f>VLOOKUP($A42,'INDEXACIÓN PRODUCTOS MES A MES'!$B$5:$W$396,22,0)</f>
        <v>0</v>
      </c>
      <c r="I42" s="209">
        <f>VLOOKUP($A42,'INDEXACIÓN PRODUCTOS MES A MES'!$B$5:$W$396,20,0)</f>
        <v>102814</v>
      </c>
      <c r="J42" s="598">
        <f t="shared" si="0"/>
        <v>16416</v>
      </c>
      <c r="K42" s="101">
        <f t="shared" si="1"/>
        <v>86398</v>
      </c>
      <c r="L42" s="118">
        <v>1</v>
      </c>
      <c r="M42" s="115">
        <f t="shared" si="2"/>
        <v>102814</v>
      </c>
      <c r="N42" s="115">
        <f t="shared" si="3"/>
        <v>6374468</v>
      </c>
      <c r="O42" s="115">
        <f t="shared" si="4"/>
        <v>8225120</v>
      </c>
    </row>
    <row r="43" spans="1:15" s="119" customFormat="1" ht="12.75">
      <c r="A43" s="76" t="s">
        <v>721</v>
      </c>
      <c r="B43" s="173" t="s">
        <v>722</v>
      </c>
      <c r="C43" s="76" t="s">
        <v>1546</v>
      </c>
      <c r="D43" s="223">
        <v>24</v>
      </c>
      <c r="E43" s="76">
        <v>30</v>
      </c>
      <c r="F43" s="223" t="s">
        <v>124</v>
      </c>
      <c r="G43" s="223" t="s">
        <v>84</v>
      </c>
      <c r="H43" s="227">
        <f>VLOOKUP($A43,'INDEXACIÓN PRODUCTOS MES A MES'!$B$5:$W$396,22,0)</f>
        <v>0</v>
      </c>
      <c r="I43" s="209">
        <f>VLOOKUP($A43,'INDEXACIÓN PRODUCTOS MES A MES'!$B$5:$W$396,20,0)</f>
        <v>15119</v>
      </c>
      <c r="J43" s="598">
        <f t="shared" si="0"/>
        <v>2414</v>
      </c>
      <c r="K43" s="101">
        <f t="shared" si="1"/>
        <v>12705</v>
      </c>
      <c r="L43" s="118">
        <v>1</v>
      </c>
      <c r="M43" s="115">
        <f t="shared" si="2"/>
        <v>15119</v>
      </c>
      <c r="N43" s="115">
        <f t="shared" si="3"/>
        <v>362856</v>
      </c>
      <c r="O43" s="115">
        <f t="shared" si="4"/>
        <v>453570</v>
      </c>
    </row>
    <row r="44" spans="1:15" s="119" customFormat="1" ht="38.25" customHeight="1">
      <c r="A44" s="76" t="s">
        <v>696</v>
      </c>
      <c r="B44" s="76" t="s">
        <v>697</v>
      </c>
      <c r="C44" s="76" t="s">
        <v>1547</v>
      </c>
      <c r="D44" s="223">
        <v>39</v>
      </c>
      <c r="E44" s="216">
        <v>50</v>
      </c>
      <c r="F44" s="82" t="s">
        <v>124</v>
      </c>
      <c r="G44" s="82" t="s">
        <v>36</v>
      </c>
      <c r="H44" s="227">
        <f>VLOOKUP($A44,'INDEXACIÓN PRODUCTOS MES A MES'!$B$5:$W$396,22,0)</f>
        <v>9.1162447115707479E-2</v>
      </c>
      <c r="I44" s="209">
        <f>VLOOKUP($A44,'INDEXACIÓN PRODUCTOS MES A MES'!$B$5:$W$396,20,0)</f>
        <v>64994</v>
      </c>
      <c r="J44" s="598">
        <f t="shared" si="0"/>
        <v>10377</v>
      </c>
      <c r="K44" s="101">
        <f t="shared" si="1"/>
        <v>54617</v>
      </c>
      <c r="L44" s="118">
        <v>2</v>
      </c>
      <c r="M44" s="115">
        <f t="shared" si="2"/>
        <v>32497</v>
      </c>
      <c r="N44" s="115">
        <f t="shared" si="3"/>
        <v>1267383</v>
      </c>
      <c r="O44" s="115">
        <f t="shared" si="4"/>
        <v>1624850</v>
      </c>
    </row>
    <row r="45" spans="1:15" s="119" customFormat="1" ht="25.5">
      <c r="A45" s="1" t="s">
        <v>763</v>
      </c>
      <c r="B45" s="173" t="s">
        <v>764</v>
      </c>
      <c r="C45" s="76" t="s">
        <v>1547</v>
      </c>
      <c r="D45" s="223">
        <v>1</v>
      </c>
      <c r="E45" s="216">
        <v>1</v>
      </c>
      <c r="F45" s="223" t="s">
        <v>108</v>
      </c>
      <c r="G45" s="223" t="s">
        <v>84</v>
      </c>
      <c r="H45" s="227">
        <f>VLOOKUP($A45,'INDEXACIÓN PRODUCTOS MES A MES'!$B$5:$W$396,22,0)</f>
        <v>0</v>
      </c>
      <c r="I45" s="209">
        <f>VLOOKUP($A45,'INDEXACIÓN PRODUCTOS MES A MES'!$B$5:$W$396,20,0)</f>
        <v>147062</v>
      </c>
      <c r="J45" s="598">
        <f t="shared" si="0"/>
        <v>23480</v>
      </c>
      <c r="K45" s="101">
        <f t="shared" si="1"/>
        <v>123582</v>
      </c>
      <c r="L45" s="118">
        <v>2</v>
      </c>
      <c r="M45" s="115">
        <f t="shared" si="2"/>
        <v>73531</v>
      </c>
      <c r="N45" s="115">
        <f t="shared" si="3"/>
        <v>73531</v>
      </c>
      <c r="O45" s="115">
        <f t="shared" si="4"/>
        <v>73531</v>
      </c>
    </row>
    <row r="46" spans="1:15" s="119" customFormat="1" ht="25.5">
      <c r="A46" s="76" t="s">
        <v>701</v>
      </c>
      <c r="B46" s="173" t="s">
        <v>702</v>
      </c>
      <c r="C46" s="76" t="s">
        <v>1547</v>
      </c>
      <c r="D46" s="223">
        <v>1</v>
      </c>
      <c r="E46" s="216">
        <v>1</v>
      </c>
      <c r="F46" s="223" t="s">
        <v>108</v>
      </c>
      <c r="G46" s="223" t="s">
        <v>84</v>
      </c>
      <c r="H46" s="227">
        <f>VLOOKUP($A46,'INDEXACIÓN PRODUCTOS MES A MES'!$B$5:$W$396,22,0)</f>
        <v>0</v>
      </c>
      <c r="I46" s="209">
        <f>VLOOKUP($A46,'INDEXACIÓN PRODUCTOS MES A MES'!$B$5:$W$396,20,0)</f>
        <v>128420</v>
      </c>
      <c r="J46" s="598">
        <f t="shared" si="0"/>
        <v>20504</v>
      </c>
      <c r="K46" s="101">
        <f t="shared" si="1"/>
        <v>107916</v>
      </c>
      <c r="L46" s="118">
        <v>2</v>
      </c>
      <c r="M46" s="115">
        <f t="shared" si="2"/>
        <v>64210</v>
      </c>
      <c r="N46" s="115">
        <f t="shared" si="3"/>
        <v>64210</v>
      </c>
      <c r="O46" s="115">
        <f t="shared" si="4"/>
        <v>64210</v>
      </c>
    </row>
    <row r="47" spans="1:15" s="119" customFormat="1" ht="12.75">
      <c r="A47" s="76" t="s">
        <v>719</v>
      </c>
      <c r="B47" s="215" t="s">
        <v>720</v>
      </c>
      <c r="C47" s="76" t="s">
        <v>1547</v>
      </c>
      <c r="D47" s="223">
        <v>1</v>
      </c>
      <c r="E47" s="216">
        <v>1</v>
      </c>
      <c r="F47" s="82" t="s">
        <v>108</v>
      </c>
      <c r="G47" s="82" t="s">
        <v>38</v>
      </c>
      <c r="H47" s="227">
        <f>VLOOKUP($A47,'INDEXACIÓN PRODUCTOS MES A MES'!$B$5:$W$396,22,0)</f>
        <v>7.9567201530987786E-2</v>
      </c>
      <c r="I47" s="209">
        <f>VLOOKUP($A47,'INDEXACIÓN PRODUCTOS MES A MES'!$B$5:$W$396,20,0)</f>
        <v>14667</v>
      </c>
      <c r="J47" s="598">
        <f t="shared" si="0"/>
        <v>2342</v>
      </c>
      <c r="K47" s="101">
        <f t="shared" si="1"/>
        <v>12325</v>
      </c>
      <c r="L47" s="118">
        <v>2</v>
      </c>
      <c r="M47" s="115">
        <f t="shared" si="2"/>
        <v>7334</v>
      </c>
      <c r="N47" s="115">
        <f t="shared" si="3"/>
        <v>7334</v>
      </c>
      <c r="O47" s="115">
        <f t="shared" si="4"/>
        <v>7334</v>
      </c>
    </row>
    <row r="49" spans="1:16">
      <c r="A49" s="104" t="s">
        <v>1548</v>
      </c>
    </row>
    <row r="50" spans="1:16" s="121" customFormat="1" ht="27" customHeight="1">
      <c r="A50" s="855" t="s">
        <v>1523</v>
      </c>
      <c r="B50" s="855" t="s">
        <v>1216</v>
      </c>
      <c r="C50" s="855" t="s">
        <v>1171</v>
      </c>
      <c r="D50" s="862" t="s">
        <v>1172</v>
      </c>
      <c r="E50" s="863"/>
      <c r="F50" s="843" t="s">
        <v>89</v>
      </c>
      <c r="G50" s="843" t="s">
        <v>90</v>
      </c>
      <c r="H50" s="846" t="s">
        <v>1549</v>
      </c>
      <c r="I50" s="843" t="s">
        <v>1174</v>
      </c>
      <c r="J50" s="852" t="s">
        <v>1175</v>
      </c>
      <c r="K50" s="858" t="s">
        <v>1176</v>
      </c>
      <c r="L50" s="843" t="s">
        <v>1550</v>
      </c>
      <c r="M50" s="855" t="s">
        <v>1178</v>
      </c>
      <c r="N50" s="849" t="s">
        <v>1551</v>
      </c>
      <c r="O50" s="850"/>
    </row>
    <row r="51" spans="1:16" s="121" customFormat="1" ht="12" customHeight="1">
      <c r="A51" s="856"/>
      <c r="B51" s="856"/>
      <c r="C51" s="856"/>
      <c r="D51" s="601" t="s">
        <v>1180</v>
      </c>
      <c r="E51" s="601" t="s">
        <v>1180</v>
      </c>
      <c r="F51" s="844"/>
      <c r="G51" s="844"/>
      <c r="H51" s="847"/>
      <c r="I51" s="844"/>
      <c r="J51" s="853"/>
      <c r="K51" s="859"/>
      <c r="L51" s="844"/>
      <c r="M51" s="856"/>
      <c r="N51" s="601" t="s">
        <v>1180</v>
      </c>
      <c r="O51" s="601" t="s">
        <v>1180</v>
      </c>
    </row>
    <row r="52" spans="1:16" s="121" customFormat="1">
      <c r="A52" s="857"/>
      <c r="B52" s="857"/>
      <c r="C52" s="857"/>
      <c r="D52" s="601">
        <v>100</v>
      </c>
      <c r="E52" s="601">
        <v>130</v>
      </c>
      <c r="F52" s="845"/>
      <c r="G52" s="845"/>
      <c r="H52" s="848"/>
      <c r="I52" s="845"/>
      <c r="J52" s="854"/>
      <c r="K52" s="860"/>
      <c r="L52" s="845"/>
      <c r="M52" s="857"/>
      <c r="N52" s="601">
        <v>100</v>
      </c>
      <c r="O52" s="601">
        <v>130</v>
      </c>
      <c r="P52" s="121">
        <f>N52/130</f>
        <v>0.76923076923076927</v>
      </c>
    </row>
    <row r="53" spans="1:16" s="119" customFormat="1" ht="25.5">
      <c r="A53" s="1" t="s">
        <v>777</v>
      </c>
      <c r="B53" s="220" t="s">
        <v>778</v>
      </c>
      <c r="C53" s="117" t="s">
        <v>1541</v>
      </c>
      <c r="D53" s="118">
        <v>16</v>
      </c>
      <c r="E53" s="122">
        <v>20</v>
      </c>
      <c r="F53" s="118" t="s">
        <v>776</v>
      </c>
      <c r="G53" s="223" t="s">
        <v>84</v>
      </c>
      <c r="H53" s="227">
        <f>VLOOKUP($A53,'INDEXACIÓN PRODUCTOS MES A MES'!$B$5:$W$396,22,0)</f>
        <v>0</v>
      </c>
      <c r="I53" s="209">
        <f>VLOOKUP($A53,'INDEXACIÓN PRODUCTOS MES A MES'!$B$5:$W$396,20,0)</f>
        <v>4402</v>
      </c>
      <c r="J53" s="599">
        <f t="shared" ref="J53:J61" si="6">I53-K53</f>
        <v>0</v>
      </c>
      <c r="K53" s="101">
        <f>I53</f>
        <v>4402</v>
      </c>
      <c r="L53" s="118">
        <v>12</v>
      </c>
      <c r="M53" s="115">
        <f t="shared" ref="M53:M61" si="7">ROUND((I53/L53),0)</f>
        <v>367</v>
      </c>
      <c r="N53" s="115">
        <f t="shared" ref="N53:N61" si="8">ROUND(($M53*D53),0)</f>
        <v>5872</v>
      </c>
      <c r="O53" s="115">
        <f t="shared" ref="O53:O61" si="9">ROUND(($M53*E53),0)</f>
        <v>7340</v>
      </c>
    </row>
    <row r="54" spans="1:16" s="119" customFormat="1" ht="25.5">
      <c r="A54" s="1" t="s">
        <v>774</v>
      </c>
      <c r="B54" s="220" t="s">
        <v>775</v>
      </c>
      <c r="C54" s="117" t="s">
        <v>1541</v>
      </c>
      <c r="D54" s="118">
        <v>24</v>
      </c>
      <c r="E54" s="122">
        <v>30</v>
      </c>
      <c r="F54" s="118" t="s">
        <v>776</v>
      </c>
      <c r="G54" s="223" t="s">
        <v>84</v>
      </c>
      <c r="H54" s="227">
        <f>VLOOKUP($A54,'INDEXACIÓN PRODUCTOS MES A MES'!$B$5:$W$396,22,0)</f>
        <v>0</v>
      </c>
      <c r="I54" s="209">
        <f>VLOOKUP($A54,'INDEXACIÓN PRODUCTOS MES A MES'!$B$5:$W$396,20,0)</f>
        <v>4402</v>
      </c>
      <c r="J54" s="599">
        <f t="shared" si="6"/>
        <v>0</v>
      </c>
      <c r="K54" s="101">
        <f t="shared" ref="K54:K55" si="10">I54</f>
        <v>4402</v>
      </c>
      <c r="L54" s="118">
        <v>12</v>
      </c>
      <c r="M54" s="115">
        <f t="shared" si="7"/>
        <v>367</v>
      </c>
      <c r="N54" s="115">
        <f t="shared" si="8"/>
        <v>8808</v>
      </c>
      <c r="O54" s="115">
        <f t="shared" si="9"/>
        <v>11010</v>
      </c>
    </row>
    <row r="55" spans="1:16" s="119" customFormat="1" ht="12.75">
      <c r="A55" s="1" t="s">
        <v>787</v>
      </c>
      <c r="B55" s="220" t="s">
        <v>788</v>
      </c>
      <c r="C55" s="117" t="s">
        <v>1541</v>
      </c>
      <c r="D55" s="118">
        <v>24</v>
      </c>
      <c r="E55" s="122">
        <v>30</v>
      </c>
      <c r="F55" s="118" t="s">
        <v>776</v>
      </c>
      <c r="G55" s="223" t="s">
        <v>84</v>
      </c>
      <c r="H55" s="227">
        <f>VLOOKUP($A55,'INDEXACIÓN PRODUCTOS MES A MES'!$B$5:$W$396,22,0)</f>
        <v>0</v>
      </c>
      <c r="I55" s="209">
        <f>VLOOKUP($A55,'INDEXACIÓN PRODUCTOS MES A MES'!$B$5:$W$396,20,0)</f>
        <v>1100</v>
      </c>
      <c r="J55" s="599">
        <f t="shared" si="6"/>
        <v>0</v>
      </c>
      <c r="K55" s="101">
        <f t="shared" si="10"/>
        <v>1100</v>
      </c>
      <c r="L55" s="118">
        <v>12</v>
      </c>
      <c r="M55" s="115">
        <f t="shared" si="7"/>
        <v>92</v>
      </c>
      <c r="N55" s="115">
        <f t="shared" si="8"/>
        <v>2208</v>
      </c>
      <c r="O55" s="115">
        <f t="shared" si="9"/>
        <v>2760</v>
      </c>
    </row>
    <row r="56" spans="1:16" s="119" customFormat="1" ht="25.5">
      <c r="A56" s="230" t="s">
        <v>770</v>
      </c>
      <c r="B56" s="220" t="s">
        <v>771</v>
      </c>
      <c r="C56" s="117" t="s">
        <v>1541</v>
      </c>
      <c r="D56" s="118">
        <v>20</v>
      </c>
      <c r="E56" s="122">
        <v>25</v>
      </c>
      <c r="F56" s="123" t="s">
        <v>465</v>
      </c>
      <c r="G56" s="223" t="s">
        <v>84</v>
      </c>
      <c r="H56" s="227">
        <f>VLOOKUP($A56,'INDEXACIÓN PRODUCTOS MES A MES'!$B$5:$W$396,22,0)</f>
        <v>0</v>
      </c>
      <c r="I56" s="209">
        <f>VLOOKUP($A56,'INDEXACIÓN PRODUCTOS MES A MES'!$B$5:$W$396,20,0)</f>
        <v>15533</v>
      </c>
      <c r="J56" s="599">
        <f t="shared" si="6"/>
        <v>2480</v>
      </c>
      <c r="K56" s="101">
        <f t="shared" ref="K56:K61" si="11">ROUND((I56/1.19),0)</f>
        <v>13053</v>
      </c>
      <c r="L56" s="118">
        <v>12</v>
      </c>
      <c r="M56" s="115">
        <f t="shared" si="7"/>
        <v>1294</v>
      </c>
      <c r="N56" s="115">
        <f t="shared" si="8"/>
        <v>25880</v>
      </c>
      <c r="O56" s="115">
        <f t="shared" si="9"/>
        <v>32350</v>
      </c>
    </row>
    <row r="57" spans="1:16" s="119" customFormat="1" ht="38.25">
      <c r="A57" s="230" t="s">
        <v>779</v>
      </c>
      <c r="B57" s="220" t="s">
        <v>780</v>
      </c>
      <c r="C57" s="117" t="s">
        <v>1541</v>
      </c>
      <c r="D57" s="118">
        <v>20</v>
      </c>
      <c r="E57" s="122">
        <v>25</v>
      </c>
      <c r="F57" s="123" t="s">
        <v>108</v>
      </c>
      <c r="G57" s="223" t="s">
        <v>84</v>
      </c>
      <c r="H57" s="227">
        <f>VLOOKUP($A57,'INDEXACIÓN PRODUCTOS MES A MES'!$B$5:$W$396,22,0)</f>
        <v>0</v>
      </c>
      <c r="I57" s="209">
        <f>VLOOKUP($A57,'INDEXACIÓN PRODUCTOS MES A MES'!$B$5:$W$396,20,0)</f>
        <v>247163</v>
      </c>
      <c r="J57" s="599">
        <f t="shared" si="6"/>
        <v>39463</v>
      </c>
      <c r="K57" s="101">
        <f t="shared" si="11"/>
        <v>207700</v>
      </c>
      <c r="L57" s="118">
        <v>12</v>
      </c>
      <c r="M57" s="115">
        <f t="shared" si="7"/>
        <v>20597</v>
      </c>
      <c r="N57" s="115">
        <f t="shared" si="8"/>
        <v>411940</v>
      </c>
      <c r="O57" s="115">
        <f t="shared" si="9"/>
        <v>514925</v>
      </c>
    </row>
    <row r="58" spans="1:16" s="119" customFormat="1" ht="25.5">
      <c r="A58" s="1" t="s">
        <v>782</v>
      </c>
      <c r="B58" s="220" t="s">
        <v>783</v>
      </c>
      <c r="C58" s="117" t="s">
        <v>1541</v>
      </c>
      <c r="D58" s="118">
        <v>77</v>
      </c>
      <c r="E58" s="122">
        <v>100</v>
      </c>
      <c r="F58" s="123" t="s">
        <v>784</v>
      </c>
      <c r="G58" s="223" t="s">
        <v>84</v>
      </c>
      <c r="H58" s="227">
        <f>VLOOKUP($A58,'INDEXACIÓN PRODUCTOS MES A MES'!$B$5:$W$396,22,0)</f>
        <v>0</v>
      </c>
      <c r="I58" s="209">
        <f>VLOOKUP($A58,'INDEXACIÓN PRODUCTOS MES A MES'!$B$5:$W$396,20,0)</f>
        <v>13594</v>
      </c>
      <c r="J58" s="599">
        <f t="shared" si="6"/>
        <v>2170</v>
      </c>
      <c r="K58" s="101">
        <f t="shared" si="11"/>
        <v>11424</v>
      </c>
      <c r="L58" s="118">
        <v>12</v>
      </c>
      <c r="M58" s="115">
        <f t="shared" si="7"/>
        <v>1133</v>
      </c>
      <c r="N58" s="115">
        <f t="shared" si="8"/>
        <v>87241</v>
      </c>
      <c r="O58" s="115">
        <f t="shared" si="9"/>
        <v>113300</v>
      </c>
    </row>
    <row r="59" spans="1:16" s="119" customFormat="1" ht="25.5">
      <c r="A59" s="1" t="s">
        <v>785</v>
      </c>
      <c r="B59" s="231" t="s">
        <v>786</v>
      </c>
      <c r="C59" s="117" t="s">
        <v>1541</v>
      </c>
      <c r="D59" s="118">
        <v>1</v>
      </c>
      <c r="E59" s="122">
        <v>1</v>
      </c>
      <c r="F59" s="123" t="s">
        <v>108</v>
      </c>
      <c r="G59" s="223" t="s">
        <v>84</v>
      </c>
      <c r="H59" s="227">
        <f>VLOOKUP($A59,'INDEXACIÓN PRODUCTOS MES A MES'!$B$5:$W$396,22,0)</f>
        <v>0</v>
      </c>
      <c r="I59" s="209">
        <f>VLOOKUP($A59,'INDEXACIÓN PRODUCTOS MES A MES'!$B$5:$W$396,20,0)</f>
        <v>107363</v>
      </c>
      <c r="J59" s="599">
        <f t="shared" si="6"/>
        <v>17142</v>
      </c>
      <c r="K59" s="101">
        <f t="shared" si="11"/>
        <v>90221</v>
      </c>
      <c r="L59" s="118">
        <v>12</v>
      </c>
      <c r="M59" s="115">
        <f t="shared" si="7"/>
        <v>8947</v>
      </c>
      <c r="N59" s="115">
        <f t="shared" si="8"/>
        <v>8947</v>
      </c>
      <c r="O59" s="115">
        <f t="shared" si="9"/>
        <v>8947</v>
      </c>
    </row>
    <row r="60" spans="1:16" s="119" customFormat="1" ht="89.25">
      <c r="A60" s="1" t="s">
        <v>781</v>
      </c>
      <c r="B60" s="220" t="s">
        <v>724</v>
      </c>
      <c r="C60" s="117" t="s">
        <v>1546</v>
      </c>
      <c r="D60" s="118">
        <v>24</v>
      </c>
      <c r="E60" s="120">
        <v>30</v>
      </c>
      <c r="F60" s="117" t="s">
        <v>574</v>
      </c>
      <c r="G60" s="223" t="s">
        <v>64</v>
      </c>
      <c r="H60" s="227">
        <f>VLOOKUP($A60,'INDEXACIÓN PRODUCTOS MES A MES'!$B$5:$W$396,22,0)</f>
        <v>0</v>
      </c>
      <c r="I60" s="209">
        <f>VLOOKUP($A60,'INDEXACIÓN PRODUCTOS MES A MES'!$B$5:$W$396,20,0)</f>
        <v>6876</v>
      </c>
      <c r="J60" s="599">
        <f t="shared" si="6"/>
        <v>1098</v>
      </c>
      <c r="K60" s="101">
        <f t="shared" si="11"/>
        <v>5778</v>
      </c>
      <c r="L60" s="118">
        <v>12</v>
      </c>
      <c r="M60" s="115">
        <f t="shared" si="7"/>
        <v>573</v>
      </c>
      <c r="N60" s="115">
        <f t="shared" si="8"/>
        <v>13752</v>
      </c>
      <c r="O60" s="115">
        <f t="shared" si="9"/>
        <v>17190</v>
      </c>
    </row>
    <row r="61" spans="1:16" s="119" customFormat="1" ht="51">
      <c r="A61" s="1" t="s">
        <v>772</v>
      </c>
      <c r="B61" s="220" t="s">
        <v>773</v>
      </c>
      <c r="C61" s="117" t="s">
        <v>1547</v>
      </c>
      <c r="D61" s="118">
        <v>39</v>
      </c>
      <c r="E61" s="120">
        <v>50</v>
      </c>
      <c r="F61" s="123" t="s">
        <v>124</v>
      </c>
      <c r="G61" s="232" t="s">
        <v>36</v>
      </c>
      <c r="H61" s="227">
        <f>VLOOKUP($A61,'INDEXACIÓN PRODUCTOS MES A MES'!$B$5:$W$396,22,0)</f>
        <v>9.1162447115707479E-2</v>
      </c>
      <c r="I61" s="209">
        <f>VLOOKUP($A61,'INDEXACIÓN PRODUCTOS MES A MES'!$B$5:$W$396,20,0)</f>
        <v>64994</v>
      </c>
      <c r="J61" s="599">
        <f t="shared" si="6"/>
        <v>10377</v>
      </c>
      <c r="K61" s="101">
        <f t="shared" si="11"/>
        <v>54617</v>
      </c>
      <c r="L61" s="118">
        <v>12</v>
      </c>
      <c r="M61" s="115">
        <f t="shared" si="7"/>
        <v>5416</v>
      </c>
      <c r="N61" s="115">
        <f t="shared" si="8"/>
        <v>211224</v>
      </c>
      <c r="O61" s="115">
        <f t="shared" si="9"/>
        <v>270800</v>
      </c>
    </row>
    <row r="64" spans="1:16">
      <c r="L64" s="851" t="s">
        <v>1497</v>
      </c>
      <c r="M64" s="851"/>
      <c r="N64" s="642">
        <f>SUM(N8:N47)+SUM(N53:N61)</f>
        <v>21684488</v>
      </c>
      <c r="O64" s="642">
        <f>SUM(O8:O47)+SUM(O53:O61)</f>
        <v>27737556</v>
      </c>
    </row>
    <row r="65" spans="12:15">
      <c r="L65" s="851" t="s">
        <v>1552</v>
      </c>
      <c r="M65" s="851"/>
      <c r="N65" s="642">
        <f>ROUND((N64/30),0)</f>
        <v>722816</v>
      </c>
      <c r="O65" s="642">
        <f>ROUND((O64/30),0)</f>
        <v>924585</v>
      </c>
    </row>
    <row r="66" spans="12:15">
      <c r="L66" s="851" t="s">
        <v>1520</v>
      </c>
      <c r="M66" s="851"/>
      <c r="N66" s="642">
        <f>ROUND((N65/N7),0)</f>
        <v>7228</v>
      </c>
      <c r="O66" s="642">
        <f>ROUND((O65/O7),0)</f>
        <v>7112</v>
      </c>
    </row>
  </sheetData>
  <autoFilter ref="A5:J47" xr:uid="{00000000-0009-0000-0000-000010000000}">
    <filterColumn colId="3" showButton="0"/>
  </autoFilter>
  <mergeCells count="30">
    <mergeCell ref="L66:M66"/>
    <mergeCell ref="F50:F52"/>
    <mergeCell ref="B5:B7"/>
    <mergeCell ref="D5:E5"/>
    <mergeCell ref="A5:A7"/>
    <mergeCell ref="A50:A52"/>
    <mergeCell ref="B50:B52"/>
    <mergeCell ref="C50:C52"/>
    <mergeCell ref="D50:E50"/>
    <mergeCell ref="N50:O50"/>
    <mergeCell ref="L64:M64"/>
    <mergeCell ref="L65:M65"/>
    <mergeCell ref="G50:G52"/>
    <mergeCell ref="I50:I52"/>
    <mergeCell ref="L50:L52"/>
    <mergeCell ref="J50:J52"/>
    <mergeCell ref="H50:H52"/>
    <mergeCell ref="M50:M52"/>
    <mergeCell ref="K50:K52"/>
    <mergeCell ref="A2:O2"/>
    <mergeCell ref="M5:M7"/>
    <mergeCell ref="N5:O5"/>
    <mergeCell ref="C5:C7"/>
    <mergeCell ref="F5:F7"/>
    <mergeCell ref="G5:G7"/>
    <mergeCell ref="I5:I7"/>
    <mergeCell ref="L5:L7"/>
    <mergeCell ref="J5:J7"/>
    <mergeCell ref="H5:H7"/>
    <mergeCell ref="K5:K7"/>
  </mergeCells>
  <conditionalFormatting sqref="G8:G47 G53:G61">
    <cfRule type="containsBlanks" dxfId="5" priority="6">
      <formula>LEN(TRIM(G8))=0</formula>
    </cfRule>
  </conditionalFormatting>
  <pageMargins left="0.7" right="0.7" top="0.75" bottom="0.75" header="0.3" footer="0.3"/>
  <extLst>
    <ext xmlns:mx="http://schemas.microsoft.com/office/mac/excel/2008/main" uri="{64002731-A6B0-56B0-2670-7721B7C09600}">
      <mx:PLV Mode="0"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00B050"/>
  </sheetPr>
  <dimension ref="A1:R27"/>
  <sheetViews>
    <sheetView showGridLines="0" topLeftCell="C19" workbookViewId="0">
      <selection activeCell="C30" sqref="C30"/>
    </sheetView>
  </sheetViews>
  <sheetFormatPr defaultColWidth="9.140625" defaultRowHeight="15"/>
  <cols>
    <col min="1" max="1" width="27.140625" customWidth="1"/>
    <col min="2" max="3" width="43.140625" customWidth="1"/>
    <col min="4" max="4" width="10.42578125" customWidth="1"/>
    <col min="5" max="7" width="9.7109375" customWidth="1"/>
    <col min="8" max="8" width="9.140625" style="79" customWidth="1"/>
    <col min="9" max="9" width="15.140625" customWidth="1"/>
    <col min="10" max="10" width="13.42578125" style="99" customWidth="1"/>
    <col min="11" max="13" width="14" style="99" customWidth="1"/>
    <col min="14" max="14" width="15.140625" style="99" customWidth="1"/>
    <col min="15" max="15" width="15" style="99" customWidth="1"/>
    <col min="16" max="16" width="10.42578125" customWidth="1"/>
    <col min="17" max="18" width="9.140625" customWidth="1"/>
  </cols>
  <sheetData>
    <row r="1" spans="1:18">
      <c r="A1" s="607" t="s">
        <v>1553</v>
      </c>
      <c r="B1" s="79"/>
      <c r="F1" s="79"/>
      <c r="H1"/>
      <c r="J1"/>
      <c r="K1"/>
      <c r="L1"/>
    </row>
    <row r="2" spans="1:18" ht="30" customHeight="1">
      <c r="A2" s="740" t="s">
        <v>1554</v>
      </c>
      <c r="B2" s="740"/>
      <c r="C2" s="740"/>
      <c r="D2" s="740"/>
      <c r="E2" s="740"/>
      <c r="F2" s="740"/>
      <c r="G2" s="740"/>
      <c r="H2" s="740"/>
      <c r="I2" s="740"/>
      <c r="J2" s="740"/>
      <c r="K2" s="740"/>
      <c r="L2" s="740"/>
      <c r="M2" s="740"/>
      <c r="N2" s="740"/>
      <c r="O2" s="740"/>
    </row>
    <row r="4" spans="1:18" ht="24" customHeight="1">
      <c r="A4" s="864" t="s">
        <v>87</v>
      </c>
      <c r="B4" s="864" t="s">
        <v>1555</v>
      </c>
      <c r="C4" s="841" t="s">
        <v>1556</v>
      </c>
      <c r="D4" s="841" t="s">
        <v>1172</v>
      </c>
      <c r="E4" s="841"/>
      <c r="F4" s="841" t="s">
        <v>1557</v>
      </c>
      <c r="G4" s="841"/>
      <c r="H4" s="842" t="s">
        <v>89</v>
      </c>
      <c r="I4" s="842" t="s">
        <v>90</v>
      </c>
      <c r="J4" s="846" t="s">
        <v>1549</v>
      </c>
      <c r="K4" s="868" t="s">
        <v>1174</v>
      </c>
      <c r="L4" s="846" t="s">
        <v>1175</v>
      </c>
      <c r="M4" s="868" t="s">
        <v>1176</v>
      </c>
      <c r="N4" s="868" t="s">
        <v>1551</v>
      </c>
      <c r="O4" s="868"/>
      <c r="R4" s="84"/>
    </row>
    <row r="5" spans="1:18">
      <c r="A5" s="865"/>
      <c r="B5" s="865"/>
      <c r="C5" s="841"/>
      <c r="D5" s="596" t="s">
        <v>1180</v>
      </c>
      <c r="E5" s="596" t="s">
        <v>1180</v>
      </c>
      <c r="F5" s="596" t="s">
        <v>1180</v>
      </c>
      <c r="G5" s="596" t="s">
        <v>1180</v>
      </c>
      <c r="H5" s="842"/>
      <c r="I5" s="842"/>
      <c r="J5" s="847"/>
      <c r="K5" s="868"/>
      <c r="L5" s="847"/>
      <c r="M5" s="868"/>
      <c r="N5" s="605" t="s">
        <v>1180</v>
      </c>
      <c r="O5" s="605" t="s">
        <v>1180</v>
      </c>
      <c r="R5" s="84"/>
    </row>
    <row r="6" spans="1:18">
      <c r="A6" s="866"/>
      <c r="B6" s="866"/>
      <c r="C6" s="841"/>
      <c r="D6" s="596">
        <v>100</v>
      </c>
      <c r="E6" s="596">
        <v>130</v>
      </c>
      <c r="F6" s="596">
        <v>100</v>
      </c>
      <c r="G6" s="596">
        <v>130</v>
      </c>
      <c r="H6" s="842"/>
      <c r="I6" s="842"/>
      <c r="J6" s="848"/>
      <c r="K6" s="868"/>
      <c r="L6" s="848"/>
      <c r="M6" s="868"/>
      <c r="N6" s="596">
        <v>100</v>
      </c>
      <c r="O6" s="596">
        <v>130</v>
      </c>
    </row>
    <row r="7" spans="1:18" ht="51">
      <c r="A7" s="87" t="s">
        <v>868</v>
      </c>
      <c r="B7" s="171" t="s">
        <v>869</v>
      </c>
      <c r="C7" s="234" t="s">
        <v>1558</v>
      </c>
      <c r="D7" s="192">
        <v>260</v>
      </c>
      <c r="E7" s="192">
        <v>284</v>
      </c>
      <c r="F7" s="192">
        <v>22</v>
      </c>
      <c r="G7" s="192">
        <v>24</v>
      </c>
      <c r="H7" s="192" t="s">
        <v>108</v>
      </c>
      <c r="I7" s="192" t="s">
        <v>36</v>
      </c>
      <c r="J7" s="227">
        <f>VLOOKUP($A7,'INDEXACIÓN PRODUCTOS MES A MES'!$B$5:$W$396,22,0)</f>
        <v>9.1199556745775234E-2</v>
      </c>
      <c r="K7" s="235">
        <f>VLOOKUP($A7,'INDEXACIÓN PRODUCTOS MES A MES'!$B$5:$W$396,20,0)</f>
        <v>59083</v>
      </c>
      <c r="L7" s="235">
        <f>K7-M7</f>
        <v>9433</v>
      </c>
      <c r="M7" s="235">
        <f>ROUND((K7/1.19),0)</f>
        <v>49650</v>
      </c>
      <c r="N7" s="236">
        <f>ROUND($K7*F7,0)</f>
        <v>1299826</v>
      </c>
      <c r="O7" s="236">
        <f>ROUND($K7*G7,0)</f>
        <v>1417992</v>
      </c>
    </row>
    <row r="8" spans="1:18" ht="51">
      <c r="A8" s="87" t="s">
        <v>870</v>
      </c>
      <c r="B8" s="171" t="s">
        <v>1559</v>
      </c>
      <c r="C8" s="124" t="s">
        <v>1560</v>
      </c>
      <c r="D8" s="192">
        <v>915</v>
      </c>
      <c r="E8" s="192">
        <v>1185</v>
      </c>
      <c r="F8" s="192">
        <v>77</v>
      </c>
      <c r="G8" s="192">
        <v>99</v>
      </c>
      <c r="H8" s="192" t="s">
        <v>108</v>
      </c>
      <c r="I8" s="192" t="s">
        <v>36</v>
      </c>
      <c r="J8" s="227">
        <f>VLOOKUP($A8,'INDEXACIÓN PRODUCTOS MES A MES'!$B$5:$W$396,22,0)</f>
        <v>9.0890343867608386E-2</v>
      </c>
      <c r="K8" s="235">
        <f>VLOOKUP($A8,'INDEXACIÓN PRODUCTOS MES A MES'!$B$5:$W$396,20,0)</f>
        <v>21160</v>
      </c>
      <c r="L8" s="235">
        <f t="shared" ref="L8:L23" si="0">K8-M8</f>
        <v>3378</v>
      </c>
      <c r="M8" s="235">
        <f t="shared" ref="M8:M23" si="1">ROUND((K8/1.19),0)</f>
        <v>17782</v>
      </c>
      <c r="N8" s="236">
        <f t="shared" ref="N8:N23" si="2">ROUND($K8*F8,0)</f>
        <v>1629320</v>
      </c>
      <c r="O8" s="236">
        <f t="shared" ref="O8:O23" si="3">ROUND($K8*G8,0)</f>
        <v>2094840</v>
      </c>
    </row>
    <row r="9" spans="1:18" ht="51">
      <c r="A9" s="87" t="s">
        <v>872</v>
      </c>
      <c r="B9" s="171" t="s">
        <v>1561</v>
      </c>
      <c r="C9" s="124" t="s">
        <v>1562</v>
      </c>
      <c r="D9" s="192">
        <v>915</v>
      </c>
      <c r="E9" s="192">
        <v>1185</v>
      </c>
      <c r="F9" s="192">
        <v>77</v>
      </c>
      <c r="G9" s="192">
        <v>99</v>
      </c>
      <c r="H9" s="192" t="s">
        <v>108</v>
      </c>
      <c r="I9" s="192" t="s">
        <v>36</v>
      </c>
      <c r="J9" s="227">
        <f>VLOOKUP($A9,'INDEXACIÓN PRODUCTOS MES A MES'!$B$5:$W$396,22,0)</f>
        <v>9.069834830483918E-2</v>
      </c>
      <c r="K9" s="235">
        <f>VLOOKUP($A9,'INDEXACIÓN PRODUCTOS MES A MES'!$B$5:$W$396,20,0)</f>
        <v>11292</v>
      </c>
      <c r="L9" s="235">
        <f t="shared" si="0"/>
        <v>1803</v>
      </c>
      <c r="M9" s="235">
        <f t="shared" si="1"/>
        <v>9489</v>
      </c>
      <c r="N9" s="236">
        <f t="shared" si="2"/>
        <v>869484</v>
      </c>
      <c r="O9" s="236">
        <f t="shared" si="3"/>
        <v>1117908</v>
      </c>
    </row>
    <row r="10" spans="1:18" ht="63.75">
      <c r="A10" s="87" t="s">
        <v>875</v>
      </c>
      <c r="B10" s="237" t="s">
        <v>1563</v>
      </c>
      <c r="C10" s="124" t="s">
        <v>1564</v>
      </c>
      <c r="D10" s="192">
        <v>315</v>
      </c>
      <c r="E10" s="192">
        <v>405</v>
      </c>
      <c r="F10" s="192">
        <v>27</v>
      </c>
      <c r="G10" s="192">
        <v>34</v>
      </c>
      <c r="H10" s="192" t="s">
        <v>108</v>
      </c>
      <c r="I10" s="192" t="s">
        <v>46</v>
      </c>
      <c r="J10" s="227">
        <f>VLOOKUP($A10,'INDEXACIÓN PRODUCTOS MES A MES'!$B$5:$W$396,22,0)</f>
        <v>5.8499593752821162E-2</v>
      </c>
      <c r="K10" s="235">
        <f>VLOOKUP($A10,'INDEXACIÓN PRODUCTOS MES A MES'!$B$5:$W$396,20,0)</f>
        <v>93800</v>
      </c>
      <c r="L10" s="235">
        <f t="shared" si="0"/>
        <v>14976</v>
      </c>
      <c r="M10" s="235">
        <f t="shared" si="1"/>
        <v>78824</v>
      </c>
      <c r="N10" s="236">
        <f t="shared" si="2"/>
        <v>2532600</v>
      </c>
      <c r="O10" s="236">
        <f t="shared" si="3"/>
        <v>3189200</v>
      </c>
    </row>
    <row r="11" spans="1:18" ht="63.75">
      <c r="A11" s="87" t="s">
        <v>877</v>
      </c>
      <c r="B11" s="237" t="s">
        <v>1565</v>
      </c>
      <c r="C11" s="124" t="s">
        <v>1564</v>
      </c>
      <c r="D11" s="192">
        <v>315</v>
      </c>
      <c r="E11" s="192">
        <v>405</v>
      </c>
      <c r="F11" s="192">
        <v>27</v>
      </c>
      <c r="G11" s="192">
        <v>34</v>
      </c>
      <c r="H11" s="192" t="s">
        <v>108</v>
      </c>
      <c r="I11" s="192" t="s">
        <v>46</v>
      </c>
      <c r="J11" s="227">
        <f>VLOOKUP($A11,'INDEXACIÓN PRODUCTOS MES A MES'!$B$5:$W$396,22,0)</f>
        <v>5.8499593752821162E-2</v>
      </c>
      <c r="K11" s="235">
        <f>VLOOKUP($A11,'INDEXACIÓN PRODUCTOS MES A MES'!$B$5:$W$396,20,0)</f>
        <v>93800</v>
      </c>
      <c r="L11" s="235">
        <f t="shared" si="0"/>
        <v>14976</v>
      </c>
      <c r="M11" s="235">
        <f t="shared" si="1"/>
        <v>78824</v>
      </c>
      <c r="N11" s="236">
        <f t="shared" si="2"/>
        <v>2532600</v>
      </c>
      <c r="O11" s="236">
        <f t="shared" si="3"/>
        <v>3189200</v>
      </c>
    </row>
    <row r="12" spans="1:18" ht="51">
      <c r="A12" s="87" t="s">
        <v>879</v>
      </c>
      <c r="B12" s="237" t="s">
        <v>1566</v>
      </c>
      <c r="C12" s="124" t="s">
        <v>1567</v>
      </c>
      <c r="D12" s="192">
        <v>215</v>
      </c>
      <c r="E12" s="192">
        <v>275</v>
      </c>
      <c r="F12" s="192">
        <v>18</v>
      </c>
      <c r="G12" s="192">
        <v>23</v>
      </c>
      <c r="H12" s="192" t="s">
        <v>108</v>
      </c>
      <c r="I12" s="192" t="s">
        <v>36</v>
      </c>
      <c r="J12" s="227">
        <f>VLOOKUP($A12,'INDEXACIÓN PRODUCTOS MES A MES'!$B$5:$W$396,22,0)</f>
        <v>9.1077676696990906E-2</v>
      </c>
      <c r="K12" s="235">
        <f>VLOOKUP($A12,'INDEXACIÓN PRODUCTOS MES A MES'!$B$5:$W$396,20,0)</f>
        <v>31183</v>
      </c>
      <c r="L12" s="235">
        <f t="shared" si="0"/>
        <v>4979</v>
      </c>
      <c r="M12" s="235">
        <f t="shared" si="1"/>
        <v>26204</v>
      </c>
      <c r="N12" s="236">
        <f t="shared" si="2"/>
        <v>561294</v>
      </c>
      <c r="O12" s="236">
        <f t="shared" si="3"/>
        <v>717209</v>
      </c>
    </row>
    <row r="13" spans="1:18" ht="51">
      <c r="A13" s="87" t="s">
        <v>881</v>
      </c>
      <c r="B13" s="86" t="s">
        <v>1568</v>
      </c>
      <c r="C13" s="124" t="s">
        <v>1569</v>
      </c>
      <c r="D13" s="192">
        <v>415</v>
      </c>
      <c r="E13" s="192">
        <v>535</v>
      </c>
      <c r="F13" s="192">
        <v>35</v>
      </c>
      <c r="G13" s="192">
        <v>45</v>
      </c>
      <c r="H13" s="192" t="s">
        <v>108</v>
      </c>
      <c r="I13" s="192" t="s">
        <v>36</v>
      </c>
      <c r="J13" s="227">
        <f>VLOOKUP($A13,'INDEXACIÓN PRODUCTOS MES A MES'!$B$5:$W$396,22,0)</f>
        <v>9.1239402503027853E-2</v>
      </c>
      <c r="K13" s="235">
        <f>VLOOKUP($A13,'INDEXACIÓN PRODUCTOS MES A MES'!$B$5:$W$396,20,0)</f>
        <v>113526</v>
      </c>
      <c r="L13" s="235">
        <f t="shared" si="0"/>
        <v>18126</v>
      </c>
      <c r="M13" s="235">
        <f t="shared" si="1"/>
        <v>95400</v>
      </c>
      <c r="N13" s="236">
        <f t="shared" si="2"/>
        <v>3973410</v>
      </c>
      <c r="O13" s="236">
        <f t="shared" si="3"/>
        <v>5108670</v>
      </c>
    </row>
    <row r="14" spans="1:18" ht="51">
      <c r="A14" s="422" t="s">
        <v>885</v>
      </c>
      <c r="B14" s="237" t="s">
        <v>886</v>
      </c>
      <c r="C14" s="234" t="s">
        <v>1570</v>
      </c>
      <c r="D14" s="192">
        <v>135</v>
      </c>
      <c r="E14" s="192">
        <v>171</v>
      </c>
      <c r="F14" s="192">
        <v>12</v>
      </c>
      <c r="G14" s="192">
        <v>15</v>
      </c>
      <c r="H14" s="192" t="s">
        <v>108</v>
      </c>
      <c r="I14" s="192" t="s">
        <v>84</v>
      </c>
      <c r="J14" s="227">
        <f>VLOOKUP($A14,'INDEXACIÓN PRODUCTOS MES A MES'!$B$5:$W$396,22,0)</f>
        <v>0</v>
      </c>
      <c r="K14" s="235">
        <f>VLOOKUP($A14,'INDEXACIÓN PRODUCTOS MES A MES'!$B$5:$W$396,20,0)</f>
        <v>54600</v>
      </c>
      <c r="L14" s="235">
        <f t="shared" si="0"/>
        <v>8718</v>
      </c>
      <c r="M14" s="235">
        <f t="shared" si="1"/>
        <v>45882</v>
      </c>
      <c r="N14" s="236">
        <f t="shared" si="2"/>
        <v>655200</v>
      </c>
      <c r="O14" s="236">
        <f t="shared" si="3"/>
        <v>819000</v>
      </c>
    </row>
    <row r="15" spans="1:18" ht="51">
      <c r="A15" s="422" t="s">
        <v>887</v>
      </c>
      <c r="B15" s="171" t="s">
        <v>888</v>
      </c>
      <c r="C15" s="234" t="s">
        <v>1570</v>
      </c>
      <c r="D15" s="192">
        <v>135</v>
      </c>
      <c r="E15" s="192">
        <v>171</v>
      </c>
      <c r="F15" s="192">
        <v>12</v>
      </c>
      <c r="G15" s="192">
        <v>15</v>
      </c>
      <c r="H15" s="192" t="s">
        <v>108</v>
      </c>
      <c r="I15" s="192" t="s">
        <v>36</v>
      </c>
      <c r="J15" s="227">
        <f>VLOOKUP($A15,'INDEXACIÓN PRODUCTOS MES A MES'!$B$5:$W$396,22,0)</f>
        <v>9.1086981544718573E-2</v>
      </c>
      <c r="K15" s="235">
        <f>VLOOKUP($A15,'INDEXACIÓN PRODUCTOS MES A MES'!$B$5:$W$396,20,0)</f>
        <v>28437</v>
      </c>
      <c r="L15" s="235">
        <f t="shared" si="0"/>
        <v>4540</v>
      </c>
      <c r="M15" s="235">
        <f t="shared" si="1"/>
        <v>23897</v>
      </c>
      <c r="N15" s="236">
        <f t="shared" si="2"/>
        <v>341244</v>
      </c>
      <c r="O15" s="236">
        <f t="shared" si="3"/>
        <v>426555</v>
      </c>
    </row>
    <row r="16" spans="1:18" ht="51">
      <c r="A16" s="423" t="s">
        <v>889</v>
      </c>
      <c r="B16" s="171" t="s">
        <v>1571</v>
      </c>
      <c r="C16" s="234" t="s">
        <v>1570</v>
      </c>
      <c r="D16" s="192">
        <v>135</v>
      </c>
      <c r="E16" s="192">
        <v>171</v>
      </c>
      <c r="F16" s="192">
        <v>12</v>
      </c>
      <c r="G16" s="192">
        <v>15</v>
      </c>
      <c r="H16" s="192" t="s">
        <v>108</v>
      </c>
      <c r="I16" s="192" t="s">
        <v>84</v>
      </c>
      <c r="J16" s="227">
        <f>VLOOKUP($A16,'INDEXACIÓN PRODUCTOS MES A MES'!$B$5:$W$396,22,0)</f>
        <v>0</v>
      </c>
      <c r="K16" s="235">
        <f>VLOOKUP($A16,'INDEXACIÓN PRODUCTOS MES A MES'!$B$5:$W$396,20,0)</f>
        <v>101833</v>
      </c>
      <c r="L16" s="235">
        <f t="shared" si="0"/>
        <v>16259</v>
      </c>
      <c r="M16" s="235">
        <f t="shared" si="1"/>
        <v>85574</v>
      </c>
      <c r="N16" s="236">
        <f t="shared" si="2"/>
        <v>1221996</v>
      </c>
      <c r="O16" s="236">
        <f t="shared" si="3"/>
        <v>1527495</v>
      </c>
    </row>
    <row r="17" spans="1:15" ht="38.25" customHeight="1">
      <c r="A17" s="422" t="s">
        <v>895</v>
      </c>
      <c r="B17" s="73" t="s">
        <v>1572</v>
      </c>
      <c r="C17" s="75" t="s">
        <v>1573</v>
      </c>
      <c r="D17" s="65">
        <v>615</v>
      </c>
      <c r="E17" s="65">
        <v>795</v>
      </c>
      <c r="F17" s="65">
        <v>52</v>
      </c>
      <c r="G17" s="65">
        <v>67</v>
      </c>
      <c r="H17" s="65" t="s">
        <v>108</v>
      </c>
      <c r="I17" s="80" t="s">
        <v>84</v>
      </c>
      <c r="J17" s="227">
        <f>VLOOKUP($A17,'INDEXACIÓN PRODUCTOS MES A MES'!$B$5:$W$396,22,0)</f>
        <v>0</v>
      </c>
      <c r="K17" s="235">
        <f>VLOOKUP($A17,'INDEXACIÓN PRODUCTOS MES A MES'!$B$5:$W$396,20,0)</f>
        <v>67400</v>
      </c>
      <c r="L17" s="606">
        <f t="shared" si="0"/>
        <v>10761</v>
      </c>
      <c r="M17" s="606">
        <f t="shared" si="1"/>
        <v>56639</v>
      </c>
      <c r="N17" s="236">
        <f t="shared" si="2"/>
        <v>3504800</v>
      </c>
      <c r="O17" s="236">
        <f t="shared" si="3"/>
        <v>4515800</v>
      </c>
    </row>
    <row r="18" spans="1:15" ht="36">
      <c r="A18" s="422" t="s">
        <v>897</v>
      </c>
      <c r="B18" s="70" t="s">
        <v>888</v>
      </c>
      <c r="C18" s="75" t="s">
        <v>1573</v>
      </c>
      <c r="D18" s="65">
        <v>615</v>
      </c>
      <c r="E18" s="65">
        <v>795</v>
      </c>
      <c r="F18" s="65">
        <v>52</v>
      </c>
      <c r="G18" s="65">
        <v>67</v>
      </c>
      <c r="H18" s="65" t="s">
        <v>108</v>
      </c>
      <c r="I18" s="80" t="s">
        <v>36</v>
      </c>
      <c r="J18" s="227">
        <f>VLOOKUP($A18,'INDEXACIÓN PRODUCTOS MES A MES'!$B$5:$W$396,22,0)</f>
        <v>9.1086981544718573E-2</v>
      </c>
      <c r="K18" s="235">
        <f>VLOOKUP($A18,'INDEXACIÓN PRODUCTOS MES A MES'!$B$5:$W$396,20,0)</f>
        <v>28437</v>
      </c>
      <c r="L18" s="606">
        <f t="shared" si="0"/>
        <v>4540</v>
      </c>
      <c r="M18" s="606">
        <f t="shared" si="1"/>
        <v>23897</v>
      </c>
      <c r="N18" s="236">
        <f t="shared" si="2"/>
        <v>1478724</v>
      </c>
      <c r="O18" s="236">
        <f t="shared" si="3"/>
        <v>1905279</v>
      </c>
    </row>
    <row r="19" spans="1:15" ht="36">
      <c r="A19" s="422" t="s">
        <v>898</v>
      </c>
      <c r="B19" s="70" t="s">
        <v>1574</v>
      </c>
      <c r="C19" s="75" t="s">
        <v>1573</v>
      </c>
      <c r="D19" s="65">
        <v>615</v>
      </c>
      <c r="E19" s="65">
        <v>795</v>
      </c>
      <c r="F19" s="65">
        <v>52</v>
      </c>
      <c r="G19" s="65">
        <v>67</v>
      </c>
      <c r="H19" s="65" t="s">
        <v>108</v>
      </c>
      <c r="I19" s="80" t="s">
        <v>84</v>
      </c>
      <c r="J19" s="227">
        <f>VLOOKUP($A19,'INDEXACIÓN PRODUCTOS MES A MES'!$B$5:$W$396,22,0)</f>
        <v>0</v>
      </c>
      <c r="K19" s="235">
        <f>VLOOKUP($A19,'INDEXACIÓN PRODUCTOS MES A MES'!$B$5:$W$396,20,0)</f>
        <v>91594</v>
      </c>
      <c r="L19" s="606">
        <f t="shared" si="0"/>
        <v>14624</v>
      </c>
      <c r="M19" s="606">
        <f t="shared" si="1"/>
        <v>76970</v>
      </c>
      <c r="N19" s="236">
        <f t="shared" si="2"/>
        <v>4762888</v>
      </c>
      <c r="O19" s="236">
        <f t="shared" si="3"/>
        <v>6136798</v>
      </c>
    </row>
    <row r="20" spans="1:15" ht="63.75" customHeight="1">
      <c r="A20" s="422" t="s">
        <v>902</v>
      </c>
      <c r="B20" s="19" t="s">
        <v>1575</v>
      </c>
      <c r="C20" s="75" t="s">
        <v>1576</v>
      </c>
      <c r="D20" s="65">
        <v>615</v>
      </c>
      <c r="E20" s="65">
        <v>795</v>
      </c>
      <c r="F20" s="65">
        <v>52</v>
      </c>
      <c r="G20" s="65">
        <v>67</v>
      </c>
      <c r="H20" s="65" t="s">
        <v>108</v>
      </c>
      <c r="I20" s="80" t="s">
        <v>36</v>
      </c>
      <c r="J20" s="227">
        <f>VLOOKUP($A20,'INDEXACIÓN PRODUCTOS MES A MES'!$B$5:$W$396,22,0)</f>
        <v>5.8442031625737814E-2</v>
      </c>
      <c r="K20" s="235">
        <f>VLOOKUP($A20,'INDEXACIÓN PRODUCTOS MES A MES'!$B$5:$W$396,20,0)</f>
        <v>58100</v>
      </c>
      <c r="L20" s="606">
        <f t="shared" si="0"/>
        <v>9276</v>
      </c>
      <c r="M20" s="606">
        <f t="shared" si="1"/>
        <v>48824</v>
      </c>
      <c r="N20" s="236">
        <f t="shared" si="2"/>
        <v>3021200</v>
      </c>
      <c r="O20" s="236">
        <f t="shared" si="3"/>
        <v>3892700</v>
      </c>
    </row>
    <row r="21" spans="1:15" ht="48">
      <c r="A21" s="422" t="s">
        <v>904</v>
      </c>
      <c r="B21" s="19" t="s">
        <v>1577</v>
      </c>
      <c r="C21" s="75" t="s">
        <v>1576</v>
      </c>
      <c r="D21" s="65">
        <v>615</v>
      </c>
      <c r="E21" s="65">
        <v>795</v>
      </c>
      <c r="F21" s="65">
        <v>52</v>
      </c>
      <c r="G21" s="65">
        <v>67</v>
      </c>
      <c r="H21" s="65" t="s">
        <v>108</v>
      </c>
      <c r="I21" s="80" t="s">
        <v>36</v>
      </c>
      <c r="J21" s="227">
        <f>VLOOKUP($A21,'INDEXACIÓN PRODUCTOS MES A MES'!$B$5:$W$396,22,0)</f>
        <v>9.1086981544718573E-2</v>
      </c>
      <c r="K21" s="235">
        <f>VLOOKUP($A21,'INDEXACIÓN PRODUCTOS MES A MES'!$B$5:$W$396,20,0)</f>
        <v>28437</v>
      </c>
      <c r="L21" s="606">
        <f t="shared" si="0"/>
        <v>4540</v>
      </c>
      <c r="M21" s="606">
        <f t="shared" si="1"/>
        <v>23897</v>
      </c>
      <c r="N21" s="236">
        <f t="shared" si="2"/>
        <v>1478724</v>
      </c>
      <c r="O21" s="236">
        <f t="shared" si="3"/>
        <v>1905279</v>
      </c>
    </row>
    <row r="22" spans="1:15" ht="24" customHeight="1">
      <c r="A22" s="343" t="s">
        <v>910</v>
      </c>
      <c r="B22" s="70" t="s">
        <v>909</v>
      </c>
      <c r="C22" s="69" t="s">
        <v>1578</v>
      </c>
      <c r="D22" s="65">
        <v>35</v>
      </c>
      <c r="E22" s="65">
        <v>41</v>
      </c>
      <c r="F22" s="65">
        <v>3</v>
      </c>
      <c r="G22" s="65">
        <v>4</v>
      </c>
      <c r="H22" s="65" t="s">
        <v>108</v>
      </c>
      <c r="I22" s="80" t="s">
        <v>36</v>
      </c>
      <c r="J22" s="227">
        <f>VLOOKUP($A22,'INDEXACIÓN PRODUCTOS MES A MES'!$B$5:$W$396,22,0)</f>
        <v>9.1179042483421999E-2</v>
      </c>
      <c r="K22" s="235">
        <f>VLOOKUP($A22,'INDEXACIÓN PRODUCTOS MES A MES'!$B$5:$W$396,20,0)</f>
        <v>59897</v>
      </c>
      <c r="L22" s="606">
        <f t="shared" si="0"/>
        <v>9563</v>
      </c>
      <c r="M22" s="606">
        <f t="shared" si="1"/>
        <v>50334</v>
      </c>
      <c r="N22" s="236">
        <f t="shared" si="2"/>
        <v>179691</v>
      </c>
      <c r="O22" s="236">
        <f t="shared" si="3"/>
        <v>239588</v>
      </c>
    </row>
    <row r="23" spans="1:15" ht="51">
      <c r="A23" s="343" t="s">
        <v>908</v>
      </c>
      <c r="B23" s="81" t="s">
        <v>911</v>
      </c>
      <c r="C23" s="69" t="s">
        <v>1579</v>
      </c>
      <c r="D23" s="65">
        <v>615</v>
      </c>
      <c r="E23" s="65">
        <v>795</v>
      </c>
      <c r="F23" s="65">
        <v>52</v>
      </c>
      <c r="G23" s="65">
        <v>67</v>
      </c>
      <c r="H23" s="65" t="s">
        <v>108</v>
      </c>
      <c r="I23" s="80" t="s">
        <v>36</v>
      </c>
      <c r="J23" s="227">
        <f>VLOOKUP($A23,'INDEXACIÓN PRODUCTOS MES A MES'!$B$5:$W$396,22,0)</f>
        <v>9.1237984027357846E-2</v>
      </c>
      <c r="K23" s="235">
        <f>VLOOKUP($A23,'INDEXACIÓN PRODUCTOS MES A MES'!$B$5:$W$396,20,0)</f>
        <v>104665</v>
      </c>
      <c r="L23" s="606">
        <f t="shared" si="0"/>
        <v>16711</v>
      </c>
      <c r="M23" s="606">
        <f t="shared" si="1"/>
        <v>87954</v>
      </c>
      <c r="N23" s="236">
        <f t="shared" si="2"/>
        <v>5442580</v>
      </c>
      <c r="O23" s="236">
        <f t="shared" si="3"/>
        <v>7012555</v>
      </c>
    </row>
    <row r="25" spans="1:15">
      <c r="K25" s="867" t="s">
        <v>1580</v>
      </c>
      <c r="L25" s="867"/>
      <c r="M25" s="867"/>
      <c r="N25" s="100">
        <f>SUM(N7:N23)</f>
        <v>35485581</v>
      </c>
      <c r="O25" s="100">
        <f>SUM(O7:O23)</f>
        <v>45216068</v>
      </c>
    </row>
    <row r="26" spans="1:15">
      <c r="K26" s="867" t="s">
        <v>1581</v>
      </c>
      <c r="L26" s="867"/>
      <c r="M26" s="867"/>
      <c r="N26" s="100">
        <f>ROUND(N25/30,0)</f>
        <v>1182853</v>
      </c>
      <c r="O26" s="100">
        <f>ROUND(O25/30,0)</f>
        <v>1507202</v>
      </c>
    </row>
    <row r="27" spans="1:15">
      <c r="K27" s="867" t="s">
        <v>1519</v>
      </c>
      <c r="L27" s="867"/>
      <c r="M27" s="867"/>
      <c r="N27" s="100">
        <f>ROUND(N26/N6,0)</f>
        <v>11829</v>
      </c>
      <c r="O27" s="100">
        <f>ROUND(O26/O6,0)</f>
        <v>11594</v>
      </c>
    </row>
  </sheetData>
  <autoFilter ref="A4:M23" xr:uid="{00000000-0009-0000-0000-000011000000}">
    <filterColumn colId="3" showButton="0"/>
    <filterColumn colId="5" showButton="0"/>
  </autoFilter>
  <mergeCells count="16">
    <mergeCell ref="A4:A6"/>
    <mergeCell ref="A2:O2"/>
    <mergeCell ref="K27:M27"/>
    <mergeCell ref="M4:M6"/>
    <mergeCell ref="K25:M25"/>
    <mergeCell ref="K26:M26"/>
    <mergeCell ref="N4:O4"/>
    <mergeCell ref="L4:L6"/>
    <mergeCell ref="B4:B6"/>
    <mergeCell ref="H4:H6"/>
    <mergeCell ref="I4:I6"/>
    <mergeCell ref="K4:K6"/>
    <mergeCell ref="C4:C6"/>
    <mergeCell ref="F4:G4"/>
    <mergeCell ref="D4:E4"/>
    <mergeCell ref="J4:J6"/>
  </mergeCells>
  <conditionalFormatting sqref="I7:I23">
    <cfRule type="containsBlanks" dxfId="4" priority="2">
      <formula>LEN(TRIM(I7))=0</formula>
    </cfRule>
  </conditionalFormatting>
  <pageMargins left="0.7" right="0.7" top="0.75" bottom="0.75" header="0.3" footer="0.3"/>
  <extLst>
    <ext xmlns:mx="http://schemas.microsoft.com/office/mac/excel/2008/main" uri="{64002731-A6B0-56B0-2670-7721B7C09600}">
      <mx:PLV Mode="0"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00B050"/>
  </sheetPr>
  <dimension ref="A1:O31"/>
  <sheetViews>
    <sheetView showGridLines="0" topLeftCell="B22" zoomScale="85" zoomScaleNormal="85" zoomScalePageLayoutView="85" workbookViewId="0">
      <selection activeCell="O30" sqref="O30"/>
    </sheetView>
  </sheetViews>
  <sheetFormatPr defaultColWidth="11.42578125" defaultRowHeight="12.75"/>
  <cols>
    <col min="1" max="1" width="22.28515625" style="85" customWidth="1"/>
    <col min="2" max="2" width="57.28515625" style="85" customWidth="1"/>
    <col min="3" max="3" width="31.85546875" style="85" customWidth="1"/>
    <col min="4" max="7" width="11.42578125" style="88" customWidth="1"/>
    <col min="8" max="8" width="11.42578125" style="88"/>
    <col min="9" max="9" width="13.42578125" style="88" customWidth="1"/>
    <col min="10" max="13" width="16.85546875" style="85" customWidth="1"/>
    <col min="14" max="15" width="16.28515625" style="85" customWidth="1"/>
    <col min="16" max="16384" width="11.42578125" style="85"/>
  </cols>
  <sheetData>
    <row r="1" spans="1:15">
      <c r="A1" s="363" t="s">
        <v>1582</v>
      </c>
      <c r="B1" s="129"/>
      <c r="C1" s="364"/>
      <c r="D1" s="364"/>
      <c r="E1" s="129"/>
      <c r="F1" s="129"/>
      <c r="G1" s="129"/>
      <c r="H1" s="129"/>
      <c r="I1" s="129"/>
      <c r="J1" s="129"/>
      <c r="K1" s="129"/>
      <c r="L1" s="103"/>
    </row>
    <row r="2" spans="1:15" ht="30" customHeight="1">
      <c r="A2" s="740" t="s">
        <v>1583</v>
      </c>
      <c r="B2" s="740"/>
      <c r="C2" s="740"/>
      <c r="D2" s="740"/>
      <c r="E2" s="740"/>
      <c r="F2" s="740"/>
      <c r="G2" s="740"/>
      <c r="H2" s="740"/>
      <c r="I2" s="740"/>
      <c r="J2" s="740"/>
      <c r="K2" s="740"/>
      <c r="L2" s="740"/>
      <c r="M2" s="740"/>
      <c r="N2" s="740"/>
      <c r="O2" s="740"/>
    </row>
    <row r="4" spans="1:15" ht="38.25" customHeight="1">
      <c r="A4" s="809" t="s">
        <v>1584</v>
      </c>
      <c r="B4" s="809" t="s">
        <v>1585</v>
      </c>
      <c r="C4" s="809" t="s">
        <v>1586</v>
      </c>
      <c r="D4" s="870" t="s">
        <v>1172</v>
      </c>
      <c r="E4" s="871"/>
      <c r="F4" s="870" t="s">
        <v>1587</v>
      </c>
      <c r="G4" s="871"/>
      <c r="H4" s="803" t="s">
        <v>89</v>
      </c>
      <c r="I4" s="803" t="s">
        <v>90</v>
      </c>
      <c r="J4" s="796" t="s">
        <v>1588</v>
      </c>
      <c r="K4" s="796" t="s">
        <v>1174</v>
      </c>
      <c r="L4" s="796" t="s">
        <v>1175</v>
      </c>
      <c r="M4" s="796" t="s">
        <v>1176</v>
      </c>
      <c r="N4" s="453" t="s">
        <v>1551</v>
      </c>
      <c r="O4" s="453" t="s">
        <v>1551</v>
      </c>
    </row>
    <row r="5" spans="1:15">
      <c r="A5" s="718"/>
      <c r="B5" s="718"/>
      <c r="C5" s="718"/>
      <c r="D5" s="592" t="s">
        <v>1180</v>
      </c>
      <c r="E5" s="592" t="s">
        <v>1180</v>
      </c>
      <c r="F5" s="592" t="s">
        <v>1180</v>
      </c>
      <c r="G5" s="592" t="s">
        <v>1180</v>
      </c>
      <c r="H5" s="822"/>
      <c r="I5" s="822"/>
      <c r="J5" s="833"/>
      <c r="K5" s="833"/>
      <c r="L5" s="833"/>
      <c r="M5" s="833"/>
      <c r="N5" s="595" t="s">
        <v>1180</v>
      </c>
      <c r="O5" s="595" t="s">
        <v>1180</v>
      </c>
    </row>
    <row r="6" spans="1:15" ht="15.75" customHeight="1">
      <c r="A6" s="810"/>
      <c r="B6" s="810"/>
      <c r="C6" s="810"/>
      <c r="D6" s="592">
        <v>100</v>
      </c>
      <c r="E6" s="592">
        <v>130</v>
      </c>
      <c r="F6" s="592">
        <v>100</v>
      </c>
      <c r="G6" s="592">
        <v>130</v>
      </c>
      <c r="H6" s="804"/>
      <c r="I6" s="804"/>
      <c r="J6" s="797"/>
      <c r="K6" s="797"/>
      <c r="L6" s="797"/>
      <c r="M6" s="797"/>
      <c r="N6" s="595">
        <v>100</v>
      </c>
      <c r="O6" s="595">
        <v>130</v>
      </c>
    </row>
    <row r="7" spans="1:15" ht="79.5" customHeight="1">
      <c r="A7" s="207" t="s">
        <v>824</v>
      </c>
      <c r="B7" s="238" t="s">
        <v>825</v>
      </c>
      <c r="C7" s="239" t="s">
        <v>1589</v>
      </c>
      <c r="D7" s="1">
        <f>+D$6*6+10</f>
        <v>610</v>
      </c>
      <c r="E7" s="1">
        <f>+E$6*6+10</f>
        <v>790</v>
      </c>
      <c r="F7" s="1">
        <f>ROUNDUP((D7/12),0)</f>
        <v>51</v>
      </c>
      <c r="G7" s="1">
        <f t="shared" ref="G7:G24" si="0">ROUNDUP((E7/12),0)</f>
        <v>66</v>
      </c>
      <c r="H7" s="1" t="s">
        <v>108</v>
      </c>
      <c r="I7" s="1" t="s">
        <v>40</v>
      </c>
      <c r="J7" s="227">
        <f>VLOOKUP($A7,'INDEXACIÓN PRODUCTOS MES A MES'!$B$5:$W$396,22,0)</f>
        <v>7.0880681818181815E-2</v>
      </c>
      <c r="K7" s="235">
        <f>VLOOKUP($A7,'INDEXACIÓN PRODUCTOS MES A MES'!$B$5:$W$396,20,0)</f>
        <v>7539</v>
      </c>
      <c r="L7" s="235">
        <f>K7-M7</f>
        <v>1204</v>
      </c>
      <c r="M7" s="235">
        <f>ROUND((K7/1.19),0)</f>
        <v>6335</v>
      </c>
      <c r="N7" s="416">
        <f>ROUND(($K7*F7),0)</f>
        <v>384489</v>
      </c>
      <c r="O7" s="416">
        <f>ROUND(($K7*G7),0)</f>
        <v>497574</v>
      </c>
    </row>
    <row r="8" spans="1:15" ht="63.75">
      <c r="A8" s="215" t="s">
        <v>826</v>
      </c>
      <c r="B8" s="207" t="s">
        <v>827</v>
      </c>
      <c r="C8" s="239" t="s">
        <v>1590</v>
      </c>
      <c r="D8" s="1">
        <f>+D$6*12+10</f>
        <v>1210</v>
      </c>
      <c r="E8" s="1">
        <f>+E$6*12+10</f>
        <v>1570</v>
      </c>
      <c r="F8" s="1">
        <f t="shared" ref="F8:F24" si="1">ROUNDUP((D8/12),0)</f>
        <v>101</v>
      </c>
      <c r="G8" s="1">
        <f t="shared" si="0"/>
        <v>131</v>
      </c>
      <c r="H8" s="76" t="s">
        <v>108</v>
      </c>
      <c r="I8" s="76" t="s">
        <v>40</v>
      </c>
      <c r="J8" s="227">
        <f>VLOOKUP($A8,'INDEXACIÓN PRODUCTOS MES A MES'!$B$5:$W$396,22,0)</f>
        <v>7.1309192200557106E-2</v>
      </c>
      <c r="K8" s="235">
        <f>VLOOKUP($A8,'INDEXACIÓN PRODUCTOS MES A MES'!$B$5:$W$396,20,0)</f>
        <v>17307</v>
      </c>
      <c r="L8" s="235">
        <f t="shared" ref="L8:L25" si="2">K8-M8</f>
        <v>2763</v>
      </c>
      <c r="M8" s="235">
        <f t="shared" ref="M8:M25" si="3">ROUND((K8/1.19),0)</f>
        <v>14544</v>
      </c>
      <c r="N8" s="416">
        <f t="shared" ref="N8:N25" si="4">ROUND(($K8*F8),0)</f>
        <v>1748007</v>
      </c>
      <c r="O8" s="416">
        <f t="shared" ref="O8:O25" si="5">ROUND(($K8*G8),0)</f>
        <v>2267217</v>
      </c>
    </row>
    <row r="9" spans="1:15" ht="89.25">
      <c r="A9" s="215" t="s">
        <v>828</v>
      </c>
      <c r="B9" s="238" t="s">
        <v>829</v>
      </c>
      <c r="C9" s="239" t="s">
        <v>1591</v>
      </c>
      <c r="D9" s="1">
        <f>+D$6*12+10</f>
        <v>1210</v>
      </c>
      <c r="E9" s="1">
        <f>+E$6*12+10</f>
        <v>1570</v>
      </c>
      <c r="F9" s="1">
        <f t="shared" si="1"/>
        <v>101</v>
      </c>
      <c r="G9" s="1">
        <f t="shared" si="0"/>
        <v>131</v>
      </c>
      <c r="H9" s="76" t="s">
        <v>108</v>
      </c>
      <c r="I9" s="76" t="s">
        <v>40</v>
      </c>
      <c r="J9" s="227">
        <f>VLOOKUP($A9,'INDEXACIÓN PRODUCTOS MES A MES'!$B$5:$W$396,22,0)</f>
        <v>7.0191266690725368E-2</v>
      </c>
      <c r="K9" s="235">
        <f>VLOOKUP($A9,'INDEXACIÓN PRODUCTOS MES A MES'!$B$5:$W$396,20,0)</f>
        <v>5931</v>
      </c>
      <c r="L9" s="235">
        <f t="shared" si="2"/>
        <v>947</v>
      </c>
      <c r="M9" s="235">
        <f t="shared" si="3"/>
        <v>4984</v>
      </c>
      <c r="N9" s="416">
        <f t="shared" si="4"/>
        <v>599031</v>
      </c>
      <c r="O9" s="416">
        <f t="shared" si="5"/>
        <v>776961</v>
      </c>
    </row>
    <row r="10" spans="1:15" ht="57.75" customHeight="1">
      <c r="A10" s="207" t="s">
        <v>832</v>
      </c>
      <c r="B10" s="238" t="s">
        <v>833</v>
      </c>
      <c r="C10" s="239" t="s">
        <v>1592</v>
      </c>
      <c r="D10" s="1">
        <f>+D$6*5*12+10</f>
        <v>6010</v>
      </c>
      <c r="E10" s="1">
        <f>+E$6*5*12+10</f>
        <v>7810</v>
      </c>
      <c r="F10" s="1">
        <f t="shared" si="1"/>
        <v>501</v>
      </c>
      <c r="G10" s="1">
        <f t="shared" si="0"/>
        <v>651</v>
      </c>
      <c r="H10" s="76" t="s">
        <v>108</v>
      </c>
      <c r="I10" s="76" t="s">
        <v>40</v>
      </c>
      <c r="J10" s="227">
        <f>VLOOKUP($A10,'INDEXACIÓN PRODUCTOS MES A MES'!$B$5:$W$396,22,0)</f>
        <v>6.815816857440167E-2</v>
      </c>
      <c r="K10" s="235">
        <f>VLOOKUP($A10,'INDEXACIÓN PRODUCTOS MES A MES'!$B$5:$W$396,20,0)</f>
        <v>2053</v>
      </c>
      <c r="L10" s="235">
        <f t="shared" si="2"/>
        <v>328</v>
      </c>
      <c r="M10" s="235">
        <f t="shared" si="3"/>
        <v>1725</v>
      </c>
      <c r="N10" s="416">
        <f t="shared" si="4"/>
        <v>1028553</v>
      </c>
      <c r="O10" s="416">
        <f t="shared" si="5"/>
        <v>1336503</v>
      </c>
    </row>
    <row r="11" spans="1:15" ht="76.5">
      <c r="A11" s="215" t="s">
        <v>835</v>
      </c>
      <c r="B11" s="238" t="s">
        <v>836</v>
      </c>
      <c r="C11" s="239" t="s">
        <v>1593</v>
      </c>
      <c r="D11" s="1">
        <f>+D$6*12+10</f>
        <v>1210</v>
      </c>
      <c r="E11" s="1">
        <f>+E$6*12+10</f>
        <v>1570</v>
      </c>
      <c r="F11" s="1">
        <f t="shared" si="1"/>
        <v>101</v>
      </c>
      <c r="G11" s="1">
        <f t="shared" si="0"/>
        <v>131</v>
      </c>
      <c r="H11" s="1" t="s">
        <v>108</v>
      </c>
      <c r="I11" s="76" t="s">
        <v>40</v>
      </c>
      <c r="J11" s="227">
        <f>VLOOKUP($A11,'INDEXACIÓN PRODUCTOS MES A MES'!$B$5:$W$396,22,0)</f>
        <v>7.0937003705664373E-2</v>
      </c>
      <c r="K11" s="235">
        <f>VLOOKUP($A11,'INDEXACIÓN PRODUCTOS MES A MES'!$B$5:$W$396,20,0)</f>
        <v>8092</v>
      </c>
      <c r="L11" s="235">
        <f t="shared" si="2"/>
        <v>1292</v>
      </c>
      <c r="M11" s="235">
        <f t="shared" si="3"/>
        <v>6800</v>
      </c>
      <c r="N11" s="416">
        <f t="shared" si="4"/>
        <v>817292</v>
      </c>
      <c r="O11" s="416">
        <f t="shared" si="5"/>
        <v>1060052</v>
      </c>
    </row>
    <row r="12" spans="1:15" ht="57" customHeight="1">
      <c r="A12" s="207" t="s">
        <v>837</v>
      </c>
      <c r="B12" s="207" t="s">
        <v>838</v>
      </c>
      <c r="C12" s="239" t="s">
        <v>1594</v>
      </c>
      <c r="D12" s="1">
        <f>+D$6*4*12+10</f>
        <v>4810</v>
      </c>
      <c r="E12" s="1">
        <f>+E$6*4*12+10</f>
        <v>6250</v>
      </c>
      <c r="F12" s="1">
        <f t="shared" si="1"/>
        <v>401</v>
      </c>
      <c r="G12" s="1">
        <f t="shared" si="0"/>
        <v>521</v>
      </c>
      <c r="H12" s="76" t="s">
        <v>108</v>
      </c>
      <c r="I12" s="76" t="s">
        <v>40</v>
      </c>
      <c r="J12" s="227">
        <f>VLOOKUP($A12,'INDEXACIÓN PRODUCTOS MES A MES'!$B$5:$W$396,22,0)</f>
        <v>7.006818716200329E-2</v>
      </c>
      <c r="K12" s="235">
        <f>VLOOKUP($A12,'INDEXACIÓN PRODUCTOS MES A MES'!$B$5:$W$396,20,0)</f>
        <v>4551</v>
      </c>
      <c r="L12" s="235">
        <f t="shared" si="2"/>
        <v>727</v>
      </c>
      <c r="M12" s="235">
        <f t="shared" si="3"/>
        <v>3824</v>
      </c>
      <c r="N12" s="416">
        <f t="shared" si="4"/>
        <v>1824951</v>
      </c>
      <c r="O12" s="416">
        <f t="shared" si="5"/>
        <v>2371071</v>
      </c>
    </row>
    <row r="13" spans="1:15" ht="102">
      <c r="A13" s="76" t="s">
        <v>839</v>
      </c>
      <c r="B13" s="238" t="s">
        <v>840</v>
      </c>
      <c r="C13" s="239" t="s">
        <v>1595</v>
      </c>
      <c r="D13" s="1">
        <f>+D$6*2*20%*12+10</f>
        <v>490</v>
      </c>
      <c r="E13" s="1">
        <f>+E$6*2*20%*12+10</f>
        <v>634</v>
      </c>
      <c r="F13" s="1">
        <f t="shared" si="1"/>
        <v>41</v>
      </c>
      <c r="G13" s="1">
        <f t="shared" si="0"/>
        <v>53</v>
      </c>
      <c r="H13" s="76" t="s">
        <v>841</v>
      </c>
      <c r="I13" s="76" t="s">
        <v>40</v>
      </c>
      <c r="J13" s="227">
        <f>VLOOKUP($A13,'INDEXACIÓN PRODUCTOS MES A MES'!$B$5:$W$396,22,0)</f>
        <v>7.0670871559633031E-2</v>
      </c>
      <c r="K13" s="235">
        <f>VLOOKUP($A13,'INDEXACIÓN PRODUCTOS MES A MES'!$B$5:$W$396,20,0)</f>
        <v>7469</v>
      </c>
      <c r="L13" s="235">
        <f t="shared" si="2"/>
        <v>0</v>
      </c>
      <c r="M13" s="235">
        <f>K13</f>
        <v>7469</v>
      </c>
      <c r="N13" s="416">
        <f t="shared" si="4"/>
        <v>306229</v>
      </c>
      <c r="O13" s="416">
        <f t="shared" si="5"/>
        <v>395857</v>
      </c>
    </row>
    <row r="14" spans="1:15" ht="63.75">
      <c r="A14" s="76" t="s">
        <v>842</v>
      </c>
      <c r="B14" s="238" t="s">
        <v>843</v>
      </c>
      <c r="C14" s="239" t="s">
        <v>1596</v>
      </c>
      <c r="D14" s="1">
        <f>+D$6*4*12+10</f>
        <v>4810</v>
      </c>
      <c r="E14" s="1">
        <f>+E$6*4*12+10</f>
        <v>6250</v>
      </c>
      <c r="F14" s="1">
        <f t="shared" si="1"/>
        <v>401</v>
      </c>
      <c r="G14" s="1">
        <f t="shared" si="0"/>
        <v>521</v>
      </c>
      <c r="H14" s="1" t="s">
        <v>108</v>
      </c>
      <c r="I14" s="1" t="s">
        <v>40</v>
      </c>
      <c r="J14" s="227">
        <f>VLOOKUP($A14,'INDEXACIÓN PRODUCTOS MES A MES'!$B$5:$W$396,22,0)</f>
        <v>7.1300110227997912E-2</v>
      </c>
      <c r="K14" s="235">
        <f>VLOOKUP($A14,'INDEXACIÓN PRODUCTOS MES A MES'!$B$5:$W$396,20,0)</f>
        <v>18466</v>
      </c>
      <c r="L14" s="235">
        <f t="shared" si="2"/>
        <v>2948</v>
      </c>
      <c r="M14" s="235">
        <f t="shared" si="3"/>
        <v>15518</v>
      </c>
      <c r="N14" s="416">
        <f t="shared" si="4"/>
        <v>7404866</v>
      </c>
      <c r="O14" s="416">
        <f t="shared" si="5"/>
        <v>9620786</v>
      </c>
    </row>
    <row r="15" spans="1:15" ht="114.75">
      <c r="A15" s="215" t="s">
        <v>844</v>
      </c>
      <c r="B15" s="238" t="s">
        <v>845</v>
      </c>
      <c r="C15" s="173" t="s">
        <v>1597</v>
      </c>
      <c r="D15" s="1">
        <v>1</v>
      </c>
      <c r="E15" s="1">
        <v>1</v>
      </c>
      <c r="F15" s="1">
        <f t="shared" si="1"/>
        <v>1</v>
      </c>
      <c r="G15" s="1">
        <f t="shared" si="0"/>
        <v>1</v>
      </c>
      <c r="H15" s="76" t="s">
        <v>846</v>
      </c>
      <c r="I15" s="76" t="s">
        <v>40</v>
      </c>
      <c r="J15" s="227">
        <f>VLOOKUP($A15,'INDEXACIÓN PRODUCTOS MES A MES'!$B$5:$W$396,22,0)</f>
        <v>7.1593408085141044E-2</v>
      </c>
      <c r="K15" s="235">
        <f>VLOOKUP($A15,'INDEXACIÓN PRODUCTOS MES A MES'!$B$5:$W$396,20,0)</f>
        <v>236820</v>
      </c>
      <c r="L15" s="235">
        <f t="shared" si="2"/>
        <v>37812</v>
      </c>
      <c r="M15" s="235">
        <f t="shared" si="3"/>
        <v>199008</v>
      </c>
      <c r="N15" s="416">
        <f t="shared" si="4"/>
        <v>236820</v>
      </c>
      <c r="O15" s="416">
        <f t="shared" si="5"/>
        <v>236820</v>
      </c>
    </row>
    <row r="16" spans="1:15" ht="48" customHeight="1">
      <c r="A16" s="215" t="s">
        <v>847</v>
      </c>
      <c r="B16" s="207" t="s">
        <v>848</v>
      </c>
      <c r="C16" s="239" t="s">
        <v>1598</v>
      </c>
      <c r="D16" s="1">
        <f>+D$6*12+10</f>
        <v>1210</v>
      </c>
      <c r="E16" s="1">
        <f>+E$6*12+10</f>
        <v>1570</v>
      </c>
      <c r="F16" s="1">
        <f t="shared" si="1"/>
        <v>101</v>
      </c>
      <c r="G16" s="1">
        <f t="shared" si="0"/>
        <v>131</v>
      </c>
      <c r="H16" s="76" t="s">
        <v>108</v>
      </c>
      <c r="I16" s="76" t="s">
        <v>40</v>
      </c>
      <c r="J16" s="227">
        <f>VLOOKUP($A16,'INDEXACIÓN PRODUCTOS MES A MES'!$B$5:$W$396,22,0)</f>
        <v>7.1403705566085177E-2</v>
      </c>
      <c r="K16" s="235">
        <f>VLOOKUP($A16,'INDEXACIÓN PRODUCTOS MES A MES'!$B$5:$W$396,20,0)</f>
        <v>27699</v>
      </c>
      <c r="L16" s="235">
        <f t="shared" si="2"/>
        <v>4423</v>
      </c>
      <c r="M16" s="235">
        <f t="shared" si="3"/>
        <v>23276</v>
      </c>
      <c r="N16" s="416">
        <f t="shared" si="4"/>
        <v>2797599</v>
      </c>
      <c r="O16" s="416">
        <f t="shared" si="5"/>
        <v>3628569</v>
      </c>
    </row>
    <row r="17" spans="1:15" ht="63.75">
      <c r="A17" s="215" t="s">
        <v>849</v>
      </c>
      <c r="B17" s="207" t="s">
        <v>850</v>
      </c>
      <c r="C17" s="239" t="s">
        <v>1598</v>
      </c>
      <c r="D17" s="1">
        <f>+D$6*20%*12+10</f>
        <v>250</v>
      </c>
      <c r="E17" s="1">
        <f>+E$6*20%*12+10</f>
        <v>322</v>
      </c>
      <c r="F17" s="1">
        <f t="shared" si="1"/>
        <v>21</v>
      </c>
      <c r="G17" s="1">
        <f t="shared" si="0"/>
        <v>27</v>
      </c>
      <c r="H17" s="1" t="s">
        <v>108</v>
      </c>
      <c r="I17" s="76" t="s">
        <v>40</v>
      </c>
      <c r="J17" s="227">
        <f>VLOOKUP($A17,'INDEXACIÓN PRODUCTOS MES A MES'!$B$5:$W$396,22,0)</f>
        <v>7.1364852809991081E-2</v>
      </c>
      <c r="K17" s="235">
        <f>VLOOKUP($A17,'INDEXACIÓN PRODUCTOS MES A MES'!$B$5:$W$396,20,0)</f>
        <v>28824</v>
      </c>
      <c r="L17" s="235">
        <f t="shared" si="2"/>
        <v>4602</v>
      </c>
      <c r="M17" s="235">
        <f t="shared" si="3"/>
        <v>24222</v>
      </c>
      <c r="N17" s="416">
        <f t="shared" si="4"/>
        <v>605304</v>
      </c>
      <c r="O17" s="416">
        <f t="shared" si="5"/>
        <v>778248</v>
      </c>
    </row>
    <row r="18" spans="1:15" ht="55.5" customHeight="1">
      <c r="A18" s="215" t="s">
        <v>851</v>
      </c>
      <c r="B18" s="207" t="s">
        <v>852</v>
      </c>
      <c r="C18" s="239" t="s">
        <v>1599</v>
      </c>
      <c r="D18" s="1">
        <f>+D$6*6+10</f>
        <v>610</v>
      </c>
      <c r="E18" s="1">
        <f>+E$6*6+10</f>
        <v>790</v>
      </c>
      <c r="F18" s="1">
        <f t="shared" si="1"/>
        <v>51</v>
      </c>
      <c r="G18" s="1">
        <f t="shared" si="0"/>
        <v>66</v>
      </c>
      <c r="H18" s="78" t="s">
        <v>108</v>
      </c>
      <c r="I18" s="76" t="s">
        <v>46</v>
      </c>
      <c r="J18" s="227">
        <f>VLOOKUP($A18,'INDEXACIÓN PRODUCTOS MES A MES'!$B$5:$W$396,22,0)</f>
        <v>5.5613850996852045E-2</v>
      </c>
      <c r="K18" s="235">
        <f>VLOOKUP($A18,'INDEXACIÓN PRODUCTOS MES A MES'!$B$5:$W$396,20,0)</f>
        <v>2012</v>
      </c>
      <c r="L18" s="235">
        <f t="shared" si="2"/>
        <v>321</v>
      </c>
      <c r="M18" s="235">
        <f t="shared" si="3"/>
        <v>1691</v>
      </c>
      <c r="N18" s="416">
        <f t="shared" si="4"/>
        <v>102612</v>
      </c>
      <c r="O18" s="416">
        <f t="shared" si="5"/>
        <v>132792</v>
      </c>
    </row>
    <row r="19" spans="1:15" ht="48" customHeight="1">
      <c r="A19" s="215" t="s">
        <v>853</v>
      </c>
      <c r="B19" s="215" t="s">
        <v>854</v>
      </c>
      <c r="C19" s="239" t="s">
        <v>1600</v>
      </c>
      <c r="D19" s="1">
        <f>+D$6*20%+10</f>
        <v>30</v>
      </c>
      <c r="E19" s="1">
        <f>+E$6*20%+10</f>
        <v>36</v>
      </c>
      <c r="F19" s="1">
        <f t="shared" si="1"/>
        <v>3</v>
      </c>
      <c r="G19" s="1">
        <f t="shared" si="0"/>
        <v>3</v>
      </c>
      <c r="H19" s="76" t="s">
        <v>108</v>
      </c>
      <c r="I19" s="76" t="s">
        <v>40</v>
      </c>
      <c r="J19" s="227">
        <f>VLOOKUP($A19,'INDEXACIÓN PRODUCTOS MES A MES'!$B$5:$W$396,22,0)</f>
        <v>7.0950027457440973E-2</v>
      </c>
      <c r="K19" s="235">
        <f>VLOOKUP($A19,'INDEXACIÓN PRODUCTOS MES A MES'!$B$5:$W$396,20,0)</f>
        <v>9751</v>
      </c>
      <c r="L19" s="235">
        <f t="shared" si="2"/>
        <v>1557</v>
      </c>
      <c r="M19" s="235">
        <f t="shared" si="3"/>
        <v>8194</v>
      </c>
      <c r="N19" s="416">
        <f t="shared" si="4"/>
        <v>29253</v>
      </c>
      <c r="O19" s="416">
        <f t="shared" si="5"/>
        <v>29253</v>
      </c>
    </row>
    <row r="20" spans="1:15" ht="48" customHeight="1">
      <c r="A20" s="215" t="s">
        <v>855</v>
      </c>
      <c r="B20" s="238" t="s">
        <v>856</v>
      </c>
      <c r="C20" s="239" t="s">
        <v>1601</v>
      </c>
      <c r="D20" s="1">
        <f>+D$6*4+10</f>
        <v>410</v>
      </c>
      <c r="E20" s="1">
        <f>+E$6*4+10</f>
        <v>530</v>
      </c>
      <c r="F20" s="1">
        <f t="shared" si="1"/>
        <v>35</v>
      </c>
      <c r="G20" s="1">
        <f t="shared" si="0"/>
        <v>45</v>
      </c>
      <c r="H20" s="76" t="s">
        <v>108</v>
      </c>
      <c r="I20" s="76" t="s">
        <v>84</v>
      </c>
      <c r="J20" s="227">
        <f>VLOOKUP($A20,'INDEXACIÓN PRODUCTOS MES A MES'!$B$5:$W$396,22,0)</f>
        <v>0</v>
      </c>
      <c r="K20" s="235">
        <f>VLOOKUP($A20,'INDEXACIÓN PRODUCTOS MES A MES'!$B$5:$W$396,20,0)</f>
        <v>88381</v>
      </c>
      <c r="L20" s="235">
        <f t="shared" si="2"/>
        <v>14111</v>
      </c>
      <c r="M20" s="235">
        <f t="shared" si="3"/>
        <v>74270</v>
      </c>
      <c r="N20" s="416">
        <f t="shared" si="4"/>
        <v>3093335</v>
      </c>
      <c r="O20" s="416">
        <f t="shared" si="5"/>
        <v>3977145</v>
      </c>
    </row>
    <row r="21" spans="1:15" ht="36" customHeight="1">
      <c r="A21" s="207" t="s">
        <v>857</v>
      </c>
      <c r="B21" s="238" t="s">
        <v>858</v>
      </c>
      <c r="C21" s="239" t="s">
        <v>1602</v>
      </c>
      <c r="D21" s="1">
        <f>+D$6*12+10</f>
        <v>1210</v>
      </c>
      <c r="E21" s="1">
        <f>+E$6*12+10</f>
        <v>1570</v>
      </c>
      <c r="F21" s="1">
        <f t="shared" si="1"/>
        <v>101</v>
      </c>
      <c r="G21" s="1">
        <f t="shared" si="0"/>
        <v>131</v>
      </c>
      <c r="H21" s="76" t="s">
        <v>108</v>
      </c>
      <c r="I21" s="76" t="s">
        <v>46</v>
      </c>
      <c r="J21" s="227">
        <f>VLOOKUP($A21,'INDEXACIÓN PRODUCTOS MES A MES'!$B$5:$W$396,22,0)</f>
        <v>5.8356916216447986E-2</v>
      </c>
      <c r="K21" s="235">
        <f>VLOOKUP($A21,'INDEXACIÓN PRODUCTOS MES A MES'!$B$5:$W$396,20,0)</f>
        <v>24683</v>
      </c>
      <c r="L21" s="235">
        <f t="shared" si="2"/>
        <v>3941</v>
      </c>
      <c r="M21" s="235">
        <f t="shared" si="3"/>
        <v>20742</v>
      </c>
      <c r="N21" s="416">
        <f t="shared" si="4"/>
        <v>2492983</v>
      </c>
      <c r="O21" s="416">
        <f t="shared" si="5"/>
        <v>3233473</v>
      </c>
    </row>
    <row r="22" spans="1:15" ht="69.75" customHeight="1">
      <c r="A22" s="207" t="s">
        <v>861</v>
      </c>
      <c r="B22" s="238" t="s">
        <v>862</v>
      </c>
      <c r="C22" s="239" t="s">
        <v>1603</v>
      </c>
      <c r="D22" s="1">
        <f>+D$6*3+10</f>
        <v>310</v>
      </c>
      <c r="E22" s="1">
        <f>+E$6*3+10</f>
        <v>400</v>
      </c>
      <c r="F22" s="1">
        <f t="shared" si="1"/>
        <v>26</v>
      </c>
      <c r="G22" s="1">
        <f t="shared" si="0"/>
        <v>34</v>
      </c>
      <c r="H22" s="76" t="s">
        <v>108</v>
      </c>
      <c r="I22" s="76" t="s">
        <v>84</v>
      </c>
      <c r="J22" s="227">
        <f>VLOOKUP($A22,'INDEXACIÓN PRODUCTOS MES A MES'!$B$5:$W$396,22,0)</f>
        <v>0</v>
      </c>
      <c r="K22" s="235">
        <f>VLOOKUP($A22,'INDEXACIÓN PRODUCTOS MES A MES'!$B$5:$W$396,20,0)</f>
        <v>43560</v>
      </c>
      <c r="L22" s="235">
        <f t="shared" si="2"/>
        <v>6955</v>
      </c>
      <c r="M22" s="235">
        <f t="shared" si="3"/>
        <v>36605</v>
      </c>
      <c r="N22" s="416">
        <f t="shared" si="4"/>
        <v>1132560</v>
      </c>
      <c r="O22" s="416">
        <f t="shared" si="5"/>
        <v>1481040</v>
      </c>
    </row>
    <row r="23" spans="1:15" ht="51">
      <c r="A23" s="215" t="s">
        <v>863</v>
      </c>
      <c r="B23" s="207" t="s">
        <v>864</v>
      </c>
      <c r="C23" s="240" t="s">
        <v>1604</v>
      </c>
      <c r="D23" s="1">
        <v>672</v>
      </c>
      <c r="E23" s="1">
        <f>70*12+10</f>
        <v>850</v>
      </c>
      <c r="F23" s="1">
        <f t="shared" si="1"/>
        <v>56</v>
      </c>
      <c r="G23" s="1">
        <f t="shared" si="0"/>
        <v>71</v>
      </c>
      <c r="H23" s="76" t="s">
        <v>108</v>
      </c>
      <c r="I23" s="1" t="s">
        <v>40</v>
      </c>
      <c r="J23" s="227">
        <f>VLOOKUP($A23,'INDEXACIÓN PRODUCTOS MES A MES'!$B$5:$W$396,22,0)</f>
        <v>7.1099304633174473E-2</v>
      </c>
      <c r="K23" s="235">
        <f>VLOOKUP($A23,'INDEXACIÓN PRODUCTOS MES A MES'!$B$5:$W$396,20,0)</f>
        <v>13709</v>
      </c>
      <c r="L23" s="235">
        <f t="shared" si="2"/>
        <v>2189</v>
      </c>
      <c r="M23" s="235">
        <f t="shared" si="3"/>
        <v>11520</v>
      </c>
      <c r="N23" s="416">
        <f t="shared" si="4"/>
        <v>767704</v>
      </c>
      <c r="O23" s="416">
        <f t="shared" si="5"/>
        <v>973339</v>
      </c>
    </row>
    <row r="24" spans="1:15" ht="36" customHeight="1">
      <c r="A24" s="215" t="s">
        <v>865</v>
      </c>
      <c r="B24" s="207" t="s">
        <v>866</v>
      </c>
      <c r="C24" s="239" t="s">
        <v>1605</v>
      </c>
      <c r="D24" s="1">
        <f>+D$6+10</f>
        <v>110</v>
      </c>
      <c r="E24" s="1">
        <f>+E$6+10</f>
        <v>140</v>
      </c>
      <c r="F24" s="1">
        <f t="shared" si="1"/>
        <v>10</v>
      </c>
      <c r="G24" s="1">
        <f t="shared" si="0"/>
        <v>12</v>
      </c>
      <c r="H24" s="76" t="s">
        <v>108</v>
      </c>
      <c r="I24" s="76" t="s">
        <v>40</v>
      </c>
      <c r="J24" s="227">
        <f>VLOOKUP($A24,'INDEXACIÓN PRODUCTOS MES A MES'!$B$5:$W$396,22,0)</f>
        <v>7.0887609815207517E-2</v>
      </c>
      <c r="K24" s="235">
        <f>VLOOKUP($A24,'INDEXACIÓN PRODUCTOS MES A MES'!$B$5:$W$396,20,0)</f>
        <v>10605</v>
      </c>
      <c r="L24" s="235">
        <f t="shared" si="2"/>
        <v>1693</v>
      </c>
      <c r="M24" s="235">
        <f t="shared" si="3"/>
        <v>8912</v>
      </c>
      <c r="N24" s="416">
        <f t="shared" si="4"/>
        <v>106050</v>
      </c>
      <c r="O24" s="416">
        <f t="shared" si="5"/>
        <v>127260</v>
      </c>
    </row>
    <row r="25" spans="1:15" ht="38.25">
      <c r="A25" s="241" t="s">
        <v>432</v>
      </c>
      <c r="B25" s="241" t="s">
        <v>1606</v>
      </c>
      <c r="C25" s="239" t="s">
        <v>1591</v>
      </c>
      <c r="D25" s="1">
        <f>+D$6*12+10</f>
        <v>1210</v>
      </c>
      <c r="E25" s="1">
        <f>+E$6*12+10</f>
        <v>1570</v>
      </c>
      <c r="F25" s="1">
        <f t="shared" ref="F25" si="6">ROUNDUP((D25/12),0)</f>
        <v>101</v>
      </c>
      <c r="G25" s="1">
        <f t="shared" ref="G25" si="7">ROUNDUP((E25/12),0)</f>
        <v>131</v>
      </c>
      <c r="H25" s="76" t="s">
        <v>108</v>
      </c>
      <c r="I25" s="76" t="s">
        <v>40</v>
      </c>
      <c r="J25" s="227">
        <f>VLOOKUP($A25,'INDEXACIÓN PRODUCTOS MES A MES'!$B$5:$W$396,22,0)</f>
        <v>8.9316987740805598E-2</v>
      </c>
      <c r="K25" s="235">
        <f>VLOOKUP($A25,'INDEXACIÓN PRODUCTOS MES A MES'!$B$5:$W$396,20,0)</f>
        <v>4354</v>
      </c>
      <c r="L25" s="235">
        <f t="shared" si="2"/>
        <v>695</v>
      </c>
      <c r="M25" s="235">
        <f t="shared" si="3"/>
        <v>3659</v>
      </c>
      <c r="N25" s="416">
        <f t="shared" si="4"/>
        <v>439754</v>
      </c>
      <c r="O25" s="416">
        <f t="shared" si="5"/>
        <v>570374</v>
      </c>
    </row>
    <row r="26" spans="1:15">
      <c r="C26" s="89"/>
      <c r="D26" s="90"/>
      <c r="E26" s="90"/>
      <c r="F26" s="90"/>
      <c r="G26" s="90"/>
    </row>
    <row r="27" spans="1:15">
      <c r="C27" s="89"/>
      <c r="D27" s="90"/>
      <c r="E27" s="90"/>
      <c r="F27" s="90"/>
      <c r="G27" s="90"/>
    </row>
    <row r="28" spans="1:15">
      <c r="C28" s="89"/>
      <c r="D28" s="90"/>
      <c r="E28" s="90"/>
      <c r="F28" s="90"/>
      <c r="G28" s="90"/>
    </row>
    <row r="29" spans="1:15">
      <c r="K29" s="869" t="s">
        <v>1517</v>
      </c>
      <c r="L29" s="869"/>
      <c r="M29" s="869"/>
      <c r="N29" s="417">
        <f>SUM(N7:N25)</f>
        <v>25917392</v>
      </c>
      <c r="O29" s="417">
        <f>SUM(O7:O25)</f>
        <v>33494334</v>
      </c>
    </row>
    <row r="30" spans="1:15">
      <c r="K30" s="869" t="s">
        <v>1581</v>
      </c>
      <c r="L30" s="869"/>
      <c r="M30" s="869"/>
      <c r="N30" s="417">
        <f>ROUND((N29/30),0)</f>
        <v>863913</v>
      </c>
      <c r="O30" s="417">
        <f>ROUND((O29/30),0)</f>
        <v>1116478</v>
      </c>
    </row>
    <row r="31" spans="1:15">
      <c r="K31" s="869" t="s">
        <v>1607</v>
      </c>
      <c r="L31" s="869"/>
      <c r="M31" s="869"/>
      <c r="N31" s="167">
        <f>ROUND((N30/N6),0)</f>
        <v>8639</v>
      </c>
      <c r="O31" s="167">
        <f>ROUND((O30/O6),0)</f>
        <v>8588</v>
      </c>
    </row>
  </sheetData>
  <autoFilter ref="A4:O25" xr:uid="{00000000-0009-0000-0000-000012000000}">
    <filterColumn colId="3" showButton="0"/>
    <filterColumn colId="5" showButton="0"/>
  </autoFilter>
  <mergeCells count="15">
    <mergeCell ref="A2:O2"/>
    <mergeCell ref="K29:M29"/>
    <mergeCell ref="K30:M30"/>
    <mergeCell ref="K31:M31"/>
    <mergeCell ref="A4:A6"/>
    <mergeCell ref="B4:B6"/>
    <mergeCell ref="K4:K6"/>
    <mergeCell ref="L4:L6"/>
    <mergeCell ref="J4:J6"/>
    <mergeCell ref="C4:C6"/>
    <mergeCell ref="H4:H6"/>
    <mergeCell ref="I4:I6"/>
    <mergeCell ref="D4:E4"/>
    <mergeCell ref="F4:G4"/>
    <mergeCell ref="M4:M6"/>
  </mergeCells>
  <pageMargins left="0.7" right="0.7" top="0.75" bottom="0.75" header="0.3" footer="0.3"/>
  <extLst>
    <ext xmlns:mx="http://schemas.microsoft.com/office/mac/excel/2008/main" uri="{64002731-A6B0-56B0-2670-7721B7C09600}">
      <mx:PLV Mode="0"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00B050"/>
  </sheetPr>
  <dimension ref="A1:N22"/>
  <sheetViews>
    <sheetView showGridLines="0" topLeftCell="A4" workbookViewId="0">
      <selection activeCell="K19" sqref="K19"/>
    </sheetView>
  </sheetViews>
  <sheetFormatPr defaultColWidth="9.140625" defaultRowHeight="15"/>
  <cols>
    <col min="1" max="1" width="28.85546875" customWidth="1"/>
    <col min="2" max="2" width="62.28515625" customWidth="1"/>
    <col min="3" max="6" width="8.140625" customWidth="1"/>
    <col min="7" max="7" width="9.140625" customWidth="1"/>
    <col min="8" max="8" width="15.42578125" customWidth="1"/>
    <col min="9" max="14" width="14.42578125" customWidth="1"/>
    <col min="18" max="18" width="51.140625" customWidth="1"/>
  </cols>
  <sheetData>
    <row r="1" spans="1:14">
      <c r="A1" s="363" t="s">
        <v>1608</v>
      </c>
      <c r="B1" s="129"/>
      <c r="C1" s="129"/>
      <c r="D1" s="129"/>
      <c r="E1" s="129"/>
      <c r="F1" s="129"/>
      <c r="G1" s="129"/>
      <c r="H1" s="129"/>
      <c r="I1" s="129"/>
      <c r="J1" s="129"/>
      <c r="K1" s="129"/>
    </row>
    <row r="2" spans="1:14" ht="25.5" customHeight="1">
      <c r="A2" s="740" t="s">
        <v>1609</v>
      </c>
      <c r="B2" s="740"/>
      <c r="C2" s="740"/>
      <c r="D2" s="740"/>
      <c r="E2" s="740"/>
      <c r="F2" s="740"/>
      <c r="G2" s="740"/>
      <c r="H2" s="740"/>
      <c r="I2" s="740"/>
      <c r="J2" s="740"/>
      <c r="K2" s="740"/>
      <c r="L2" s="740"/>
      <c r="M2" s="740"/>
      <c r="N2" s="740"/>
    </row>
    <row r="5" spans="1:14" ht="27.75" customHeight="1">
      <c r="A5" s="880" t="s">
        <v>87</v>
      </c>
      <c r="B5" s="803" t="s">
        <v>1216</v>
      </c>
      <c r="C5" s="873" t="s">
        <v>1172</v>
      </c>
      <c r="D5" s="874"/>
      <c r="E5" s="873" t="s">
        <v>1557</v>
      </c>
      <c r="F5" s="874"/>
      <c r="G5" s="803" t="s">
        <v>89</v>
      </c>
      <c r="H5" s="803" t="s">
        <v>90</v>
      </c>
      <c r="I5" s="846" t="s">
        <v>1549</v>
      </c>
      <c r="J5" s="875" t="s">
        <v>1174</v>
      </c>
      <c r="K5" s="875" t="s">
        <v>1175</v>
      </c>
      <c r="L5" s="875" t="s">
        <v>1176</v>
      </c>
      <c r="M5" s="878" t="s">
        <v>1234</v>
      </c>
      <c r="N5" s="879"/>
    </row>
    <row r="6" spans="1:14">
      <c r="A6" s="881"/>
      <c r="B6" s="822"/>
      <c r="C6" s="873" t="s">
        <v>1180</v>
      </c>
      <c r="D6" s="874"/>
      <c r="E6" s="873" t="s">
        <v>1180</v>
      </c>
      <c r="F6" s="874"/>
      <c r="G6" s="822"/>
      <c r="H6" s="822"/>
      <c r="I6" s="847"/>
      <c r="J6" s="876"/>
      <c r="K6" s="876"/>
      <c r="L6" s="876"/>
      <c r="M6" s="878" t="s">
        <v>1180</v>
      </c>
      <c r="N6" s="879"/>
    </row>
    <row r="7" spans="1:14">
      <c r="A7" s="882"/>
      <c r="B7" s="804"/>
      <c r="C7" s="174">
        <v>100</v>
      </c>
      <c r="D7" s="174">
        <v>130</v>
      </c>
      <c r="E7" s="174">
        <v>100</v>
      </c>
      <c r="F7" s="174">
        <v>130</v>
      </c>
      <c r="G7" s="804"/>
      <c r="H7" s="804"/>
      <c r="I7" s="848"/>
      <c r="J7" s="877"/>
      <c r="K7" s="877"/>
      <c r="L7" s="877"/>
      <c r="M7" s="419">
        <v>100</v>
      </c>
      <c r="N7" s="419">
        <v>130</v>
      </c>
    </row>
    <row r="8" spans="1:14">
      <c r="A8" s="173" t="s">
        <v>790</v>
      </c>
      <c r="B8" s="173" t="s">
        <v>791</v>
      </c>
      <c r="C8" s="242">
        <v>1</v>
      </c>
      <c r="D8" s="242">
        <v>1</v>
      </c>
      <c r="E8" s="242">
        <v>1</v>
      </c>
      <c r="F8" s="242">
        <v>1</v>
      </c>
      <c r="G8" s="173" t="s">
        <v>792</v>
      </c>
      <c r="H8" s="76" t="s">
        <v>46</v>
      </c>
      <c r="I8" s="210">
        <f>VLOOKUP($A8,'INDEXACIÓN PRODUCTOS MES A MES'!$B$5:$W$396,22,0)</f>
        <v>0</v>
      </c>
      <c r="J8" s="217">
        <f>VLOOKUP($A8,'INDEXACIÓN PRODUCTOS MES A MES'!$B$5:$W$396,20,0)</f>
        <v>151170</v>
      </c>
      <c r="K8" s="217">
        <f>J8-L8</f>
        <v>24136</v>
      </c>
      <c r="L8" s="217">
        <f>ROUND((J8/1.19),0)</f>
        <v>127034</v>
      </c>
      <c r="M8" s="243">
        <f>ROUND($J8*E8,0)</f>
        <v>151170</v>
      </c>
      <c r="N8" s="243">
        <f>ROUND($J8*F8,0)</f>
        <v>151170</v>
      </c>
    </row>
    <row r="9" spans="1:14" ht="76.5">
      <c r="A9" s="173" t="s">
        <v>794</v>
      </c>
      <c r="B9" s="173" t="s">
        <v>795</v>
      </c>
      <c r="C9" s="242">
        <v>36</v>
      </c>
      <c r="D9" s="242">
        <f>ROUND((C9*1.3),0)</f>
        <v>47</v>
      </c>
      <c r="E9" s="242">
        <v>4</v>
      </c>
      <c r="F9" s="242">
        <f>ROUND((D9/12),0)</f>
        <v>4</v>
      </c>
      <c r="G9" s="173" t="s">
        <v>108</v>
      </c>
      <c r="H9" s="76" t="s">
        <v>1610</v>
      </c>
      <c r="I9" s="210">
        <f>VLOOKUP($A9,'INDEXACIÓN PRODUCTOS MES A MES'!$B$5:$W$396,22,0)</f>
        <v>0</v>
      </c>
      <c r="J9" s="217">
        <f>VLOOKUP($A9,'INDEXACIÓN PRODUCTOS MES A MES'!$B$5:$W$396,20,0)</f>
        <v>6153</v>
      </c>
      <c r="K9" s="217">
        <f t="shared" ref="K9:K19" si="0">J9-L9</f>
        <v>982</v>
      </c>
      <c r="L9" s="217">
        <f t="shared" ref="L9:L19" si="1">ROUND((J9/1.19),0)</f>
        <v>5171</v>
      </c>
      <c r="M9" s="243">
        <f t="shared" ref="M9:M19" si="2">ROUND($J9*E9,0)</f>
        <v>24612</v>
      </c>
      <c r="N9" s="243">
        <f t="shared" ref="N9:N19" si="3">ROUND($J9*F9,0)</f>
        <v>24612</v>
      </c>
    </row>
    <row r="10" spans="1:14" ht="25.5">
      <c r="A10" s="173" t="s">
        <v>797</v>
      </c>
      <c r="B10" s="173" t="s">
        <v>798</v>
      </c>
      <c r="C10" s="242">
        <f>25*12</f>
        <v>300</v>
      </c>
      <c r="D10" s="242">
        <f t="shared" ref="D10:D19" si="4">ROUND((C10*1.3),0)</f>
        <v>390</v>
      </c>
      <c r="E10" s="242">
        <v>25</v>
      </c>
      <c r="F10" s="242">
        <f t="shared" ref="F10:F16" si="5">ROUND((D10/12),0)</f>
        <v>33</v>
      </c>
      <c r="G10" s="173" t="s">
        <v>108</v>
      </c>
      <c r="H10" s="76" t="s">
        <v>36</v>
      </c>
      <c r="I10" s="210">
        <f>VLOOKUP($A10,'INDEXACIÓN PRODUCTOS MES A MES'!$B$5:$W$396,22,0)</f>
        <v>0</v>
      </c>
      <c r="J10" s="217">
        <f>VLOOKUP($A10,'INDEXACIÓN PRODUCTOS MES A MES'!$B$5:$W$396,20,0)</f>
        <v>7007</v>
      </c>
      <c r="K10" s="217">
        <f t="shared" si="0"/>
        <v>1119</v>
      </c>
      <c r="L10" s="217">
        <f t="shared" si="1"/>
        <v>5888</v>
      </c>
      <c r="M10" s="243">
        <f t="shared" si="2"/>
        <v>175175</v>
      </c>
      <c r="N10" s="243">
        <f t="shared" si="3"/>
        <v>231231</v>
      </c>
    </row>
    <row r="11" spans="1:14">
      <c r="A11" s="173" t="s">
        <v>800</v>
      </c>
      <c r="B11" s="173" t="s">
        <v>801</v>
      </c>
      <c r="C11" s="242">
        <v>24</v>
      </c>
      <c r="D11" s="242">
        <f t="shared" si="4"/>
        <v>31</v>
      </c>
      <c r="E11" s="242">
        <v>2</v>
      </c>
      <c r="F11" s="242">
        <f t="shared" si="5"/>
        <v>3</v>
      </c>
      <c r="G11" s="173" t="s">
        <v>802</v>
      </c>
      <c r="H11" s="76" t="s">
        <v>64</v>
      </c>
      <c r="I11" s="210">
        <f>VLOOKUP($A11,'INDEXACIÓN PRODUCTOS MES A MES'!$B$5:$W$396,22,0)</f>
        <v>0</v>
      </c>
      <c r="J11" s="217">
        <f>VLOOKUP($A11,'INDEXACIÓN PRODUCTOS MES A MES'!$B$5:$W$396,20,0)</f>
        <v>5285</v>
      </c>
      <c r="K11" s="217">
        <f t="shared" si="0"/>
        <v>844</v>
      </c>
      <c r="L11" s="217">
        <f t="shared" si="1"/>
        <v>4441</v>
      </c>
      <c r="M11" s="243">
        <f t="shared" si="2"/>
        <v>10570</v>
      </c>
      <c r="N11" s="243">
        <f t="shared" si="3"/>
        <v>15855</v>
      </c>
    </row>
    <row r="12" spans="1:14" ht="38.25">
      <c r="A12" s="173" t="s">
        <v>803</v>
      </c>
      <c r="B12" s="173" t="s">
        <v>804</v>
      </c>
      <c r="C12" s="242">
        <v>12</v>
      </c>
      <c r="D12" s="242">
        <f t="shared" si="4"/>
        <v>16</v>
      </c>
      <c r="E12" s="242">
        <v>1</v>
      </c>
      <c r="F12" s="242">
        <f t="shared" si="5"/>
        <v>1</v>
      </c>
      <c r="G12" s="173" t="s">
        <v>805</v>
      </c>
      <c r="H12" s="76" t="s">
        <v>42</v>
      </c>
      <c r="I12" s="210">
        <f>VLOOKUP($A12,'INDEXACIÓN PRODUCTOS MES A MES'!$B$5:$W$396,22,0)</f>
        <v>6.6617525108264991E-2</v>
      </c>
      <c r="J12" s="217">
        <f>VLOOKUP($A12,'INDEXACIÓN PRODUCTOS MES A MES'!$B$5:$W$396,20,0)</f>
        <v>11576</v>
      </c>
      <c r="K12" s="217">
        <f t="shared" si="0"/>
        <v>1848</v>
      </c>
      <c r="L12" s="217">
        <f t="shared" si="1"/>
        <v>9728</v>
      </c>
      <c r="M12" s="243">
        <f t="shared" si="2"/>
        <v>11576</v>
      </c>
      <c r="N12" s="243">
        <f t="shared" si="3"/>
        <v>11576</v>
      </c>
    </row>
    <row r="13" spans="1:14" ht="38.25">
      <c r="A13" s="173" t="s">
        <v>806</v>
      </c>
      <c r="B13" s="173" t="s">
        <v>807</v>
      </c>
      <c r="C13" s="242">
        <v>6</v>
      </c>
      <c r="D13" s="242">
        <f t="shared" si="4"/>
        <v>8</v>
      </c>
      <c r="E13" s="242">
        <v>1</v>
      </c>
      <c r="F13" s="242">
        <f t="shared" si="5"/>
        <v>1</v>
      </c>
      <c r="G13" s="173" t="s">
        <v>808</v>
      </c>
      <c r="H13" s="76" t="s">
        <v>42</v>
      </c>
      <c r="I13" s="210">
        <f>VLOOKUP($A13,'INDEXACIÓN PRODUCTOS MES A MES'!$B$5:$W$396,22,0)</f>
        <v>6.6619302656027987E-2</v>
      </c>
      <c r="J13" s="217">
        <f>VLOOKUP($A13,'INDEXACIÓN PRODUCTOS MES A MES'!$B$5:$W$396,20,0)</f>
        <v>19517</v>
      </c>
      <c r="K13" s="217">
        <f t="shared" si="0"/>
        <v>3116</v>
      </c>
      <c r="L13" s="217">
        <f t="shared" si="1"/>
        <v>16401</v>
      </c>
      <c r="M13" s="243">
        <f t="shared" si="2"/>
        <v>19517</v>
      </c>
      <c r="N13" s="243">
        <f t="shared" si="3"/>
        <v>19517</v>
      </c>
    </row>
    <row r="14" spans="1:14" ht="25.5">
      <c r="A14" s="173" t="s">
        <v>809</v>
      </c>
      <c r="B14" s="173" t="s">
        <v>810</v>
      </c>
      <c r="C14" s="242">
        <v>60</v>
      </c>
      <c r="D14" s="242">
        <f t="shared" si="4"/>
        <v>78</v>
      </c>
      <c r="E14" s="242">
        <v>5</v>
      </c>
      <c r="F14" s="242">
        <f t="shared" si="5"/>
        <v>7</v>
      </c>
      <c r="G14" s="173" t="s">
        <v>108</v>
      </c>
      <c r="H14" s="76" t="s">
        <v>42</v>
      </c>
      <c r="I14" s="210">
        <f>VLOOKUP($A14,'INDEXACIÓN PRODUCTOS MES A MES'!$B$5:$W$396,22,0)</f>
        <v>0</v>
      </c>
      <c r="J14" s="217">
        <f>VLOOKUP($A14,'INDEXACIÓN PRODUCTOS MES A MES'!$B$5:$W$396,20,0)</f>
        <v>17229</v>
      </c>
      <c r="K14" s="217">
        <f t="shared" si="0"/>
        <v>2751</v>
      </c>
      <c r="L14" s="217">
        <f t="shared" si="1"/>
        <v>14478</v>
      </c>
      <c r="M14" s="243">
        <f t="shared" si="2"/>
        <v>86145</v>
      </c>
      <c r="N14" s="243">
        <f t="shared" si="3"/>
        <v>120603</v>
      </c>
    </row>
    <row r="15" spans="1:14" ht="25.5">
      <c r="A15" s="173" t="s">
        <v>811</v>
      </c>
      <c r="B15" s="173" t="s">
        <v>812</v>
      </c>
      <c r="C15" s="242">
        <v>120</v>
      </c>
      <c r="D15" s="242">
        <f t="shared" si="4"/>
        <v>156</v>
      </c>
      <c r="E15" s="242">
        <v>10</v>
      </c>
      <c r="F15" s="242">
        <f t="shared" si="5"/>
        <v>13</v>
      </c>
      <c r="G15" s="173" t="s">
        <v>108</v>
      </c>
      <c r="H15" s="76" t="s">
        <v>42</v>
      </c>
      <c r="I15" s="210">
        <f>VLOOKUP($A15,'INDEXACIÓN PRODUCTOS MES A MES'!$B$5:$W$396,22,0)</f>
        <v>0</v>
      </c>
      <c r="J15" s="217">
        <f>VLOOKUP($A15,'INDEXACIÓN PRODUCTOS MES A MES'!$B$5:$W$396,20,0)</f>
        <v>21705</v>
      </c>
      <c r="K15" s="217">
        <f t="shared" si="0"/>
        <v>3466</v>
      </c>
      <c r="L15" s="217">
        <f t="shared" si="1"/>
        <v>18239</v>
      </c>
      <c r="M15" s="243">
        <f t="shared" si="2"/>
        <v>217050</v>
      </c>
      <c r="N15" s="243">
        <f t="shared" si="3"/>
        <v>282165</v>
      </c>
    </row>
    <row r="16" spans="1:14" ht="25.5">
      <c r="A16" s="173" t="s">
        <v>813</v>
      </c>
      <c r="B16" s="173" t="s">
        <v>814</v>
      </c>
      <c r="C16" s="242">
        <v>24</v>
      </c>
      <c r="D16" s="242">
        <f t="shared" si="4"/>
        <v>31</v>
      </c>
      <c r="E16" s="242">
        <v>2</v>
      </c>
      <c r="F16" s="242">
        <f t="shared" si="5"/>
        <v>3</v>
      </c>
      <c r="G16" s="173" t="s">
        <v>815</v>
      </c>
      <c r="H16" s="76" t="s">
        <v>36</v>
      </c>
      <c r="I16" s="210">
        <f>VLOOKUP($A16,'INDEXACIÓN PRODUCTOS MES A MES'!$B$5:$W$396,22,0)</f>
        <v>9.102197938656402E-2</v>
      </c>
      <c r="J16" s="217">
        <f>VLOOKUP($A16,'INDEXACIÓN PRODUCTOS MES A MES'!$B$5:$W$396,20,0)</f>
        <v>17572</v>
      </c>
      <c r="K16" s="217">
        <f t="shared" si="0"/>
        <v>2806</v>
      </c>
      <c r="L16" s="217">
        <f t="shared" si="1"/>
        <v>14766</v>
      </c>
      <c r="M16" s="243">
        <f t="shared" si="2"/>
        <v>35144</v>
      </c>
      <c r="N16" s="243">
        <f t="shared" si="3"/>
        <v>52716</v>
      </c>
    </row>
    <row r="17" spans="1:14" ht="63.75">
      <c r="A17" s="244" t="s">
        <v>333</v>
      </c>
      <c r="B17" s="173" t="s">
        <v>334</v>
      </c>
      <c r="C17" s="242">
        <v>1</v>
      </c>
      <c r="D17" s="242">
        <f t="shared" si="4"/>
        <v>1</v>
      </c>
      <c r="E17" s="242">
        <v>1</v>
      </c>
      <c r="F17" s="242">
        <v>1</v>
      </c>
      <c r="G17" s="76" t="s">
        <v>137</v>
      </c>
      <c r="H17" s="83" t="s">
        <v>335</v>
      </c>
      <c r="I17" s="210">
        <f>VLOOKUP($A17,'INDEXACIÓN PRODUCTOS MES A MES'!$B$5:$W$396,22,0)</f>
        <v>0</v>
      </c>
      <c r="J17" s="217">
        <f>VLOOKUP($A17,'INDEXACIÓN PRODUCTOS MES A MES'!$B$5:$W$396,20,0)</f>
        <v>161650</v>
      </c>
      <c r="K17" s="217">
        <f t="shared" si="0"/>
        <v>25810</v>
      </c>
      <c r="L17" s="217">
        <f t="shared" si="1"/>
        <v>135840</v>
      </c>
      <c r="M17" s="243">
        <f t="shared" si="2"/>
        <v>161650</v>
      </c>
      <c r="N17" s="243">
        <f t="shared" si="3"/>
        <v>161650</v>
      </c>
    </row>
    <row r="18" spans="1:14">
      <c r="A18" s="244" t="s">
        <v>816</v>
      </c>
      <c r="B18" s="173" t="s">
        <v>817</v>
      </c>
      <c r="C18" s="242">
        <v>2</v>
      </c>
      <c r="D18" s="242">
        <f t="shared" si="4"/>
        <v>3</v>
      </c>
      <c r="E18" s="242">
        <v>2</v>
      </c>
      <c r="F18" s="242">
        <v>2</v>
      </c>
      <c r="G18" s="76" t="s">
        <v>108</v>
      </c>
      <c r="H18" s="77" t="s">
        <v>42</v>
      </c>
      <c r="I18" s="210">
        <f>VLOOKUP($A18,'INDEXACIÓN PRODUCTOS MES A MES'!$B$5:$W$396,22,0)</f>
        <v>6.6799558910849099E-2</v>
      </c>
      <c r="J18" s="217">
        <f>VLOOKUP($A18,'INDEXACIÓN PRODUCTOS MES A MES'!$B$5:$W$396,20,0)</f>
        <v>25153</v>
      </c>
      <c r="K18" s="217">
        <f t="shared" si="0"/>
        <v>4016</v>
      </c>
      <c r="L18" s="217">
        <f t="shared" si="1"/>
        <v>21137</v>
      </c>
      <c r="M18" s="243">
        <f t="shared" si="2"/>
        <v>50306</v>
      </c>
      <c r="N18" s="243">
        <f t="shared" si="3"/>
        <v>50306</v>
      </c>
    </row>
    <row r="19" spans="1:14" ht="63.75">
      <c r="A19" s="244" t="s">
        <v>366</v>
      </c>
      <c r="B19" s="173" t="s">
        <v>367</v>
      </c>
      <c r="C19" s="242">
        <v>2</v>
      </c>
      <c r="D19" s="242">
        <f t="shared" si="4"/>
        <v>3</v>
      </c>
      <c r="E19" s="242">
        <v>2</v>
      </c>
      <c r="F19" s="242">
        <v>2</v>
      </c>
      <c r="G19" s="76" t="s">
        <v>137</v>
      </c>
      <c r="H19" s="77" t="s">
        <v>36</v>
      </c>
      <c r="I19" s="420">
        <f>VLOOKUP($A19,'INDEXACIÓN PRODUCTOS MES A MES'!$B$5:$W$396,22,0)</f>
        <v>8.9653831194087902E-2</v>
      </c>
      <c r="J19" s="217">
        <f>VLOOKUP($A19,'INDEXACIÓN PRODUCTOS MES A MES'!$B$5:$W$396,20,0)</f>
        <v>5603</v>
      </c>
      <c r="K19" s="217">
        <f t="shared" si="0"/>
        <v>895</v>
      </c>
      <c r="L19" s="217">
        <f t="shared" si="1"/>
        <v>4708</v>
      </c>
      <c r="M19" s="243">
        <f t="shared" si="2"/>
        <v>11206</v>
      </c>
      <c r="N19" s="243">
        <f t="shared" si="3"/>
        <v>11206</v>
      </c>
    </row>
    <row r="20" spans="1:14">
      <c r="J20" s="872" t="s">
        <v>1611</v>
      </c>
      <c r="K20" s="872"/>
      <c r="L20" s="872"/>
      <c r="M20" s="421">
        <f>SUM(M8:M19)</f>
        <v>954121</v>
      </c>
      <c r="N20" s="421">
        <f>SUM(N8:N19)</f>
        <v>1132607</v>
      </c>
    </row>
    <row r="21" spans="1:14">
      <c r="J21" s="872" t="s">
        <v>1552</v>
      </c>
      <c r="K21" s="872"/>
      <c r="L21" s="872"/>
      <c r="M21" s="421">
        <f>ROUND(M20/30,0)</f>
        <v>31804</v>
      </c>
      <c r="N21" s="421">
        <f>ROUND(N20/30,0)</f>
        <v>37754</v>
      </c>
    </row>
    <row r="22" spans="1:14">
      <c r="J22" s="872" t="s">
        <v>1520</v>
      </c>
      <c r="K22" s="872"/>
      <c r="L22" s="872"/>
      <c r="M22" s="421">
        <f>ROUND(M21/100,0)</f>
        <v>318</v>
      </c>
      <c r="N22" s="421">
        <f>ROUND(N21/130,0)</f>
        <v>290</v>
      </c>
    </row>
  </sheetData>
  <autoFilter ref="A5:N22" xr:uid="{00000000-0009-0000-0000-000013000000}">
    <filterColumn colId="2" showButton="0"/>
    <filterColumn colId="4" showButton="0"/>
    <filterColumn colId="12" showButton="0"/>
  </autoFilter>
  <mergeCells count="18">
    <mergeCell ref="A2:N2"/>
    <mergeCell ref="J20:L20"/>
    <mergeCell ref="J21:L21"/>
    <mergeCell ref="M5:N5"/>
    <mergeCell ref="M6:N6"/>
    <mergeCell ref="A5:A7"/>
    <mergeCell ref="B5:B7"/>
    <mergeCell ref="J22:L22"/>
    <mergeCell ref="C5:D5"/>
    <mergeCell ref="C6:D6"/>
    <mergeCell ref="I5:I7"/>
    <mergeCell ref="J5:J7"/>
    <mergeCell ref="K5:K7"/>
    <mergeCell ref="L5:L7"/>
    <mergeCell ref="E5:F5"/>
    <mergeCell ref="G5:G7"/>
    <mergeCell ref="H5:H7"/>
    <mergeCell ref="E6:F6"/>
  </mergeCells>
  <conditionalFormatting sqref="A17:A18">
    <cfRule type="duplicateValues" dxfId="3" priority="4"/>
  </conditionalFormatting>
  <conditionalFormatting sqref="A19">
    <cfRule type="duplicateValues" dxfId="2" priority="2"/>
  </conditionalFormatting>
  <pageMargins left="0.7" right="0.7" top="0.75" bottom="0.75" header="0.3" footer="0.3"/>
  <extLst>
    <ext xmlns:mx="http://schemas.microsoft.com/office/mac/excel/2008/main" uri="{64002731-A6B0-56B0-2670-7721B7C09600}">
      <mx:PLV Mode="0" OnePage="0" WScale="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00B050"/>
  </sheetPr>
  <dimension ref="A1:P88"/>
  <sheetViews>
    <sheetView showGridLines="0" topLeftCell="C19" workbookViewId="0">
      <selection activeCell="N37" sqref="N37"/>
    </sheetView>
  </sheetViews>
  <sheetFormatPr defaultColWidth="9.140625" defaultRowHeight="15"/>
  <cols>
    <col min="1" max="1" width="43.7109375" customWidth="1"/>
    <col min="2" max="2" width="63.42578125" customWidth="1"/>
    <col min="3" max="6" width="14.28515625" customWidth="1"/>
    <col min="7" max="8" width="14" customWidth="1"/>
    <col min="9" max="9" width="14.85546875" customWidth="1"/>
    <col min="10" max="14" width="14" customWidth="1"/>
    <col min="16" max="16" width="10.42578125" bestFit="1" customWidth="1"/>
  </cols>
  <sheetData>
    <row r="1" spans="1:14">
      <c r="B1" s="104" t="s">
        <v>1612</v>
      </c>
      <c r="C1" s="103"/>
      <c r="D1" s="103"/>
      <c r="E1" s="103"/>
      <c r="F1" s="103"/>
      <c r="G1" s="103"/>
      <c r="H1" s="103"/>
      <c r="I1" s="103"/>
      <c r="J1" s="103"/>
      <c r="K1" s="103"/>
      <c r="L1" s="103"/>
    </row>
    <row r="2" spans="1:14" ht="29.25" customHeight="1">
      <c r="B2" s="883" t="s">
        <v>1613</v>
      </c>
      <c r="C2" s="883"/>
      <c r="D2" s="883"/>
      <c r="E2" s="883"/>
      <c r="F2" s="883"/>
      <c r="G2" s="883"/>
      <c r="H2" s="883"/>
      <c r="I2" s="883"/>
      <c r="J2" s="883"/>
      <c r="K2" s="883"/>
      <c r="L2" s="883"/>
      <c r="M2" s="883"/>
      <c r="N2" s="883"/>
    </row>
    <row r="4" spans="1:14" ht="15" customHeight="1">
      <c r="A4" s="880" t="s">
        <v>87</v>
      </c>
      <c r="B4" s="880" t="s">
        <v>1614</v>
      </c>
      <c r="C4" s="880" t="s">
        <v>1615</v>
      </c>
      <c r="D4" s="880" t="s">
        <v>1616</v>
      </c>
      <c r="E4" s="880" t="s">
        <v>1617</v>
      </c>
      <c r="F4" s="880" t="s">
        <v>1618</v>
      </c>
      <c r="G4" s="880" t="s">
        <v>89</v>
      </c>
      <c r="H4" s="880" t="s">
        <v>90</v>
      </c>
      <c r="I4" s="880" t="s">
        <v>1619</v>
      </c>
      <c r="J4" s="880" t="s">
        <v>1174</v>
      </c>
      <c r="K4" s="880" t="s">
        <v>1465</v>
      </c>
      <c r="L4" s="880" t="s">
        <v>1176</v>
      </c>
      <c r="M4" s="884" t="s">
        <v>1620</v>
      </c>
      <c r="N4" s="884" t="s">
        <v>1621</v>
      </c>
    </row>
    <row r="5" spans="1:14">
      <c r="A5" s="881"/>
      <c r="B5" s="881"/>
      <c r="C5" s="881"/>
      <c r="D5" s="881"/>
      <c r="E5" s="881"/>
      <c r="F5" s="881"/>
      <c r="G5" s="881"/>
      <c r="H5" s="881"/>
      <c r="I5" s="881"/>
      <c r="J5" s="881"/>
      <c r="K5" s="881"/>
      <c r="L5" s="881"/>
      <c r="M5" s="885"/>
      <c r="N5" s="885"/>
    </row>
    <row r="6" spans="1:14">
      <c r="A6" s="882"/>
      <c r="B6" s="882"/>
      <c r="C6" s="882"/>
      <c r="D6" s="882"/>
      <c r="E6" s="882"/>
      <c r="F6" s="882"/>
      <c r="G6" s="882"/>
      <c r="H6" s="882"/>
      <c r="I6" s="882"/>
      <c r="J6" s="882"/>
      <c r="K6" s="882"/>
      <c r="L6" s="882"/>
      <c r="M6" s="886"/>
      <c r="N6" s="886"/>
    </row>
    <row r="7" spans="1:14">
      <c r="A7" s="246" t="s">
        <v>491</v>
      </c>
      <c r="B7" s="246" t="s">
        <v>492</v>
      </c>
      <c r="C7" s="247">
        <v>60</v>
      </c>
      <c r="D7" s="247">
        <f>ROUND((C7/12),0)</f>
        <v>5</v>
      </c>
      <c r="E7" s="247">
        <v>78</v>
      </c>
      <c r="F7" s="247">
        <f>ROUND((E7/12),0)</f>
        <v>7</v>
      </c>
      <c r="G7" s="76" t="s">
        <v>108</v>
      </c>
      <c r="H7" s="83" t="s">
        <v>36</v>
      </c>
      <c r="I7" s="245">
        <f>VLOOKUP($A7,'INDEXACIÓN PRODUCTOS MES A MES'!$B$2:$W$396,22,0)</f>
        <v>9.0774338906676147E-2</v>
      </c>
      <c r="J7" s="209">
        <f>VLOOKUP($A7,'INDEXACIÓN PRODUCTOS MES A MES'!$B$2:$W$396,20,0)</f>
        <v>18397</v>
      </c>
      <c r="K7" s="209">
        <f>J7-L7</f>
        <v>2937</v>
      </c>
      <c r="L7" s="209">
        <f>ROUND((J7/1.19),0)</f>
        <v>15460</v>
      </c>
      <c r="M7" s="248">
        <f>ROUND($J7*D7,0)</f>
        <v>91985</v>
      </c>
      <c r="N7" s="248">
        <f>ROUND($J7*F7,0)</f>
        <v>128779</v>
      </c>
    </row>
    <row r="8" spans="1:14">
      <c r="A8" s="246" t="s">
        <v>466</v>
      </c>
      <c r="B8" s="246" t="s">
        <v>467</v>
      </c>
      <c r="C8" s="247">
        <v>60</v>
      </c>
      <c r="D8" s="247">
        <f t="shared" ref="D8:F33" si="0">ROUND((C8/12),0)</f>
        <v>5</v>
      </c>
      <c r="E8" s="247">
        <v>78</v>
      </c>
      <c r="F8" s="247">
        <f t="shared" si="0"/>
        <v>7</v>
      </c>
      <c r="G8" s="76" t="s">
        <v>108</v>
      </c>
      <c r="H8" s="83" t="s">
        <v>36</v>
      </c>
      <c r="I8" s="245">
        <f>VLOOKUP($A8,'INDEXACIÓN PRODUCTOS MES A MES'!$B$2:$W$396,22,0)</f>
        <v>9.0909090909090912E-2</v>
      </c>
      <c r="J8" s="209">
        <f>VLOOKUP($A8,'INDEXACIÓN PRODUCTOS MES A MES'!$B$2:$W$396,20,0)</f>
        <v>15780</v>
      </c>
      <c r="K8" s="209">
        <f t="shared" ref="K8:K33" si="1">J8-L8</f>
        <v>2519</v>
      </c>
      <c r="L8" s="209">
        <f t="shared" ref="L8:L33" si="2">ROUND((J8/1.19),0)</f>
        <v>13261</v>
      </c>
      <c r="M8" s="248">
        <f t="shared" ref="M8:M33" si="3">ROUND($J8*D8,0)</f>
        <v>78900</v>
      </c>
      <c r="N8" s="248">
        <f t="shared" ref="N8:N33" si="4">ROUND($J8*F8,0)</f>
        <v>110460</v>
      </c>
    </row>
    <row r="9" spans="1:14">
      <c r="A9" s="246" t="s">
        <v>484</v>
      </c>
      <c r="B9" s="246" t="s">
        <v>485</v>
      </c>
      <c r="C9" s="247">
        <v>40</v>
      </c>
      <c r="D9" s="247">
        <f t="shared" si="0"/>
        <v>3</v>
      </c>
      <c r="E9" s="247">
        <v>52</v>
      </c>
      <c r="F9" s="247">
        <f t="shared" si="0"/>
        <v>4</v>
      </c>
      <c r="G9" s="76" t="s">
        <v>108</v>
      </c>
      <c r="H9" s="77" t="s">
        <v>36</v>
      </c>
      <c r="I9" s="245">
        <f>VLOOKUP($A9,'INDEXACIÓN PRODUCTOS MES A MES'!$B$2:$W$396,22,0)</f>
        <v>9.0548515043049241E-2</v>
      </c>
      <c r="J9" s="209">
        <f>VLOOKUP($A9,'INDEXACIÓN PRODUCTOS MES A MES'!$B$2:$W$396,20,0)</f>
        <v>11273</v>
      </c>
      <c r="K9" s="209">
        <f t="shared" si="1"/>
        <v>1800</v>
      </c>
      <c r="L9" s="209">
        <f t="shared" si="2"/>
        <v>9473</v>
      </c>
      <c r="M9" s="248">
        <f t="shared" si="3"/>
        <v>33819</v>
      </c>
      <c r="N9" s="248">
        <f t="shared" si="4"/>
        <v>45092</v>
      </c>
    </row>
    <row r="10" spans="1:14">
      <c r="A10" s="246" t="s">
        <v>478</v>
      </c>
      <c r="B10" s="246" t="s">
        <v>479</v>
      </c>
      <c r="C10" s="247">
        <v>120</v>
      </c>
      <c r="D10" s="247">
        <f t="shared" si="0"/>
        <v>10</v>
      </c>
      <c r="E10" s="247">
        <v>156</v>
      </c>
      <c r="F10" s="247">
        <f t="shared" si="0"/>
        <v>13</v>
      </c>
      <c r="G10" s="76" t="s">
        <v>480</v>
      </c>
      <c r="H10" s="77" t="s">
        <v>64</v>
      </c>
      <c r="I10" s="245">
        <f>VLOOKUP($A10,'INDEXACIÓN PRODUCTOS MES A MES'!$B$2:$W$396,22,0)</f>
        <v>0</v>
      </c>
      <c r="J10" s="209">
        <f>VLOOKUP($A10,'INDEXACIÓN PRODUCTOS MES A MES'!$B$2:$W$396,20,0)</f>
        <v>15791</v>
      </c>
      <c r="K10" s="209">
        <f t="shared" si="1"/>
        <v>2521</v>
      </c>
      <c r="L10" s="209">
        <f t="shared" si="2"/>
        <v>13270</v>
      </c>
      <c r="M10" s="248">
        <f t="shared" si="3"/>
        <v>157910</v>
      </c>
      <c r="N10" s="248">
        <f t="shared" si="4"/>
        <v>205283</v>
      </c>
    </row>
    <row r="11" spans="1:14">
      <c r="A11" s="246" t="s">
        <v>463</v>
      </c>
      <c r="B11" s="249" t="s">
        <v>464</v>
      </c>
      <c r="C11" s="247">
        <v>24</v>
      </c>
      <c r="D11" s="247">
        <f t="shared" si="0"/>
        <v>2</v>
      </c>
      <c r="E11" s="247">
        <v>31</v>
      </c>
      <c r="F11" s="247">
        <f t="shared" si="0"/>
        <v>3</v>
      </c>
      <c r="G11" s="82" t="s">
        <v>465</v>
      </c>
      <c r="H11" s="153" t="s">
        <v>64</v>
      </c>
      <c r="I11" s="245">
        <f>VLOOKUP($A11,'INDEXACIÓN PRODUCTOS MES A MES'!$B$2:$W$396,22,0)</f>
        <v>0</v>
      </c>
      <c r="J11" s="209">
        <f>VLOOKUP($A11,'INDEXACIÓN PRODUCTOS MES A MES'!$B$2:$W$396,20,0)</f>
        <v>15791</v>
      </c>
      <c r="K11" s="209">
        <f t="shared" si="1"/>
        <v>2521</v>
      </c>
      <c r="L11" s="209">
        <f t="shared" si="2"/>
        <v>13270</v>
      </c>
      <c r="M11" s="248">
        <f t="shared" si="3"/>
        <v>31582</v>
      </c>
      <c r="N11" s="248">
        <f t="shared" si="4"/>
        <v>47373</v>
      </c>
    </row>
    <row r="12" spans="1:14">
      <c r="A12" s="250" t="s">
        <v>489</v>
      </c>
      <c r="B12" s="250" t="s">
        <v>1622</v>
      </c>
      <c r="C12" s="247">
        <v>120</v>
      </c>
      <c r="D12" s="247">
        <f t="shared" si="0"/>
        <v>10</v>
      </c>
      <c r="E12" s="247">
        <v>156</v>
      </c>
      <c r="F12" s="247">
        <f t="shared" si="0"/>
        <v>13</v>
      </c>
      <c r="G12" s="76" t="s">
        <v>108</v>
      </c>
      <c r="H12" s="251" t="s">
        <v>38</v>
      </c>
      <c r="I12" s="245">
        <f>VLOOKUP($A12,'INDEXACIÓN PRODUCTOS MES A MES'!$B$2:$W$396,22,0)</f>
        <v>0</v>
      </c>
      <c r="J12" s="209">
        <f>VLOOKUP($A12,'INDEXACIÓN PRODUCTOS MES A MES'!$B$2:$W$396,20,0)</f>
        <v>10731</v>
      </c>
      <c r="K12" s="209">
        <f t="shared" si="1"/>
        <v>1713</v>
      </c>
      <c r="L12" s="209">
        <f t="shared" si="2"/>
        <v>9018</v>
      </c>
      <c r="M12" s="248">
        <f t="shared" si="3"/>
        <v>107310</v>
      </c>
      <c r="N12" s="248">
        <f t="shared" si="4"/>
        <v>139503</v>
      </c>
    </row>
    <row r="13" spans="1:14" ht="25.5">
      <c r="A13" s="250" t="s">
        <v>430</v>
      </c>
      <c r="B13" s="250" t="s">
        <v>462</v>
      </c>
      <c r="C13" s="247">
        <f>ROUNDUP((20000/700),0)</f>
        <v>29</v>
      </c>
      <c r="D13" s="247">
        <f t="shared" si="0"/>
        <v>2</v>
      </c>
      <c r="E13" s="247">
        <v>37</v>
      </c>
      <c r="F13" s="247">
        <f t="shared" si="0"/>
        <v>3</v>
      </c>
      <c r="G13" s="76" t="s">
        <v>444</v>
      </c>
      <c r="H13" s="77" t="s">
        <v>36</v>
      </c>
      <c r="I13" s="245">
        <f>VLOOKUP($A13,'INDEXACIÓN PRODUCTOS MES A MES'!$B$2:$W$396,22,0)</f>
        <v>9.1205597275010847E-2</v>
      </c>
      <c r="J13" s="209">
        <f>VLOOKUP($A13,'INDEXACIÓN PRODUCTOS MES A MES'!$B$2:$W$396,20,0)</f>
        <v>82972</v>
      </c>
      <c r="K13" s="209">
        <f t="shared" si="1"/>
        <v>13248</v>
      </c>
      <c r="L13" s="209">
        <f t="shared" si="2"/>
        <v>69724</v>
      </c>
      <c r="M13" s="248">
        <f t="shared" si="3"/>
        <v>165944</v>
      </c>
      <c r="N13" s="248">
        <f t="shared" si="4"/>
        <v>248916</v>
      </c>
    </row>
    <row r="14" spans="1:14">
      <c r="A14" s="250" t="s">
        <v>432</v>
      </c>
      <c r="B14" s="250" t="s">
        <v>108</v>
      </c>
      <c r="C14" s="247">
        <v>120</v>
      </c>
      <c r="D14" s="247">
        <f t="shared" si="0"/>
        <v>10</v>
      </c>
      <c r="E14" s="247">
        <v>156</v>
      </c>
      <c r="F14" s="247">
        <f t="shared" si="0"/>
        <v>13</v>
      </c>
      <c r="G14" s="76" t="s">
        <v>108</v>
      </c>
      <c r="H14" s="77" t="s">
        <v>36</v>
      </c>
      <c r="I14" s="245">
        <f>VLOOKUP($A14,'INDEXACIÓN PRODUCTOS MES A MES'!$B$2:$W$396,22,0)</f>
        <v>8.9316987740805598E-2</v>
      </c>
      <c r="J14" s="209">
        <f>VLOOKUP($A14,'INDEXACIÓN PRODUCTOS MES A MES'!$B$2:$W$396,20,0)</f>
        <v>4354</v>
      </c>
      <c r="K14" s="209">
        <f t="shared" si="1"/>
        <v>695</v>
      </c>
      <c r="L14" s="209">
        <f t="shared" si="2"/>
        <v>3659</v>
      </c>
      <c r="M14" s="248">
        <f t="shared" si="3"/>
        <v>43540</v>
      </c>
      <c r="N14" s="248">
        <f t="shared" si="4"/>
        <v>56602</v>
      </c>
    </row>
    <row r="15" spans="1:14">
      <c r="A15" s="250" t="s">
        <v>472</v>
      </c>
      <c r="B15" s="250" t="s">
        <v>473</v>
      </c>
      <c r="C15" s="247">
        <f>16*4*12</f>
        <v>768</v>
      </c>
      <c r="D15" s="247">
        <f t="shared" si="0"/>
        <v>64</v>
      </c>
      <c r="E15" s="247">
        <v>998</v>
      </c>
      <c r="F15" s="247">
        <f t="shared" si="0"/>
        <v>83</v>
      </c>
      <c r="G15" s="76" t="s">
        <v>108</v>
      </c>
      <c r="H15" s="76" t="s">
        <v>1623</v>
      </c>
      <c r="I15" s="245">
        <f>VLOOKUP($A15,'INDEXACIÓN PRODUCTOS MES A MES'!$B$2:$W$396,22,0)</f>
        <v>9.0215439856373425E-2</v>
      </c>
      <c r="J15" s="209">
        <f>VLOOKUP($A15,'INDEXACIÓN PRODUCTOS MES A MES'!$B$2:$W$396,20,0)</f>
        <v>7287</v>
      </c>
      <c r="K15" s="209">
        <f t="shared" si="1"/>
        <v>1163</v>
      </c>
      <c r="L15" s="209">
        <f t="shared" si="2"/>
        <v>6124</v>
      </c>
      <c r="M15" s="248">
        <f t="shared" si="3"/>
        <v>466368</v>
      </c>
      <c r="N15" s="248">
        <f t="shared" si="4"/>
        <v>604821</v>
      </c>
    </row>
    <row r="16" spans="1:14">
      <c r="A16" s="250" t="s">
        <v>445</v>
      </c>
      <c r="B16" s="250" t="s">
        <v>446</v>
      </c>
      <c r="C16" s="247">
        <v>500</v>
      </c>
      <c r="D16" s="247">
        <f t="shared" si="0"/>
        <v>42</v>
      </c>
      <c r="E16" s="247">
        <v>500</v>
      </c>
      <c r="F16" s="247">
        <f t="shared" si="0"/>
        <v>42</v>
      </c>
      <c r="G16" s="252" t="s">
        <v>108</v>
      </c>
      <c r="H16" s="83" t="s">
        <v>36</v>
      </c>
      <c r="I16" s="245">
        <f>VLOOKUP($A16,'INDEXACIÓN PRODUCTOS MES A MES'!$B$2:$W$396,22,0)</f>
        <v>8.2983193277310921E-2</v>
      </c>
      <c r="J16" s="209">
        <f>VLOOKUP($A16,'INDEXACIÓN PRODUCTOS MES A MES'!$B$2:$W$396,20,0)</f>
        <v>1031</v>
      </c>
      <c r="K16" s="209">
        <f t="shared" si="1"/>
        <v>165</v>
      </c>
      <c r="L16" s="209">
        <f t="shared" si="2"/>
        <v>866</v>
      </c>
      <c r="M16" s="248">
        <f t="shared" si="3"/>
        <v>43302</v>
      </c>
      <c r="N16" s="248">
        <f t="shared" si="4"/>
        <v>43302</v>
      </c>
    </row>
    <row r="17" spans="1:14">
      <c r="A17" s="250" t="s">
        <v>447</v>
      </c>
      <c r="B17" s="253" t="s">
        <v>448</v>
      </c>
      <c r="C17" s="247">
        <v>2700</v>
      </c>
      <c r="D17" s="247">
        <f t="shared" si="0"/>
        <v>225</v>
      </c>
      <c r="E17" s="247">
        <v>2700</v>
      </c>
      <c r="F17" s="247">
        <f t="shared" si="0"/>
        <v>225</v>
      </c>
      <c r="G17" s="76" t="s">
        <v>108</v>
      </c>
      <c r="H17" s="77" t="s">
        <v>36</v>
      </c>
      <c r="I17" s="245">
        <f>VLOOKUP($A17,'INDEXACIÓN PRODUCTOS MES A MES'!$B$2:$W$396,22,0)</f>
        <v>8.0645161290322578E-2</v>
      </c>
      <c r="J17" s="209">
        <f>VLOOKUP($A17,'INDEXACIÓN PRODUCTOS MES A MES'!$B$2:$W$396,20,0)</f>
        <v>804</v>
      </c>
      <c r="K17" s="209">
        <f t="shared" si="1"/>
        <v>128</v>
      </c>
      <c r="L17" s="209">
        <f t="shared" si="2"/>
        <v>676</v>
      </c>
      <c r="M17" s="248">
        <f t="shared" si="3"/>
        <v>180900</v>
      </c>
      <c r="N17" s="248">
        <f t="shared" si="4"/>
        <v>180900</v>
      </c>
    </row>
    <row r="18" spans="1:14">
      <c r="A18" s="250" t="s">
        <v>449</v>
      </c>
      <c r="B18" s="253" t="s">
        <v>450</v>
      </c>
      <c r="C18" s="247">
        <v>500</v>
      </c>
      <c r="D18" s="247">
        <f t="shared" si="0"/>
        <v>42</v>
      </c>
      <c r="E18" s="247">
        <v>500</v>
      </c>
      <c r="F18" s="247">
        <f t="shared" si="0"/>
        <v>42</v>
      </c>
      <c r="G18" s="76" t="s">
        <v>108</v>
      </c>
      <c r="H18" s="77" t="s">
        <v>36</v>
      </c>
      <c r="I18" s="245">
        <f>VLOOKUP($A18,'INDEXACIÓN PRODUCTOS MES A MES'!$B$2:$W$396,22,0)</f>
        <v>8.2983193277310921E-2</v>
      </c>
      <c r="J18" s="209">
        <f>VLOOKUP($A18,'INDEXACIÓN PRODUCTOS MES A MES'!$B$2:$W$396,20,0)</f>
        <v>1031</v>
      </c>
      <c r="K18" s="209">
        <f t="shared" si="1"/>
        <v>165</v>
      </c>
      <c r="L18" s="209">
        <f t="shared" si="2"/>
        <v>866</v>
      </c>
      <c r="M18" s="248">
        <f t="shared" si="3"/>
        <v>43302</v>
      </c>
      <c r="N18" s="248">
        <f t="shared" si="4"/>
        <v>43302</v>
      </c>
    </row>
    <row r="19" spans="1:14">
      <c r="A19" s="250" t="s">
        <v>451</v>
      </c>
      <c r="B19" s="125" t="s">
        <v>452</v>
      </c>
      <c r="C19" s="247">
        <v>500</v>
      </c>
      <c r="D19" s="247">
        <f t="shared" si="0"/>
        <v>42</v>
      </c>
      <c r="E19" s="247">
        <v>500</v>
      </c>
      <c r="F19" s="247">
        <f t="shared" si="0"/>
        <v>42</v>
      </c>
      <c r="G19" s="76" t="s">
        <v>108</v>
      </c>
      <c r="H19" s="77" t="s">
        <v>36</v>
      </c>
      <c r="I19" s="245">
        <f>VLOOKUP($A19,'INDEXACIÓN PRODUCTOS MES A MES'!$B$2:$W$396,22,0)</f>
        <v>8.2983193277310921E-2</v>
      </c>
      <c r="J19" s="209">
        <f>VLOOKUP($A19,'INDEXACIÓN PRODUCTOS MES A MES'!$B$2:$W$396,20,0)</f>
        <v>1031</v>
      </c>
      <c r="K19" s="209">
        <f t="shared" si="1"/>
        <v>165</v>
      </c>
      <c r="L19" s="209">
        <f t="shared" si="2"/>
        <v>866</v>
      </c>
      <c r="M19" s="248">
        <f t="shared" si="3"/>
        <v>43302</v>
      </c>
      <c r="N19" s="248">
        <f t="shared" si="4"/>
        <v>43302</v>
      </c>
    </row>
    <row r="20" spans="1:14">
      <c r="A20" s="250" t="s">
        <v>453</v>
      </c>
      <c r="B20" s="125" t="s">
        <v>454</v>
      </c>
      <c r="C20" s="247">
        <v>500</v>
      </c>
      <c r="D20" s="247">
        <f t="shared" si="0"/>
        <v>42</v>
      </c>
      <c r="E20" s="247">
        <v>500</v>
      </c>
      <c r="F20" s="247">
        <f t="shared" si="0"/>
        <v>42</v>
      </c>
      <c r="G20" s="76" t="s">
        <v>108</v>
      </c>
      <c r="H20" s="77" t="s">
        <v>36</v>
      </c>
      <c r="I20" s="245">
        <f>VLOOKUP($A20,'INDEXACIÓN PRODUCTOS MES A MES'!$B$2:$W$396,22,0)</f>
        <v>8.2983193277310921E-2</v>
      </c>
      <c r="J20" s="209">
        <f>VLOOKUP($A20,'INDEXACIÓN PRODUCTOS MES A MES'!$B$2:$W$396,20,0)</f>
        <v>1031</v>
      </c>
      <c r="K20" s="209">
        <f t="shared" si="1"/>
        <v>165</v>
      </c>
      <c r="L20" s="209">
        <f t="shared" si="2"/>
        <v>866</v>
      </c>
      <c r="M20" s="248">
        <f t="shared" si="3"/>
        <v>43302</v>
      </c>
      <c r="N20" s="248">
        <f t="shared" si="4"/>
        <v>43302</v>
      </c>
    </row>
    <row r="21" spans="1:14">
      <c r="A21" s="250" t="s">
        <v>455</v>
      </c>
      <c r="B21" s="125" t="s">
        <v>456</v>
      </c>
      <c r="C21" s="247">
        <v>500</v>
      </c>
      <c r="D21" s="247">
        <f t="shared" si="0"/>
        <v>42</v>
      </c>
      <c r="E21" s="247">
        <v>500</v>
      </c>
      <c r="F21" s="247">
        <f t="shared" si="0"/>
        <v>42</v>
      </c>
      <c r="G21" s="76" t="s">
        <v>108</v>
      </c>
      <c r="H21" s="77" t="s">
        <v>36</v>
      </c>
      <c r="I21" s="245">
        <f>VLOOKUP($A21,'INDEXACIÓN PRODUCTOS MES A MES'!$B$2:$W$396,22,0)</f>
        <v>8.2983193277310921E-2</v>
      </c>
      <c r="J21" s="209">
        <f>VLOOKUP($A21,'INDEXACIÓN PRODUCTOS MES A MES'!$B$2:$W$396,20,0)</f>
        <v>1031</v>
      </c>
      <c r="K21" s="209">
        <f t="shared" si="1"/>
        <v>165</v>
      </c>
      <c r="L21" s="209">
        <f t="shared" si="2"/>
        <v>866</v>
      </c>
      <c r="M21" s="248">
        <f t="shared" si="3"/>
        <v>43302</v>
      </c>
      <c r="N21" s="248">
        <f t="shared" si="4"/>
        <v>43302</v>
      </c>
    </row>
    <row r="22" spans="1:14">
      <c r="A22" s="608" t="s">
        <v>457</v>
      </c>
      <c r="B22" s="410" t="s">
        <v>1624</v>
      </c>
      <c r="C22" s="247">
        <v>600</v>
      </c>
      <c r="D22" s="247">
        <f t="shared" ref="D22" si="5">ROUND((C22/12),0)</f>
        <v>50</v>
      </c>
      <c r="E22" s="247">
        <v>600</v>
      </c>
      <c r="F22" s="247">
        <f t="shared" ref="F22" si="6">ROUND((E22/12),0)</f>
        <v>50</v>
      </c>
      <c r="G22" s="76" t="s">
        <v>108</v>
      </c>
      <c r="H22" s="77" t="s">
        <v>36</v>
      </c>
      <c r="I22" s="245">
        <f>VLOOKUP($A22,'INDEXACIÓN PRODUCTOS MES A MES'!$B$2:$W$396,22,0)</f>
        <v>8.2983193277310921E-2</v>
      </c>
      <c r="J22" s="209">
        <f>VLOOKUP($A22,'INDEXACIÓN PRODUCTOS MES A MES'!$B$2:$W$396,20,0)</f>
        <v>1031</v>
      </c>
      <c r="K22" s="209">
        <f t="shared" ref="K22" si="7">J22-L22</f>
        <v>165</v>
      </c>
      <c r="L22" s="209">
        <f t="shared" ref="L22" si="8">ROUND((J22/1.19),0)</f>
        <v>866</v>
      </c>
      <c r="M22" s="248">
        <f t="shared" ref="M22" si="9">ROUND($J22*D22,0)</f>
        <v>51550</v>
      </c>
      <c r="N22" s="248">
        <f t="shared" ref="N22" si="10">ROUND($J22*F22,0)</f>
        <v>51550</v>
      </c>
    </row>
    <row r="23" spans="1:14">
      <c r="A23" s="250" t="s">
        <v>459</v>
      </c>
      <c r="B23" s="250" t="s">
        <v>1625</v>
      </c>
      <c r="C23" s="247">
        <f>4*3*12</f>
        <v>144</v>
      </c>
      <c r="D23" s="247">
        <f t="shared" si="0"/>
        <v>12</v>
      </c>
      <c r="E23" s="247">
        <v>187</v>
      </c>
      <c r="F23" s="247">
        <f t="shared" si="0"/>
        <v>16</v>
      </c>
      <c r="G23" s="76" t="s">
        <v>108</v>
      </c>
      <c r="H23" s="77" t="s">
        <v>36</v>
      </c>
      <c r="I23" s="245">
        <f>VLOOKUP($A23,'INDEXACIÓN PRODUCTOS MES A MES'!$B$2:$W$396,22,0)</f>
        <v>9.0296033832437991E-2</v>
      </c>
      <c r="J23" s="209">
        <f>VLOOKUP($A23,'INDEXACIÓN PRODUCTOS MES A MES'!$B$2:$W$396,20,0)</f>
        <v>9539</v>
      </c>
      <c r="K23" s="209">
        <f t="shared" si="1"/>
        <v>1523</v>
      </c>
      <c r="L23" s="209">
        <f t="shared" si="2"/>
        <v>8016</v>
      </c>
      <c r="M23" s="248">
        <f t="shared" si="3"/>
        <v>114468</v>
      </c>
      <c r="N23" s="248">
        <f t="shared" si="4"/>
        <v>152624</v>
      </c>
    </row>
    <row r="24" spans="1:14">
      <c r="A24" s="250" t="s">
        <v>481</v>
      </c>
      <c r="B24" s="250" t="s">
        <v>482</v>
      </c>
      <c r="C24" s="247">
        <v>120</v>
      </c>
      <c r="D24" s="247">
        <f t="shared" si="0"/>
        <v>10</v>
      </c>
      <c r="E24" s="247">
        <v>156</v>
      </c>
      <c r="F24" s="247">
        <f t="shared" si="0"/>
        <v>13</v>
      </c>
      <c r="G24" s="76" t="s">
        <v>483</v>
      </c>
      <c r="H24" s="77" t="s">
        <v>36</v>
      </c>
      <c r="I24" s="245">
        <f>VLOOKUP($A24,'INDEXACIÓN PRODUCTOS MES A MES'!$B$2:$W$396,22,0)</f>
        <v>8.8278388278388284E-2</v>
      </c>
      <c r="J24" s="209">
        <f>VLOOKUP($A24,'INDEXACIÓN PRODUCTOS MES A MES'!$B$2:$W$396,20,0)</f>
        <v>2971</v>
      </c>
      <c r="K24" s="209">
        <f t="shared" si="1"/>
        <v>474</v>
      </c>
      <c r="L24" s="209">
        <f t="shared" si="2"/>
        <v>2497</v>
      </c>
      <c r="M24" s="248">
        <f t="shared" si="3"/>
        <v>29710</v>
      </c>
      <c r="N24" s="248">
        <f t="shared" si="4"/>
        <v>38623</v>
      </c>
    </row>
    <row r="25" spans="1:14" ht="26.25">
      <c r="A25" s="309" t="s">
        <v>423</v>
      </c>
      <c r="B25" s="308" t="s">
        <v>443</v>
      </c>
      <c r="C25" s="134">
        <v>12</v>
      </c>
      <c r="D25" s="247">
        <f t="shared" si="0"/>
        <v>1</v>
      </c>
      <c r="E25" s="223">
        <v>14</v>
      </c>
      <c r="F25" s="247">
        <f t="shared" si="0"/>
        <v>1</v>
      </c>
      <c r="G25" s="76" t="s">
        <v>444</v>
      </c>
      <c r="H25" s="77" t="s">
        <v>46</v>
      </c>
      <c r="I25" s="245">
        <f>VLOOKUP($A25,'INDEXACIÓN PRODUCTOS MES A MES'!$B$2:$W$396,22,0)</f>
        <v>9.1226608169217765E-2</v>
      </c>
      <c r="J25" s="209">
        <f>VLOOKUP($A25,'INDEXACIÓN PRODUCTOS MES A MES'!$B$2:$W$396,20,0)</f>
        <v>89043</v>
      </c>
      <c r="K25" s="209">
        <f t="shared" ref="K25:K31" si="11">J25-L25</f>
        <v>14217</v>
      </c>
      <c r="L25" s="209">
        <f t="shared" ref="L25:L31" si="12">ROUND((J25/1.19),0)</f>
        <v>74826</v>
      </c>
      <c r="M25" s="248">
        <f t="shared" si="3"/>
        <v>89043</v>
      </c>
      <c r="N25" s="248">
        <f t="shared" si="4"/>
        <v>89043</v>
      </c>
    </row>
    <row r="26" spans="1:14" ht="25.5">
      <c r="A26" s="309" t="s">
        <v>474</v>
      </c>
      <c r="B26" s="308" t="s">
        <v>475</v>
      </c>
      <c r="C26" s="134">
        <v>12</v>
      </c>
      <c r="D26" s="247">
        <f t="shared" si="0"/>
        <v>1</v>
      </c>
      <c r="E26" s="223">
        <v>14</v>
      </c>
      <c r="F26" s="247">
        <f t="shared" si="0"/>
        <v>1</v>
      </c>
      <c r="G26" s="76" t="s">
        <v>444</v>
      </c>
      <c r="H26" s="77" t="s">
        <v>38</v>
      </c>
      <c r="I26" s="245">
        <f>VLOOKUP($A26,'INDEXACIÓN PRODUCTOS MES A MES'!$B$2:$W$396,22,0)</f>
        <v>7.9933879711937481E-2</v>
      </c>
      <c r="J26" s="209">
        <f>VLOOKUP($A26,'INDEXACIÓN PRODUCTOS MES A MES'!$B$2:$W$396,20,0)</f>
        <v>186848</v>
      </c>
      <c r="K26" s="209">
        <f t="shared" si="11"/>
        <v>29833</v>
      </c>
      <c r="L26" s="209">
        <f t="shared" si="12"/>
        <v>157015</v>
      </c>
      <c r="M26" s="248">
        <f t="shared" si="3"/>
        <v>186848</v>
      </c>
      <c r="N26" s="248">
        <f t="shared" si="4"/>
        <v>186848</v>
      </c>
    </row>
    <row r="27" spans="1:14">
      <c r="A27" s="309" t="s">
        <v>437</v>
      </c>
      <c r="B27" s="308" t="s">
        <v>438</v>
      </c>
      <c r="C27" s="134">
        <v>12</v>
      </c>
      <c r="D27" s="247">
        <f t="shared" si="0"/>
        <v>1</v>
      </c>
      <c r="E27" s="223">
        <v>14</v>
      </c>
      <c r="F27" s="247">
        <f t="shared" si="0"/>
        <v>1</v>
      </c>
      <c r="G27" s="76" t="s">
        <v>439</v>
      </c>
      <c r="H27" s="77" t="s">
        <v>38</v>
      </c>
      <c r="I27" s="245">
        <f>VLOOKUP($A27,'INDEXACIÓN PRODUCTOS MES A MES'!$B$2:$W$396,22,0)</f>
        <v>7.9834519441503118E-2</v>
      </c>
      <c r="J27" s="209">
        <f>VLOOKUP($A27,'INDEXACIÓN PRODUCTOS MES A MES'!$B$2:$W$396,20,0)</f>
        <v>43851</v>
      </c>
      <c r="K27" s="209">
        <f t="shared" si="11"/>
        <v>7001</v>
      </c>
      <c r="L27" s="209">
        <f t="shared" si="12"/>
        <v>36850</v>
      </c>
      <c r="M27" s="248">
        <f t="shared" si="3"/>
        <v>43851</v>
      </c>
      <c r="N27" s="248">
        <f t="shared" si="4"/>
        <v>43851</v>
      </c>
    </row>
    <row r="28" spans="1:14">
      <c r="A28" s="309" t="s">
        <v>440</v>
      </c>
      <c r="B28" s="308" t="s">
        <v>441</v>
      </c>
      <c r="C28" s="134">
        <v>12</v>
      </c>
      <c r="D28" s="247">
        <f t="shared" si="0"/>
        <v>1</v>
      </c>
      <c r="E28" s="223">
        <v>14</v>
      </c>
      <c r="F28" s="247">
        <f t="shared" si="0"/>
        <v>1</v>
      </c>
      <c r="G28" s="76" t="s">
        <v>442</v>
      </c>
      <c r="H28" s="77" t="s">
        <v>38</v>
      </c>
      <c r="I28" s="245">
        <f>VLOOKUP($A28,'INDEXACIÓN PRODUCTOS MES A MES'!$B$2:$W$396,22,0)</f>
        <v>7.9786703877205226E-2</v>
      </c>
      <c r="J28" s="209">
        <f>VLOOKUP($A28,'INDEXACIÓN PRODUCTOS MES A MES'!$B$2:$W$396,20,0)</f>
        <v>43334</v>
      </c>
      <c r="K28" s="209">
        <f t="shared" si="11"/>
        <v>6919</v>
      </c>
      <c r="L28" s="209">
        <f t="shared" si="12"/>
        <v>36415</v>
      </c>
      <c r="M28" s="248">
        <f t="shared" si="3"/>
        <v>43334</v>
      </c>
      <c r="N28" s="248">
        <f t="shared" si="4"/>
        <v>43334</v>
      </c>
    </row>
    <row r="29" spans="1:14">
      <c r="A29" s="309" t="s">
        <v>468</v>
      </c>
      <c r="B29" s="308" t="s">
        <v>469</v>
      </c>
      <c r="C29" s="134">
        <f>24*12</f>
        <v>288</v>
      </c>
      <c r="D29" s="247">
        <f t="shared" si="0"/>
        <v>24</v>
      </c>
      <c r="E29" s="223">
        <v>346</v>
      </c>
      <c r="F29" s="247">
        <f t="shared" si="0"/>
        <v>29</v>
      </c>
      <c r="G29" s="76" t="s">
        <v>108</v>
      </c>
      <c r="H29" s="77" t="s">
        <v>36</v>
      </c>
      <c r="I29" s="245">
        <f>VLOOKUP($A29,'INDEXACIÓN PRODUCTOS MES A MES'!$B$2:$W$396,22,0)</f>
        <v>7.7294685990338161E-2</v>
      </c>
      <c r="J29" s="209">
        <f>VLOOKUP($A29,'INDEXACIÓN PRODUCTOS MES A MES'!$B$2:$W$396,20,0)</f>
        <v>669</v>
      </c>
      <c r="K29" s="209">
        <f t="shared" si="11"/>
        <v>107</v>
      </c>
      <c r="L29" s="209">
        <f t="shared" si="12"/>
        <v>562</v>
      </c>
      <c r="M29" s="248">
        <f t="shared" si="3"/>
        <v>16056</v>
      </c>
      <c r="N29" s="248">
        <f t="shared" si="4"/>
        <v>19401</v>
      </c>
    </row>
    <row r="30" spans="1:14">
      <c r="A30" s="309" t="s">
        <v>470</v>
      </c>
      <c r="B30" s="308" t="s">
        <v>471</v>
      </c>
      <c r="C30" s="134">
        <v>144</v>
      </c>
      <c r="D30" s="247">
        <f t="shared" si="0"/>
        <v>12</v>
      </c>
      <c r="E30" s="223">
        <v>173</v>
      </c>
      <c r="F30" s="247">
        <f t="shared" si="0"/>
        <v>14</v>
      </c>
      <c r="G30" s="76" t="s">
        <v>108</v>
      </c>
      <c r="H30" s="77" t="s">
        <v>36</v>
      </c>
      <c r="I30" s="245">
        <f>VLOOKUP($A30,'INDEXACIÓN PRODUCTOS MES A MES'!$B$2:$W$396,22,0)</f>
        <v>8.8012139605462822E-2</v>
      </c>
      <c r="J30" s="209">
        <f>VLOOKUP($A30,'INDEXACIÓN PRODUCTOS MES A MES'!$B$2:$W$396,20,0)</f>
        <v>2868</v>
      </c>
      <c r="K30" s="209">
        <f t="shared" si="11"/>
        <v>458</v>
      </c>
      <c r="L30" s="209">
        <f t="shared" si="12"/>
        <v>2410</v>
      </c>
      <c r="M30" s="248">
        <f t="shared" si="3"/>
        <v>34416</v>
      </c>
      <c r="N30" s="248">
        <f t="shared" si="4"/>
        <v>40152</v>
      </c>
    </row>
    <row r="31" spans="1:14" ht="24">
      <c r="A31" s="312" t="s">
        <v>476</v>
      </c>
      <c r="B31" s="308" t="s">
        <v>477</v>
      </c>
      <c r="C31" s="134">
        <v>144</v>
      </c>
      <c r="D31" s="247">
        <f t="shared" si="0"/>
        <v>12</v>
      </c>
      <c r="E31" s="223">
        <v>173</v>
      </c>
      <c r="F31" s="247">
        <f t="shared" si="0"/>
        <v>14</v>
      </c>
      <c r="G31" s="76" t="s">
        <v>108</v>
      </c>
      <c r="H31" s="77" t="s">
        <v>36</v>
      </c>
      <c r="I31" s="245">
        <f>VLOOKUP($A31,'INDEXACIÓN PRODUCTOS MES A MES'!$B$2:$W$396,22,0)</f>
        <v>9.0557386445049431E-2</v>
      </c>
      <c r="J31" s="209">
        <f>VLOOKUP($A31,'INDEXACIÓN PRODUCTOS MES A MES'!$B$2:$W$396,20,0)</f>
        <v>7611</v>
      </c>
      <c r="K31" s="209">
        <f t="shared" si="11"/>
        <v>1215</v>
      </c>
      <c r="L31" s="209">
        <f t="shared" si="12"/>
        <v>6396</v>
      </c>
      <c r="M31" s="248">
        <f t="shared" si="3"/>
        <v>91332</v>
      </c>
      <c r="N31" s="248">
        <f t="shared" si="4"/>
        <v>106554</v>
      </c>
    </row>
    <row r="32" spans="1:14">
      <c r="A32" s="250" t="s">
        <v>486</v>
      </c>
      <c r="B32" s="250" t="s">
        <v>1626</v>
      </c>
      <c r="C32" s="247">
        <f>4*12</f>
        <v>48</v>
      </c>
      <c r="D32" s="247">
        <f t="shared" si="0"/>
        <v>4</v>
      </c>
      <c r="E32" s="247">
        <v>62</v>
      </c>
      <c r="F32" s="247">
        <f t="shared" si="0"/>
        <v>5</v>
      </c>
      <c r="G32" s="76" t="s">
        <v>1627</v>
      </c>
      <c r="H32" s="83" t="s">
        <v>36</v>
      </c>
      <c r="I32" s="245">
        <f>VLOOKUP($A32,'INDEXACIÓN PRODUCTOS MES A MES'!$B$2:$W$396,22,0)</f>
        <v>9.0027447392497711E-2</v>
      </c>
      <c r="J32" s="209">
        <f>VLOOKUP($A32,'INDEXACIÓN PRODUCTOS MES A MES'!$B$2:$W$396,20,0)</f>
        <v>5957</v>
      </c>
      <c r="K32" s="209">
        <f t="shared" si="1"/>
        <v>951</v>
      </c>
      <c r="L32" s="209">
        <f t="shared" si="2"/>
        <v>5006</v>
      </c>
      <c r="M32" s="248">
        <f t="shared" si="3"/>
        <v>23828</v>
      </c>
      <c r="N32" s="248">
        <f t="shared" si="4"/>
        <v>29785</v>
      </c>
    </row>
    <row r="33" spans="1:16">
      <c r="A33" s="173" t="s">
        <v>461</v>
      </c>
      <c r="B33" s="250" t="s">
        <v>108</v>
      </c>
      <c r="C33" s="247">
        <v>30</v>
      </c>
      <c r="D33" s="247">
        <f t="shared" si="0"/>
        <v>3</v>
      </c>
      <c r="E33" s="247">
        <v>39</v>
      </c>
      <c r="F33" s="247">
        <f t="shared" si="0"/>
        <v>3</v>
      </c>
      <c r="G33" s="76" t="s">
        <v>108</v>
      </c>
      <c r="H33" s="83" t="s">
        <v>36</v>
      </c>
      <c r="I33" s="245">
        <f>VLOOKUP($A33,'INDEXACIÓN PRODUCTOS MES A MES'!$B$2:$W$396,22,0)</f>
        <v>9.0883048055575455E-2</v>
      </c>
      <c r="J33" s="209">
        <f>VLOOKUP($A33,'INDEXACIÓN PRODUCTOS MES A MES'!$B$2:$W$396,20,0)</f>
        <v>15232</v>
      </c>
      <c r="K33" s="209">
        <f t="shared" si="1"/>
        <v>2432</v>
      </c>
      <c r="L33" s="209">
        <f t="shared" si="2"/>
        <v>12800</v>
      </c>
      <c r="M33" s="248">
        <f t="shared" si="3"/>
        <v>45696</v>
      </c>
      <c r="N33" s="248">
        <f t="shared" si="4"/>
        <v>45696</v>
      </c>
    </row>
    <row r="35" spans="1:16">
      <c r="J35" s="126" t="s">
        <v>1628</v>
      </c>
      <c r="K35" s="126"/>
      <c r="L35" s="126"/>
      <c r="M35" s="609">
        <f>SUM(M7:M33)</f>
        <v>2344900</v>
      </c>
      <c r="N35" s="609">
        <f>SUM(N7:N33)</f>
        <v>2831700</v>
      </c>
    </row>
    <row r="36" spans="1:16">
      <c r="J36" s="126" t="s">
        <v>1552</v>
      </c>
      <c r="K36" s="126"/>
      <c r="L36" s="126"/>
      <c r="M36" s="609">
        <f>ROUND(M35/30,0)</f>
        <v>78163</v>
      </c>
      <c r="N36" s="609">
        <f>ROUND(N35/30,0)</f>
        <v>94390</v>
      </c>
      <c r="P36" s="94"/>
    </row>
    <row r="37" spans="1:16">
      <c r="J37" t="s">
        <v>1520</v>
      </c>
      <c r="M37" s="609">
        <f>ROUND(M36/100,0)</f>
        <v>782</v>
      </c>
      <c r="N37" s="609">
        <f>ROUND(N36/130,0)</f>
        <v>726</v>
      </c>
    </row>
    <row r="86" spans="13:14">
      <c r="M86" s="74">
        <f>SUM(M7:M33)</f>
        <v>2344900</v>
      </c>
      <c r="N86" s="74">
        <f>SUM(N7:N33)</f>
        <v>2831700</v>
      </c>
    </row>
    <row r="87" spans="13:14">
      <c r="M87" s="74">
        <f>M86/130</f>
        <v>18037.692307692309</v>
      </c>
      <c r="N87" s="74">
        <f>N86/130</f>
        <v>21782.307692307691</v>
      </c>
    </row>
    <row r="88" spans="13:14">
      <c r="M88" s="66">
        <f>M87/30</f>
        <v>601.25641025641028</v>
      </c>
      <c r="N88" s="66">
        <f>N87/30</f>
        <v>726.07692307692309</v>
      </c>
    </row>
  </sheetData>
  <mergeCells count="15">
    <mergeCell ref="A4:A6"/>
    <mergeCell ref="B4:B6"/>
    <mergeCell ref="C4:C6"/>
    <mergeCell ref="I4:I6"/>
    <mergeCell ref="G4:G6"/>
    <mergeCell ref="D4:D6"/>
    <mergeCell ref="E4:E6"/>
    <mergeCell ref="F4:F6"/>
    <mergeCell ref="B2:N2"/>
    <mergeCell ref="N4:N6"/>
    <mergeCell ref="K4:K6"/>
    <mergeCell ref="L4:L6"/>
    <mergeCell ref="M4:M6"/>
    <mergeCell ref="J4:J6"/>
    <mergeCell ref="H4:H6"/>
  </mergeCells>
  <conditionalFormatting sqref="B17:B18">
    <cfRule type="duplicateValues" dxfId="1" priority="2"/>
  </conditionalFormatting>
  <pageMargins left="0.7" right="0.7" top="0.75" bottom="0.75" header="0.3" footer="0.3"/>
  <extLst>
    <ext xmlns:mx="http://schemas.microsoft.com/office/mac/excel/2008/main" uri="{64002731-A6B0-56B0-2670-7721B7C09600}">
      <mx:PLV Mode="0" OnePage="0" WScale="0"/>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00B050"/>
  </sheetPr>
  <dimension ref="A1:N21"/>
  <sheetViews>
    <sheetView showGridLines="0" topLeftCell="B1" zoomScale="85" zoomScaleNormal="85" zoomScalePageLayoutView="85" workbookViewId="0">
      <selection activeCell="M14" sqref="M14"/>
    </sheetView>
  </sheetViews>
  <sheetFormatPr defaultColWidth="9.140625" defaultRowHeight="15"/>
  <cols>
    <col min="1" max="1" width="27.42578125" customWidth="1"/>
    <col min="2" max="2" width="54.7109375" customWidth="1"/>
    <col min="3" max="4" width="14.42578125" customWidth="1"/>
    <col min="5" max="5" width="16.42578125" customWidth="1"/>
    <col min="6" max="6" width="14.28515625" customWidth="1"/>
    <col min="7" max="7" width="15.140625" customWidth="1"/>
    <col min="8" max="8" width="18.42578125" customWidth="1"/>
    <col min="9" max="9" width="15.42578125" customWidth="1"/>
    <col min="10" max="10" width="18.42578125" customWidth="1"/>
    <col min="11" max="12" width="14.42578125" customWidth="1"/>
    <col min="13" max="13" width="21.140625" customWidth="1"/>
    <col min="14" max="14" width="17.42578125" customWidth="1"/>
  </cols>
  <sheetData>
    <row r="1" spans="1:14" ht="31.5" customHeight="1">
      <c r="A1" s="610" t="s">
        <v>1629</v>
      </c>
    </row>
    <row r="2" spans="1:14" ht="31.5" customHeight="1">
      <c r="A2" s="887" t="s">
        <v>1630</v>
      </c>
      <c r="B2" s="887"/>
      <c r="C2" s="887"/>
      <c r="D2" s="887"/>
      <c r="E2" s="887"/>
      <c r="F2" s="887"/>
      <c r="G2" s="887"/>
      <c r="H2" s="887"/>
      <c r="I2" s="887"/>
      <c r="J2" s="887"/>
      <c r="K2" s="887"/>
      <c r="L2" s="887"/>
      <c r="M2" s="887"/>
      <c r="N2" s="887"/>
    </row>
    <row r="4" spans="1:14">
      <c r="A4" s="803" t="s">
        <v>87</v>
      </c>
      <c r="B4" s="803" t="s">
        <v>1216</v>
      </c>
      <c r="C4" s="803" t="s">
        <v>1631</v>
      </c>
      <c r="D4" s="803" t="s">
        <v>1632</v>
      </c>
      <c r="E4" s="803" t="s">
        <v>1633</v>
      </c>
      <c r="F4" s="803" t="s">
        <v>1618</v>
      </c>
      <c r="G4" s="803" t="s">
        <v>1634</v>
      </c>
      <c r="H4" s="803" t="s">
        <v>90</v>
      </c>
      <c r="I4" s="803" t="s">
        <v>1635</v>
      </c>
      <c r="J4" s="803" t="s">
        <v>1636</v>
      </c>
      <c r="K4" s="803" t="s">
        <v>1175</v>
      </c>
      <c r="L4" s="803" t="s">
        <v>1176</v>
      </c>
      <c r="M4" s="803" t="s">
        <v>1637</v>
      </c>
      <c r="N4" s="803" t="s">
        <v>1638</v>
      </c>
    </row>
    <row r="5" spans="1:14">
      <c r="A5" s="822"/>
      <c r="B5" s="822"/>
      <c r="C5" s="822"/>
      <c r="D5" s="822"/>
      <c r="E5" s="822"/>
      <c r="F5" s="822"/>
      <c r="G5" s="822"/>
      <c r="H5" s="822"/>
      <c r="I5" s="822"/>
      <c r="J5" s="822"/>
      <c r="K5" s="822"/>
      <c r="L5" s="822"/>
      <c r="M5" s="822"/>
      <c r="N5" s="822"/>
    </row>
    <row r="6" spans="1:14">
      <c r="A6" s="804"/>
      <c r="B6" s="804"/>
      <c r="C6" s="804"/>
      <c r="D6" s="804"/>
      <c r="E6" s="804"/>
      <c r="F6" s="804"/>
      <c r="G6" s="804"/>
      <c r="H6" s="804"/>
      <c r="I6" s="804"/>
      <c r="J6" s="804"/>
      <c r="K6" s="804"/>
      <c r="L6" s="804"/>
      <c r="M6" s="804"/>
      <c r="N6" s="804"/>
    </row>
    <row r="7" spans="1:14" ht="25.5">
      <c r="A7" s="173" t="s">
        <v>423</v>
      </c>
      <c r="B7" s="173" t="s">
        <v>424</v>
      </c>
      <c r="C7" s="76">
        <v>12</v>
      </c>
      <c r="D7" s="76">
        <f>ROUND((C7/12),0)</f>
        <v>1</v>
      </c>
      <c r="E7" s="76">
        <v>15</v>
      </c>
      <c r="F7" s="76">
        <f>ROUND((E7/12),0)</f>
        <v>1</v>
      </c>
      <c r="G7" s="76" t="s">
        <v>1639</v>
      </c>
      <c r="H7" s="155" t="s">
        <v>36</v>
      </c>
      <c r="I7" s="406">
        <f>VLOOKUP($A7,'[1]INDEXACIÓN PRODUCTOS MES A MES'!$B$5:$W$396,22,0)</f>
        <v>9.1226608169217765E-2</v>
      </c>
      <c r="J7" s="289">
        <f>VLOOKUP($A7,'[1]INDEXACIÓN PRODUCTOS MES A MES'!$B$5:$W$396,20,0)</f>
        <v>89043</v>
      </c>
      <c r="K7" s="289">
        <f t="shared" ref="K7:K11" si="0">J7-L7</f>
        <v>14217</v>
      </c>
      <c r="L7" s="289">
        <f t="shared" ref="L7:L11" si="1">ROUND((J7/1.19),0)</f>
        <v>74826</v>
      </c>
      <c r="M7" s="407">
        <f>ROUND((J7*D7),0)</f>
        <v>89043</v>
      </c>
      <c r="N7" s="407">
        <f>ROUNDUP((J7*F7),0)</f>
        <v>89043</v>
      </c>
    </row>
    <row r="8" spans="1:14" ht="25.5">
      <c r="A8" s="173" t="s">
        <v>426</v>
      </c>
      <c r="B8" s="173" t="s">
        <v>427</v>
      </c>
      <c r="C8" s="76">
        <v>160</v>
      </c>
      <c r="D8" s="76">
        <f t="shared" ref="D8:F10" si="2">ROUND((C8/12),0)</f>
        <v>13</v>
      </c>
      <c r="E8" s="76">
        <v>208</v>
      </c>
      <c r="F8" s="76">
        <f t="shared" si="2"/>
        <v>17</v>
      </c>
      <c r="G8" s="76" t="s">
        <v>425</v>
      </c>
      <c r="H8" s="155" t="s">
        <v>36</v>
      </c>
      <c r="I8" s="406">
        <f>VLOOKUP($A8,'[1]INDEXACIÓN PRODUCTOS MES A MES'!$B$5:$W$396,22,0)</f>
        <v>9.096819363872774E-2</v>
      </c>
      <c r="J8" s="289">
        <f>VLOOKUP($A8,'[1]INDEXACIÓN PRODUCTOS MES A MES'!$B$5:$W$396,20,0)</f>
        <v>21815</v>
      </c>
      <c r="K8" s="289">
        <f t="shared" si="0"/>
        <v>3483</v>
      </c>
      <c r="L8" s="289">
        <f t="shared" si="1"/>
        <v>18332</v>
      </c>
      <c r="M8" s="407">
        <f t="shared" ref="M8:M11" si="3">ROUND((J8*D8),0)</f>
        <v>283595</v>
      </c>
      <c r="N8" s="407">
        <f t="shared" ref="N8:N11" si="4">ROUNDUP((J8*F8),0)</f>
        <v>370855</v>
      </c>
    </row>
    <row r="9" spans="1:14" ht="25.5">
      <c r="A9" s="173" t="s">
        <v>428</v>
      </c>
      <c r="B9" s="173" t="s">
        <v>429</v>
      </c>
      <c r="C9" s="408">
        <v>12</v>
      </c>
      <c r="D9" s="76">
        <f t="shared" si="2"/>
        <v>1</v>
      </c>
      <c r="E9" s="76">
        <v>15</v>
      </c>
      <c r="F9" s="76">
        <f t="shared" si="2"/>
        <v>1</v>
      </c>
      <c r="G9" s="76" t="s">
        <v>1639</v>
      </c>
      <c r="H9" s="155" t="s">
        <v>46</v>
      </c>
      <c r="I9" s="406">
        <f>VLOOKUP($A9,'[1]INDEXACIÓN PRODUCTOS MES A MES'!$B$5:$W$396,22,0)</f>
        <v>5.8503151018906116E-2</v>
      </c>
      <c r="J9" s="289">
        <f>VLOOKUP($A9,'[1]INDEXACIÓN PRODUCTOS MES A MES'!$B$5:$W$396,20,0)</f>
        <v>115054</v>
      </c>
      <c r="K9" s="289">
        <f t="shared" si="0"/>
        <v>18370</v>
      </c>
      <c r="L9" s="289">
        <f t="shared" si="1"/>
        <v>96684</v>
      </c>
      <c r="M9" s="407">
        <f t="shared" si="3"/>
        <v>115054</v>
      </c>
      <c r="N9" s="407">
        <f t="shared" si="4"/>
        <v>115054</v>
      </c>
    </row>
    <row r="10" spans="1:14">
      <c r="A10" s="173" t="s">
        <v>430</v>
      </c>
      <c r="B10" s="303" t="s">
        <v>431</v>
      </c>
      <c r="C10" s="409">
        <v>12</v>
      </c>
      <c r="D10" s="76">
        <f t="shared" si="2"/>
        <v>1</v>
      </c>
      <c r="E10" s="76">
        <v>15</v>
      </c>
      <c r="F10" s="76">
        <f t="shared" si="2"/>
        <v>1</v>
      </c>
      <c r="G10" s="76" t="s">
        <v>1639</v>
      </c>
      <c r="H10" s="155" t="s">
        <v>36</v>
      </c>
      <c r="I10" s="406">
        <f>VLOOKUP($A10,'[1]INDEXACIÓN PRODUCTOS MES A MES'!$B$5:$W$396,22,0)</f>
        <v>9.1205597275010847E-2</v>
      </c>
      <c r="J10" s="289">
        <f>VLOOKUP($A10,'[1]INDEXACIÓN PRODUCTOS MES A MES'!$B$5:$W$396,20,0)</f>
        <v>82972</v>
      </c>
      <c r="K10" s="289">
        <f t="shared" si="0"/>
        <v>13248</v>
      </c>
      <c r="L10" s="289">
        <f t="shared" si="1"/>
        <v>69724</v>
      </c>
      <c r="M10" s="407">
        <f t="shared" si="3"/>
        <v>82972</v>
      </c>
      <c r="N10" s="407">
        <f t="shared" si="4"/>
        <v>82972</v>
      </c>
    </row>
    <row r="11" spans="1:14">
      <c r="A11" s="410" t="s">
        <v>432</v>
      </c>
      <c r="B11" s="305" t="s">
        <v>433</v>
      </c>
      <c r="C11" s="255">
        <v>120</v>
      </c>
      <c r="D11" s="76">
        <v>10</v>
      </c>
      <c r="E11" s="76">
        <f>F11*12</f>
        <v>156</v>
      </c>
      <c r="F11" s="76">
        <v>13</v>
      </c>
      <c r="G11" s="195" t="s">
        <v>108</v>
      </c>
      <c r="H11" s="155" t="s">
        <v>36</v>
      </c>
      <c r="I11" s="406">
        <f>VLOOKUP($A11,'[1]INDEXACIÓN PRODUCTOS MES A MES'!$B$5:$W$396,22,0)</f>
        <v>8.9316987740805598E-2</v>
      </c>
      <c r="J11" s="289">
        <f>VLOOKUP($A11,'[1]INDEXACIÓN PRODUCTOS MES A MES'!$B$5:$W$396,20,0)</f>
        <v>4354</v>
      </c>
      <c r="K11" s="289">
        <f t="shared" si="0"/>
        <v>695</v>
      </c>
      <c r="L11" s="289">
        <f t="shared" si="1"/>
        <v>3659</v>
      </c>
      <c r="M11" s="407">
        <f t="shared" si="3"/>
        <v>43540</v>
      </c>
      <c r="N11" s="407">
        <f t="shared" si="4"/>
        <v>56602</v>
      </c>
    </row>
    <row r="12" spans="1:14">
      <c r="A12" s="95"/>
      <c r="B12" s="95"/>
      <c r="C12" s="97"/>
      <c r="D12" s="97"/>
      <c r="E12" s="97"/>
      <c r="F12" s="97"/>
      <c r="G12" s="97"/>
      <c r="H12" s="96"/>
      <c r="I12" s="96"/>
      <c r="J12" s="888" t="s">
        <v>1640</v>
      </c>
      <c r="K12" s="888"/>
      <c r="L12" s="889"/>
      <c r="M12" s="411">
        <f>SUM(M7:M11)</f>
        <v>614204</v>
      </c>
      <c r="N12" s="411">
        <f>SUM(N7:N11)</f>
        <v>714526</v>
      </c>
    </row>
    <row r="13" spans="1:14">
      <c r="A13" s="95"/>
      <c r="B13" s="95"/>
      <c r="C13" s="98"/>
      <c r="D13" s="98"/>
      <c r="E13" s="98"/>
      <c r="F13" s="98"/>
      <c r="G13" s="98"/>
      <c r="H13" s="96"/>
      <c r="I13" s="96"/>
      <c r="J13" s="890" t="s">
        <v>1641</v>
      </c>
      <c r="K13" s="890"/>
      <c r="L13" s="891"/>
      <c r="M13" s="411">
        <f>ROUND((M12/30),0)</f>
        <v>20473</v>
      </c>
      <c r="N13" s="411">
        <f>ROUND((N12/30),0)</f>
        <v>23818</v>
      </c>
    </row>
    <row r="14" spans="1:14" ht="25.5">
      <c r="C14" s="98"/>
      <c r="D14" s="98"/>
      <c r="E14" s="98"/>
      <c r="F14" s="98"/>
      <c r="G14" s="98"/>
      <c r="J14" s="177"/>
      <c r="K14" s="177" t="s">
        <v>1519</v>
      </c>
      <c r="L14" s="177"/>
      <c r="M14" s="411">
        <f>ROUND((M13/100),0)</f>
        <v>205</v>
      </c>
      <c r="N14" s="411">
        <f>ROUND((N13/130),0)</f>
        <v>183</v>
      </c>
    </row>
    <row r="15" spans="1:14">
      <c r="C15" s="412"/>
      <c r="D15" s="412"/>
      <c r="E15" s="412"/>
      <c r="F15" s="412"/>
      <c r="G15" s="412"/>
    </row>
    <row r="16" spans="1:14">
      <c r="C16" s="412"/>
      <c r="D16" s="412"/>
      <c r="E16" s="412"/>
      <c r="F16" s="412"/>
      <c r="G16" s="412"/>
    </row>
    <row r="17" spans="3:14">
      <c r="C17" s="412"/>
      <c r="D17" s="412"/>
      <c r="E17" s="412"/>
      <c r="F17" s="412"/>
      <c r="G17" s="412"/>
    </row>
    <row r="18" spans="3:14">
      <c r="C18" s="412"/>
      <c r="D18" s="412"/>
      <c r="E18" s="412"/>
      <c r="F18" s="412"/>
      <c r="G18" s="412"/>
    </row>
    <row r="19" spans="3:14">
      <c r="C19" s="96"/>
      <c r="D19" s="96"/>
      <c r="E19" s="96"/>
      <c r="F19" s="96"/>
      <c r="G19" s="96"/>
    </row>
    <row r="20" spans="3:14">
      <c r="C20" s="96"/>
      <c r="D20" s="96"/>
      <c r="E20" s="96"/>
      <c r="F20" s="96"/>
      <c r="G20" s="96"/>
      <c r="M20" s="413"/>
    </row>
    <row r="21" spans="3:14">
      <c r="M21" s="413"/>
      <c r="N21" s="413"/>
    </row>
  </sheetData>
  <mergeCells count="17">
    <mergeCell ref="J13:L13"/>
    <mergeCell ref="E4:E6"/>
    <mergeCell ref="F4:F6"/>
    <mergeCell ref="G4:G6"/>
    <mergeCell ref="H4:H6"/>
    <mergeCell ref="I4:I6"/>
    <mergeCell ref="J4:J6"/>
    <mergeCell ref="L4:L6"/>
    <mergeCell ref="D4:D6"/>
    <mergeCell ref="K4:K6"/>
    <mergeCell ref="A2:N2"/>
    <mergeCell ref="N4:N6"/>
    <mergeCell ref="J12:L12"/>
    <mergeCell ref="M4:M6"/>
    <mergeCell ref="A4:A6"/>
    <mergeCell ref="B4:B6"/>
    <mergeCell ref="C4:C6"/>
  </mergeCells>
  <pageMargins left="0.7" right="0.7" top="0.75" bottom="0.75" header="0.3" footer="0.3"/>
  <extLst>
    <ext xmlns:mx="http://schemas.microsoft.com/office/mac/excel/2008/main" uri="{64002731-A6B0-56B0-2670-7721B7C09600}">
      <mx:PLV Mode="0" OnePage="0" WScale="0"/>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00B050"/>
  </sheetPr>
  <dimension ref="A1:M25"/>
  <sheetViews>
    <sheetView topLeftCell="A13" workbookViewId="0">
      <selection activeCell="E22" sqref="E22"/>
    </sheetView>
  </sheetViews>
  <sheetFormatPr defaultColWidth="11.42578125" defaultRowHeight="15"/>
  <cols>
    <col min="1" max="1" width="22.28515625" customWidth="1"/>
    <col min="2" max="2" width="78.42578125" customWidth="1"/>
    <col min="3" max="3" width="23.28515625" customWidth="1"/>
    <col min="4" max="4" width="14" customWidth="1"/>
    <col min="5" max="5" width="15.28515625" bestFit="1" customWidth="1"/>
    <col min="6" max="7" width="16" customWidth="1"/>
    <col min="8" max="9" width="0" hidden="1" customWidth="1"/>
    <col min="10" max="10" width="15" customWidth="1"/>
    <col min="13" max="13" width="13" bestFit="1" customWidth="1"/>
  </cols>
  <sheetData>
    <row r="1" spans="1:13">
      <c r="A1" s="610" t="s">
        <v>1642</v>
      </c>
    </row>
    <row r="2" spans="1:13" ht="27.75" customHeight="1">
      <c r="A2" s="740" t="s">
        <v>1643</v>
      </c>
      <c r="B2" s="740"/>
      <c r="C2" s="740"/>
      <c r="D2" s="740"/>
      <c r="E2" s="740"/>
      <c r="F2" s="740"/>
      <c r="G2" s="740"/>
      <c r="H2" s="740"/>
      <c r="I2" s="740"/>
      <c r="J2" s="450"/>
      <c r="K2" s="450"/>
      <c r="L2" s="450"/>
    </row>
    <row r="3" spans="1:13" ht="27.75" customHeight="1">
      <c r="A3" s="740" t="s">
        <v>1644</v>
      </c>
      <c r="B3" s="740"/>
      <c r="C3" s="740"/>
      <c r="D3" s="740"/>
      <c r="E3" s="740"/>
      <c r="F3" s="740"/>
      <c r="G3" s="740"/>
      <c r="H3" s="740"/>
      <c r="I3" s="740"/>
      <c r="J3" s="450"/>
      <c r="K3" s="450"/>
      <c r="L3" s="450"/>
    </row>
    <row r="4" spans="1:13" ht="15" customHeight="1" thickBot="1">
      <c r="A4" s="892"/>
      <c r="B4" s="892"/>
      <c r="C4" s="892"/>
      <c r="D4" s="892"/>
      <c r="E4" s="892"/>
      <c r="F4" s="189"/>
      <c r="G4" s="189"/>
    </row>
    <row r="5" spans="1:13" ht="25.5">
      <c r="A5" s="91" t="s">
        <v>1645</v>
      </c>
      <c r="B5" s="91" t="s">
        <v>1646</v>
      </c>
      <c r="C5" s="91" t="s">
        <v>1647</v>
      </c>
      <c r="D5" s="91" t="s">
        <v>90</v>
      </c>
      <c r="E5" s="91" t="s">
        <v>1648</v>
      </c>
      <c r="F5" s="91" t="s">
        <v>1175</v>
      </c>
      <c r="G5" s="91" t="s">
        <v>1176</v>
      </c>
      <c r="H5" s="91" t="s">
        <v>1649</v>
      </c>
      <c r="I5" s="91" t="s">
        <v>1650</v>
      </c>
      <c r="J5" s="638" t="s">
        <v>1651</v>
      </c>
      <c r="K5" s="638" t="s">
        <v>1652</v>
      </c>
    </row>
    <row r="6" spans="1:13" ht="38.25">
      <c r="A6" s="193" t="s">
        <v>1653</v>
      </c>
      <c r="B6" s="258" t="s">
        <v>1654</v>
      </c>
      <c r="C6" s="259" t="s">
        <v>1655</v>
      </c>
      <c r="D6" s="194" t="s">
        <v>84</v>
      </c>
      <c r="E6" s="611">
        <v>54807809</v>
      </c>
      <c r="F6" s="261">
        <f>E6-G6</f>
        <v>8750827</v>
      </c>
      <c r="G6" s="261">
        <f>ROUND((E6/1.19),0)</f>
        <v>46056982</v>
      </c>
      <c r="H6" s="261">
        <f>ROUND($G6/100,0)</f>
        <v>460570</v>
      </c>
      <c r="I6" s="261">
        <f>ROUND($H6/30,0)</f>
        <v>15352</v>
      </c>
      <c r="J6" s="261">
        <f>ROUND(E6/30,0)</f>
        <v>1826927</v>
      </c>
      <c r="K6" s="261">
        <f>ROUND(J6/100,0)</f>
        <v>18269</v>
      </c>
    </row>
    <row r="7" spans="1:13" ht="38.25">
      <c r="A7" s="193" t="s">
        <v>1656</v>
      </c>
      <c r="B7" s="193" t="s">
        <v>1657</v>
      </c>
      <c r="C7" s="259" t="s">
        <v>1658</v>
      </c>
      <c r="D7" s="194" t="s">
        <v>84</v>
      </c>
      <c r="E7" s="611">
        <v>64260000</v>
      </c>
      <c r="F7" s="261">
        <f t="shared" ref="F7:F18" si="0">E7-G7</f>
        <v>10260000</v>
      </c>
      <c r="G7" s="261">
        <f t="shared" ref="G7:G18" si="1">ROUND((E7/1.19),0)</f>
        <v>54000000</v>
      </c>
      <c r="H7" s="261">
        <f>ROUND($G7/130,0)</f>
        <v>415385</v>
      </c>
      <c r="I7" s="261">
        <f t="shared" ref="I7:I9" si="2">ROUND($H7/30,0)</f>
        <v>13846</v>
      </c>
      <c r="J7" s="261">
        <f>ROUND(E7/30,0)</f>
        <v>2142000</v>
      </c>
      <c r="K7" s="261">
        <f>ROUND(J7/130,0)</f>
        <v>16477</v>
      </c>
    </row>
    <row r="8" spans="1:13" ht="38.25">
      <c r="A8" s="193" t="s">
        <v>1659</v>
      </c>
      <c r="B8" s="193" t="s">
        <v>1660</v>
      </c>
      <c r="C8" s="257" t="s">
        <v>1655</v>
      </c>
      <c r="D8" s="194" t="s">
        <v>84</v>
      </c>
      <c r="E8" s="611">
        <v>12058701</v>
      </c>
      <c r="F8" s="261">
        <f t="shared" si="0"/>
        <v>1925339</v>
      </c>
      <c r="G8" s="261">
        <f t="shared" si="1"/>
        <v>10133362</v>
      </c>
      <c r="H8" s="261">
        <f t="shared" ref="H8" si="3">ROUND($G8/100,0)</f>
        <v>101334</v>
      </c>
      <c r="I8" s="261">
        <f t="shared" si="2"/>
        <v>3378</v>
      </c>
      <c r="J8" s="261">
        <f t="shared" ref="J8:J9" si="4">ROUND(E8/30,0)</f>
        <v>401957</v>
      </c>
      <c r="K8" s="261">
        <f>ROUND(J8/100,0)</f>
        <v>4020</v>
      </c>
    </row>
    <row r="9" spans="1:13" ht="38.25">
      <c r="A9" s="193" t="s">
        <v>1659</v>
      </c>
      <c r="B9" s="193" t="s">
        <v>1661</v>
      </c>
      <c r="C9" s="257" t="s">
        <v>1658</v>
      </c>
      <c r="D9" s="194" t="s">
        <v>84</v>
      </c>
      <c r="E9" s="611">
        <v>13637684</v>
      </c>
      <c r="F9" s="261">
        <f t="shared" si="0"/>
        <v>2177445</v>
      </c>
      <c r="G9" s="261">
        <f t="shared" si="1"/>
        <v>11460239</v>
      </c>
      <c r="H9" s="261">
        <f>ROUND($G9/130,0)</f>
        <v>88156</v>
      </c>
      <c r="I9" s="261">
        <f t="shared" si="2"/>
        <v>2939</v>
      </c>
      <c r="J9" s="261">
        <f t="shared" si="4"/>
        <v>454589</v>
      </c>
      <c r="K9" s="261">
        <f t="shared" ref="K9" si="5">ROUND(J9/130,0)</f>
        <v>3497</v>
      </c>
      <c r="M9" s="643"/>
    </row>
    <row r="10" spans="1:13" ht="25.5">
      <c r="A10" s="193" t="s">
        <v>1662</v>
      </c>
      <c r="B10" s="262" t="s">
        <v>1663</v>
      </c>
      <c r="C10" s="257" t="s">
        <v>1664</v>
      </c>
      <c r="D10" s="194" t="s">
        <v>84</v>
      </c>
      <c r="E10" s="260">
        <v>1705714</v>
      </c>
      <c r="F10" s="261">
        <f t="shared" si="0"/>
        <v>272341</v>
      </c>
      <c r="G10" s="261">
        <f t="shared" si="1"/>
        <v>1433373</v>
      </c>
    </row>
    <row r="11" spans="1:13" ht="25.5">
      <c r="A11" s="193" t="s">
        <v>1662</v>
      </c>
      <c r="B11" s="262" t="s">
        <v>1665</v>
      </c>
      <c r="C11" s="257" t="s">
        <v>1664</v>
      </c>
      <c r="D11" s="194" t="s">
        <v>84</v>
      </c>
      <c r="E11" s="260">
        <v>3190120</v>
      </c>
      <c r="F11" s="261">
        <f t="shared" si="0"/>
        <v>509347</v>
      </c>
      <c r="G11" s="261">
        <f t="shared" si="1"/>
        <v>2680773</v>
      </c>
    </row>
    <row r="12" spans="1:13" ht="25.5">
      <c r="A12" s="193" t="s">
        <v>1666</v>
      </c>
      <c r="B12" s="262" t="s">
        <v>1663</v>
      </c>
      <c r="C12" s="257" t="s">
        <v>1664</v>
      </c>
      <c r="D12" s="194" t="s">
        <v>84</v>
      </c>
      <c r="E12" s="260">
        <v>6407316</v>
      </c>
      <c r="F12" s="261">
        <f t="shared" si="0"/>
        <v>1023017</v>
      </c>
      <c r="G12" s="261">
        <f t="shared" si="1"/>
        <v>5384299</v>
      </c>
    </row>
    <row r="13" spans="1:13" ht="25.5">
      <c r="A13" s="193" t="s">
        <v>1666</v>
      </c>
      <c r="B13" s="262" t="s">
        <v>1665</v>
      </c>
      <c r="C13" s="257" t="s">
        <v>1664</v>
      </c>
      <c r="D13" s="194" t="s">
        <v>84</v>
      </c>
      <c r="E13" s="260">
        <v>9450717</v>
      </c>
      <c r="F13" s="261">
        <f t="shared" si="0"/>
        <v>1508938</v>
      </c>
      <c r="G13" s="261">
        <f t="shared" si="1"/>
        <v>7941779</v>
      </c>
    </row>
    <row r="14" spans="1:13" ht="25.5">
      <c r="A14" s="193" t="s">
        <v>1667</v>
      </c>
      <c r="B14" s="262" t="s">
        <v>1663</v>
      </c>
      <c r="C14" s="257" t="s">
        <v>1664</v>
      </c>
      <c r="D14" s="194" t="s">
        <v>84</v>
      </c>
      <c r="E14" s="260">
        <v>3324700</v>
      </c>
      <c r="F14" s="261">
        <f t="shared" si="0"/>
        <v>530834</v>
      </c>
      <c r="G14" s="261">
        <f t="shared" si="1"/>
        <v>2793866</v>
      </c>
    </row>
    <row r="15" spans="1:13" ht="25.5">
      <c r="A15" s="193" t="s">
        <v>1667</v>
      </c>
      <c r="B15" s="262" t="s">
        <v>1665</v>
      </c>
      <c r="C15" s="257" t="s">
        <v>1664</v>
      </c>
      <c r="D15" s="194" t="s">
        <v>84</v>
      </c>
      <c r="E15" s="260">
        <v>588619</v>
      </c>
      <c r="F15" s="261">
        <f t="shared" si="0"/>
        <v>93981</v>
      </c>
      <c r="G15" s="261">
        <f t="shared" si="1"/>
        <v>494638</v>
      </c>
    </row>
    <row r="16" spans="1:13" ht="25.5">
      <c r="A16" s="193" t="s">
        <v>1668</v>
      </c>
      <c r="B16" s="262" t="s">
        <v>1663</v>
      </c>
      <c r="C16" s="257" t="s">
        <v>1664</v>
      </c>
      <c r="D16" s="194" t="s">
        <v>84</v>
      </c>
      <c r="E16" s="260">
        <v>2408338</v>
      </c>
      <c r="F16" s="261">
        <f t="shared" si="0"/>
        <v>384525</v>
      </c>
      <c r="G16" s="261">
        <f t="shared" si="1"/>
        <v>2023813</v>
      </c>
    </row>
    <row r="17" spans="1:7" ht="25.5">
      <c r="A17" s="193" t="s">
        <v>1668</v>
      </c>
      <c r="B17" s="262" t="s">
        <v>1665</v>
      </c>
      <c r="C17" s="257" t="s">
        <v>1664</v>
      </c>
      <c r="D17" s="194" t="s">
        <v>84</v>
      </c>
      <c r="E17" s="260">
        <v>3110176</v>
      </c>
      <c r="F17" s="261">
        <f t="shared" si="0"/>
        <v>496583</v>
      </c>
      <c r="G17" s="261">
        <f t="shared" si="1"/>
        <v>2613593</v>
      </c>
    </row>
    <row r="18" spans="1:7" ht="25.5">
      <c r="A18" s="193" t="s">
        <v>1669</v>
      </c>
      <c r="B18" s="193" t="s">
        <v>1670</v>
      </c>
      <c r="C18" s="257" t="s">
        <v>1664</v>
      </c>
      <c r="D18" s="194" t="s">
        <v>84</v>
      </c>
      <c r="E18" s="260">
        <v>307475</v>
      </c>
      <c r="F18" s="261">
        <f t="shared" si="0"/>
        <v>49093</v>
      </c>
      <c r="G18" s="261">
        <f t="shared" si="1"/>
        <v>258382</v>
      </c>
    </row>
    <row r="20" spans="1:7">
      <c r="D20" t="s">
        <v>1671</v>
      </c>
      <c r="E20" t="s">
        <v>1672</v>
      </c>
      <c r="F20" t="s">
        <v>1673</v>
      </c>
      <c r="G20" t="s">
        <v>1650</v>
      </c>
    </row>
    <row r="21" spans="1:7" ht="34.5">
      <c r="C21" s="358" t="s">
        <v>1674</v>
      </c>
      <c r="D21" s="359">
        <v>100</v>
      </c>
      <c r="E21" s="358">
        <f>E10+E12+E14+E16+E18</f>
        <v>14153543</v>
      </c>
      <c r="F21" s="358">
        <f>ROUND(E21/30,0)</f>
        <v>471785</v>
      </c>
      <c r="G21" s="358">
        <f>ROUND(F21/100,0)</f>
        <v>4718</v>
      </c>
    </row>
    <row r="22" spans="1:7" ht="34.5">
      <c r="C22" s="358" t="s">
        <v>1674</v>
      </c>
      <c r="D22" s="359">
        <v>130</v>
      </c>
      <c r="E22" s="358">
        <f>E11+E13+E15+E17+E18</f>
        <v>16647107</v>
      </c>
      <c r="F22" s="358">
        <f>ROUND(E22/30,0)</f>
        <v>554904</v>
      </c>
      <c r="G22" s="358">
        <f>ROUND(F22/130,0)</f>
        <v>4268</v>
      </c>
    </row>
    <row r="25" spans="1:7">
      <c r="F25" s="643"/>
      <c r="G25" s="643"/>
    </row>
  </sheetData>
  <mergeCells count="3">
    <mergeCell ref="A4:E4"/>
    <mergeCell ref="A2:I2"/>
    <mergeCell ref="A3:I3"/>
  </mergeCells>
  <pageMargins left="0.7" right="0.7" top="0.75" bottom="0.75" header="0.3" footer="0.3"/>
  <extLst>
    <ext xmlns:mx="http://schemas.microsoft.com/office/mac/excel/2008/main" uri="{64002731-A6B0-56B0-2670-7721B7C09600}">
      <mx:PLV Mode="0" OnePage="0" WScale="0"/>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K10"/>
  <sheetViews>
    <sheetView topLeftCell="A4" workbookViewId="0">
      <selection activeCell="B9" sqref="B9"/>
    </sheetView>
  </sheetViews>
  <sheetFormatPr defaultColWidth="11.42578125" defaultRowHeight="15"/>
  <cols>
    <col min="1" max="1" width="37.7109375" customWidth="1"/>
    <col min="2" max="2" width="26.28515625" customWidth="1"/>
    <col min="3" max="4" width="9" customWidth="1"/>
    <col min="5" max="5" width="9.28515625" customWidth="1"/>
    <col min="6" max="6" width="10" customWidth="1"/>
    <col min="7" max="7" width="9.28515625" customWidth="1"/>
    <col min="8" max="8" width="10.140625" customWidth="1"/>
    <col min="9" max="9" width="12.42578125" customWidth="1"/>
  </cols>
  <sheetData>
    <row r="1" spans="1:11" ht="36.75" thickBot="1">
      <c r="A1" s="33" t="s">
        <v>1675</v>
      </c>
      <c r="B1" s="34" t="s">
        <v>1676</v>
      </c>
      <c r="C1" s="33"/>
      <c r="D1" s="33"/>
      <c r="E1" s="33"/>
      <c r="F1" s="33"/>
      <c r="G1" s="33"/>
      <c r="H1" s="33"/>
      <c r="I1" s="35" t="s">
        <v>1677</v>
      </c>
      <c r="J1" s="36" t="s">
        <v>1678</v>
      </c>
      <c r="K1" s="35" t="s">
        <v>1679</v>
      </c>
    </row>
    <row r="2" spans="1:11">
      <c r="A2" s="33"/>
      <c r="B2" s="34"/>
      <c r="C2" s="787" t="s">
        <v>1050</v>
      </c>
      <c r="D2" s="788"/>
      <c r="E2" s="788"/>
      <c r="F2" s="788"/>
      <c r="G2" s="788"/>
      <c r="H2" s="789"/>
      <c r="I2" s="35"/>
      <c r="J2" s="36"/>
      <c r="K2" s="35"/>
    </row>
    <row r="3" spans="1:11">
      <c r="A3" s="33"/>
      <c r="B3" s="34"/>
      <c r="C3" s="2">
        <v>55</v>
      </c>
      <c r="D3" s="2">
        <v>110</v>
      </c>
      <c r="E3" s="2">
        <v>165</v>
      </c>
      <c r="F3" s="2">
        <v>220</v>
      </c>
      <c r="G3" s="2">
        <v>275</v>
      </c>
      <c r="H3" s="2">
        <v>330</v>
      </c>
      <c r="I3" s="35"/>
      <c r="J3" s="36"/>
      <c r="K3" s="35"/>
    </row>
    <row r="4" spans="1:11">
      <c r="A4" s="33"/>
      <c r="B4" s="34"/>
      <c r="C4" s="2" t="s">
        <v>1355</v>
      </c>
      <c r="D4" s="2" t="s">
        <v>1356</v>
      </c>
      <c r="E4" s="2" t="s">
        <v>1357</v>
      </c>
      <c r="F4" s="2" t="s">
        <v>1358</v>
      </c>
      <c r="G4" s="2" t="s">
        <v>1359</v>
      </c>
      <c r="H4" s="2" t="s">
        <v>1360</v>
      </c>
      <c r="I4" s="35"/>
      <c r="J4" s="36"/>
      <c r="K4" s="35"/>
    </row>
    <row r="5" spans="1:11" ht="120">
      <c r="A5" s="37" t="s">
        <v>1680</v>
      </c>
      <c r="B5" s="38" t="s">
        <v>1681</v>
      </c>
      <c r="C5" s="54">
        <v>34</v>
      </c>
      <c r="D5" s="54"/>
      <c r="E5" s="54"/>
      <c r="F5" s="54"/>
      <c r="G5" s="54"/>
      <c r="H5" s="54"/>
      <c r="I5" s="39">
        <v>50</v>
      </c>
      <c r="J5" s="40">
        <v>50</v>
      </c>
      <c r="K5" s="41">
        <v>50</v>
      </c>
    </row>
    <row r="6" spans="1:11" ht="132">
      <c r="A6" s="42" t="s">
        <v>1682</v>
      </c>
      <c r="B6" s="43" t="s">
        <v>1683</v>
      </c>
      <c r="C6" s="55">
        <v>30</v>
      </c>
      <c r="D6" s="55"/>
      <c r="E6" s="55"/>
      <c r="F6" s="55"/>
      <c r="G6" s="55"/>
      <c r="H6" s="55"/>
      <c r="I6" s="44">
        <v>68</v>
      </c>
      <c r="J6" s="45">
        <v>68</v>
      </c>
      <c r="K6" s="46">
        <v>68</v>
      </c>
    </row>
    <row r="7" spans="1:11" ht="120">
      <c r="A7" s="47" t="s">
        <v>1684</v>
      </c>
      <c r="B7" s="38" t="s">
        <v>1685</v>
      </c>
      <c r="C7" s="54">
        <v>6</v>
      </c>
      <c r="D7" s="54"/>
      <c r="E7" s="54"/>
      <c r="F7" s="54"/>
      <c r="G7" s="54"/>
      <c r="H7" s="54"/>
      <c r="I7" s="48">
        <v>16</v>
      </c>
      <c r="J7" s="40">
        <v>16</v>
      </c>
      <c r="K7" s="41">
        <v>16</v>
      </c>
    </row>
    <row r="8" spans="1:11">
      <c r="A8" s="893" t="s">
        <v>1686</v>
      </c>
      <c r="B8" s="49" t="s">
        <v>1687</v>
      </c>
      <c r="C8" s="56">
        <v>8</v>
      </c>
      <c r="D8" s="56"/>
      <c r="E8" s="56"/>
      <c r="F8" s="56"/>
      <c r="G8" s="56"/>
      <c r="H8" s="56"/>
      <c r="I8" s="50">
        <v>16</v>
      </c>
      <c r="J8" s="51">
        <v>16</v>
      </c>
      <c r="K8" s="52">
        <v>16</v>
      </c>
    </row>
    <row r="9" spans="1:11" ht="108">
      <c r="A9" s="894"/>
      <c r="B9" s="49" t="s">
        <v>1688</v>
      </c>
      <c r="C9" s="56">
        <v>8</v>
      </c>
      <c r="D9" s="56"/>
      <c r="E9" s="56"/>
      <c r="F9" s="56"/>
      <c r="G9" s="56"/>
      <c r="H9" s="56"/>
      <c r="I9" s="50">
        <v>16</v>
      </c>
      <c r="J9" s="51">
        <v>16</v>
      </c>
      <c r="K9" s="52">
        <v>16</v>
      </c>
    </row>
    <row r="10" spans="1:11" ht="36">
      <c r="A10" s="895"/>
      <c r="B10" s="53" t="s">
        <v>1689</v>
      </c>
      <c r="C10" s="57">
        <v>20</v>
      </c>
      <c r="D10" s="57"/>
      <c r="E10" s="57"/>
      <c r="F10" s="57"/>
      <c r="G10" s="57"/>
      <c r="H10" s="57"/>
      <c r="I10" s="50">
        <v>50</v>
      </c>
      <c r="J10" s="51">
        <v>60</v>
      </c>
      <c r="K10" s="52">
        <v>60</v>
      </c>
    </row>
  </sheetData>
  <mergeCells count="2">
    <mergeCell ref="A8:A10"/>
    <mergeCell ref="C2:H2"/>
  </mergeCells>
  <pageMargins left="0.7" right="0.7" top="0.75" bottom="0.75" header="0.3" footer="0.3"/>
  <extLst>
    <ext xmlns:mx="http://schemas.microsoft.com/office/mac/excel/2008/main" uri="{64002731-A6B0-56B0-2670-7721B7C09600}">
      <mx:PLV Mode="0" OnePage="0" WScale="0"/>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00B050"/>
  </sheetPr>
  <dimension ref="A1:N13"/>
  <sheetViews>
    <sheetView topLeftCell="C1" workbookViewId="0">
      <selection activeCell="M12" sqref="M12"/>
    </sheetView>
  </sheetViews>
  <sheetFormatPr defaultColWidth="11.42578125" defaultRowHeight="12.75"/>
  <cols>
    <col min="1" max="1" width="11.42578125" style="129"/>
    <col min="2" max="2" width="14" style="129" customWidth="1"/>
    <col min="3" max="3" width="53.28515625" style="129" customWidth="1"/>
    <col min="4" max="4" width="11.42578125" style="129"/>
    <col min="5" max="5" width="13.28515625" style="129" customWidth="1"/>
    <col min="6" max="6" width="11.140625" style="129" customWidth="1"/>
    <col min="7" max="7" width="17.28515625" style="129" customWidth="1"/>
    <col min="8" max="11" width="19" style="129" customWidth="1"/>
    <col min="12" max="12" width="14.42578125" style="129" customWidth="1"/>
    <col min="13" max="13" width="15.7109375" style="129" customWidth="1"/>
    <col min="14" max="16384" width="11.42578125" style="129"/>
  </cols>
  <sheetData>
    <row r="1" spans="1:14">
      <c r="A1" s="363" t="s">
        <v>1690</v>
      </c>
    </row>
    <row r="2" spans="1:14" ht="20.25" customHeight="1">
      <c r="A2" s="883" t="s">
        <v>1691</v>
      </c>
      <c r="B2" s="883"/>
      <c r="C2" s="883"/>
      <c r="D2" s="883"/>
      <c r="E2" s="883"/>
      <c r="F2" s="883"/>
      <c r="G2" s="883"/>
      <c r="H2" s="883"/>
      <c r="I2" s="883"/>
      <c r="J2" s="883"/>
      <c r="K2" s="883"/>
      <c r="L2" s="883"/>
      <c r="M2" s="883"/>
    </row>
    <row r="6" spans="1:14" ht="38.25">
      <c r="A6" s="612" t="s">
        <v>1692</v>
      </c>
      <c r="B6" s="452" t="s">
        <v>87</v>
      </c>
      <c r="C6" s="452" t="s">
        <v>1216</v>
      </c>
      <c r="D6" s="452" t="s">
        <v>89</v>
      </c>
      <c r="E6" s="452" t="s">
        <v>90</v>
      </c>
      <c r="F6" s="452" t="s">
        <v>1693</v>
      </c>
      <c r="G6" s="613" t="s">
        <v>1635</v>
      </c>
      <c r="H6" s="613" t="s">
        <v>1174</v>
      </c>
      <c r="I6" s="613" t="s">
        <v>1175</v>
      </c>
      <c r="J6" s="614" t="s">
        <v>1176</v>
      </c>
      <c r="K6" s="592" t="s">
        <v>1694</v>
      </c>
      <c r="L6" s="592" t="s">
        <v>1526</v>
      </c>
      <c r="M6" s="452" t="s">
        <v>1220</v>
      </c>
      <c r="N6" s="129" t="s">
        <v>1695</v>
      </c>
    </row>
    <row r="7" spans="1:14" ht="63.75">
      <c r="A7" s="223">
        <v>5</v>
      </c>
      <c r="B7" s="615" t="s">
        <v>1696</v>
      </c>
      <c r="C7" s="173" t="s">
        <v>822</v>
      </c>
      <c r="D7" s="76" t="s">
        <v>89</v>
      </c>
      <c r="E7" s="77" t="s">
        <v>38</v>
      </c>
      <c r="F7" s="77">
        <v>1</v>
      </c>
      <c r="G7" s="245">
        <v>7.9899999999999999E-2</v>
      </c>
      <c r="H7" s="235">
        <v>258717</v>
      </c>
      <c r="I7" s="228">
        <f>H7-J7</f>
        <v>41308</v>
      </c>
      <c r="J7" s="235">
        <f>ROUND((H7/1.19),0)</f>
        <v>217409</v>
      </c>
      <c r="K7" s="77">
        <v>12</v>
      </c>
      <c r="L7" s="235">
        <f>ROUND((H7/K7),0)</f>
        <v>21560</v>
      </c>
      <c r="M7" s="616">
        <f>ROUND((L7*F7),0)</f>
        <v>21560</v>
      </c>
    </row>
    <row r="8" spans="1:14">
      <c r="M8" s="130"/>
    </row>
    <row r="9" spans="1:14">
      <c r="K9" s="896" t="s">
        <v>1697</v>
      </c>
      <c r="L9" s="897"/>
      <c r="M9" s="166">
        <f>ROUND((M7/30),0)</f>
        <v>719</v>
      </c>
    </row>
    <row r="10" spans="1:14">
      <c r="K10" s="896" t="s">
        <v>1698</v>
      </c>
      <c r="L10" s="897"/>
      <c r="M10" s="166">
        <f>ROUND((M9/100),0)</f>
        <v>7</v>
      </c>
    </row>
    <row r="12" spans="1:14">
      <c r="K12" s="896" t="s">
        <v>1697</v>
      </c>
      <c r="L12" s="897"/>
      <c r="M12" s="166">
        <f>ROUND((M7/30),0)</f>
        <v>719</v>
      </c>
    </row>
    <row r="13" spans="1:14">
      <c r="K13" s="896" t="s">
        <v>1699</v>
      </c>
      <c r="L13" s="897"/>
      <c r="M13" s="166">
        <f>ROUND((M12/130),0)</f>
        <v>6</v>
      </c>
    </row>
  </sheetData>
  <mergeCells count="5">
    <mergeCell ref="K9:L9"/>
    <mergeCell ref="K10:L10"/>
    <mergeCell ref="A2:M2"/>
    <mergeCell ref="K12:L12"/>
    <mergeCell ref="K13:L13"/>
  </mergeCells>
  <conditionalFormatting sqref="B6:B7">
    <cfRule type="duplicateValues" dxfId="0" priority="1"/>
  </conditionalFormatting>
  <pageMargins left="0.7" right="0.7" top="0.75" bottom="0.75" header="0.3" footer="0.3"/>
  <pageSetup paperSize="9" orientation="portrait"/>
  <extLst>
    <ext xmlns:mx="http://schemas.microsoft.com/office/mac/excel/2008/main" uri="{64002731-A6B0-56B0-2670-7721B7C09600}">
      <mx:PLV Mode="0" OnePage="0" WScale="0"/>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00B050"/>
  </sheetPr>
  <dimension ref="A1:I135"/>
  <sheetViews>
    <sheetView topLeftCell="B111" workbookViewId="0">
      <selection activeCell="D143" sqref="D143"/>
    </sheetView>
  </sheetViews>
  <sheetFormatPr defaultColWidth="11.42578125" defaultRowHeight="12.75"/>
  <cols>
    <col min="1" max="1" width="35.28515625" style="129" customWidth="1"/>
    <col min="2" max="2" width="26.85546875" style="129" customWidth="1"/>
    <col min="3" max="9" width="22.7109375" style="129" customWidth="1"/>
    <col min="10" max="16384" width="11.42578125" style="129"/>
  </cols>
  <sheetData>
    <row r="1" spans="1:9">
      <c r="A1" s="363" t="s">
        <v>1700</v>
      </c>
    </row>
    <row r="2" spans="1:9" ht="55.5" customHeight="1">
      <c r="A2" s="902" t="s">
        <v>1701</v>
      </c>
      <c r="B2" s="902"/>
      <c r="C2" s="902"/>
      <c r="D2" s="902"/>
      <c r="E2" s="902"/>
      <c r="F2" s="902"/>
      <c r="G2" s="902"/>
      <c r="H2" s="902"/>
      <c r="I2" s="902"/>
    </row>
    <row r="3" spans="1:9" ht="51">
      <c r="A3" s="471" t="s">
        <v>1702</v>
      </c>
      <c r="B3" s="471" t="s">
        <v>1703</v>
      </c>
      <c r="C3" s="471" t="s">
        <v>1704</v>
      </c>
      <c r="D3" s="471" t="s">
        <v>1705</v>
      </c>
      <c r="E3" s="472" t="s">
        <v>1174</v>
      </c>
      <c r="F3" s="472" t="s">
        <v>1175</v>
      </c>
      <c r="G3" s="472" t="s">
        <v>1176</v>
      </c>
      <c r="H3" s="472" t="s">
        <v>1706</v>
      </c>
      <c r="I3" s="472" t="s">
        <v>1707</v>
      </c>
    </row>
    <row r="4" spans="1:9">
      <c r="A4" s="623" t="s">
        <v>1708</v>
      </c>
      <c r="B4" s="353">
        <v>903</v>
      </c>
      <c r="C4" s="353">
        <v>1000</v>
      </c>
      <c r="D4" s="473" t="s">
        <v>74</v>
      </c>
      <c r="E4" s="474">
        <v>8326</v>
      </c>
      <c r="F4" s="474">
        <f>E4-G4</f>
        <v>1329</v>
      </c>
      <c r="G4" s="474">
        <f>ROUND((E4/1.19),0)</f>
        <v>6997</v>
      </c>
      <c r="H4" s="474">
        <f>+ROUND((E4/C4),0)</f>
        <v>8</v>
      </c>
      <c r="I4" s="474">
        <f>ROUND(H4*B4,0)</f>
        <v>7224</v>
      </c>
    </row>
    <row r="5" spans="1:9">
      <c r="A5" s="207" t="s">
        <v>1709</v>
      </c>
      <c r="B5" s="353">
        <v>135</v>
      </c>
      <c r="C5" s="353">
        <v>500</v>
      </c>
      <c r="D5" s="473" t="s">
        <v>80</v>
      </c>
      <c r="E5" s="474">
        <v>3468</v>
      </c>
      <c r="F5" s="474">
        <f t="shared" ref="F5:F68" si="0">E5-G5</f>
        <v>554</v>
      </c>
      <c r="G5" s="474">
        <f t="shared" ref="G5:G68" si="1">ROUND((E5/1.19),0)</f>
        <v>2914</v>
      </c>
      <c r="H5" s="474">
        <f t="shared" ref="H5:H68" si="2">+E5/C5</f>
        <v>6.9359999999999999</v>
      </c>
      <c r="I5" s="474">
        <f t="shared" ref="I5:I68" si="3">ROUND(H5*B5,0)</f>
        <v>936</v>
      </c>
    </row>
    <row r="6" spans="1:9">
      <c r="A6" s="207" t="s">
        <v>1710</v>
      </c>
      <c r="B6" s="353">
        <v>453</v>
      </c>
      <c r="C6" s="353">
        <v>500</v>
      </c>
      <c r="D6" s="473" t="s">
        <v>80</v>
      </c>
      <c r="E6" s="474">
        <v>7086</v>
      </c>
      <c r="F6" s="474">
        <f t="shared" si="0"/>
        <v>1131</v>
      </c>
      <c r="G6" s="474">
        <f t="shared" si="1"/>
        <v>5955</v>
      </c>
      <c r="H6" s="474">
        <f>+E6/C6</f>
        <v>14.172000000000001</v>
      </c>
      <c r="I6" s="474">
        <f t="shared" si="3"/>
        <v>6420</v>
      </c>
    </row>
    <row r="7" spans="1:9">
      <c r="A7" s="624" t="s">
        <v>1711</v>
      </c>
      <c r="B7" s="353">
        <v>537</v>
      </c>
      <c r="C7" s="353">
        <v>500</v>
      </c>
      <c r="D7" s="473" t="s">
        <v>80</v>
      </c>
      <c r="E7" s="474">
        <v>1383</v>
      </c>
      <c r="F7" s="474">
        <f t="shared" si="0"/>
        <v>221</v>
      </c>
      <c r="G7" s="474">
        <f t="shared" si="1"/>
        <v>1162</v>
      </c>
      <c r="H7" s="474">
        <f t="shared" si="2"/>
        <v>2.766</v>
      </c>
      <c r="I7" s="474">
        <f t="shared" si="3"/>
        <v>1485</v>
      </c>
    </row>
    <row r="8" spans="1:9">
      <c r="A8" s="624" t="s">
        <v>1712</v>
      </c>
      <c r="B8" s="353">
        <v>81</v>
      </c>
      <c r="C8" s="353">
        <v>100</v>
      </c>
      <c r="D8" s="473" t="s">
        <v>80</v>
      </c>
      <c r="E8" s="474">
        <v>2484</v>
      </c>
      <c r="F8" s="474">
        <f t="shared" si="0"/>
        <v>397</v>
      </c>
      <c r="G8" s="474">
        <f t="shared" si="1"/>
        <v>2087</v>
      </c>
      <c r="H8" s="474">
        <f t="shared" si="2"/>
        <v>24.84</v>
      </c>
      <c r="I8" s="474">
        <f t="shared" si="3"/>
        <v>2012</v>
      </c>
    </row>
    <row r="9" spans="1:9">
      <c r="A9" s="625" t="s">
        <v>1713</v>
      </c>
      <c r="B9" s="353">
        <v>9</v>
      </c>
      <c r="C9" s="353">
        <v>200</v>
      </c>
      <c r="D9" s="473" t="s">
        <v>74</v>
      </c>
      <c r="E9" s="474">
        <v>10311</v>
      </c>
      <c r="F9" s="474">
        <f t="shared" si="0"/>
        <v>1646</v>
      </c>
      <c r="G9" s="474">
        <f t="shared" si="1"/>
        <v>8665</v>
      </c>
      <c r="H9" s="474">
        <f t="shared" si="2"/>
        <v>51.555</v>
      </c>
      <c r="I9" s="474">
        <f t="shared" si="3"/>
        <v>464</v>
      </c>
    </row>
    <row r="10" spans="1:9">
      <c r="A10" s="624" t="s">
        <v>1714</v>
      </c>
      <c r="B10" s="353">
        <v>129</v>
      </c>
      <c r="C10" s="353">
        <v>500</v>
      </c>
      <c r="D10" s="473" t="s">
        <v>80</v>
      </c>
      <c r="E10" s="474">
        <v>1783</v>
      </c>
      <c r="F10" s="474">
        <f t="shared" si="0"/>
        <v>285</v>
      </c>
      <c r="G10" s="474">
        <f t="shared" si="1"/>
        <v>1498</v>
      </c>
      <c r="H10" s="474">
        <f t="shared" si="2"/>
        <v>3.5659999999999998</v>
      </c>
      <c r="I10" s="474">
        <f t="shared" si="3"/>
        <v>460</v>
      </c>
    </row>
    <row r="11" spans="1:9" ht="25.5">
      <c r="A11" s="624" t="s">
        <v>1715</v>
      </c>
      <c r="B11" s="353">
        <v>39</v>
      </c>
      <c r="C11" s="353">
        <v>18</v>
      </c>
      <c r="D11" s="473" t="s">
        <v>74</v>
      </c>
      <c r="E11" s="474">
        <v>10096</v>
      </c>
      <c r="F11" s="474">
        <f t="shared" si="0"/>
        <v>1612</v>
      </c>
      <c r="G11" s="474">
        <f t="shared" si="1"/>
        <v>8484</v>
      </c>
      <c r="H11" s="474">
        <f t="shared" si="2"/>
        <v>560.88888888888891</v>
      </c>
      <c r="I11" s="474">
        <f t="shared" si="3"/>
        <v>21875</v>
      </c>
    </row>
    <row r="12" spans="1:9">
      <c r="A12" s="624" t="s">
        <v>1716</v>
      </c>
      <c r="B12" s="353">
        <v>678</v>
      </c>
      <c r="C12" s="353">
        <v>500</v>
      </c>
      <c r="D12" s="473" t="s">
        <v>80</v>
      </c>
      <c r="E12" s="474">
        <v>3308</v>
      </c>
      <c r="F12" s="474">
        <f t="shared" si="0"/>
        <v>528</v>
      </c>
      <c r="G12" s="474">
        <f t="shared" si="1"/>
        <v>2780</v>
      </c>
      <c r="H12" s="474">
        <f t="shared" si="2"/>
        <v>6.6159999999999997</v>
      </c>
      <c r="I12" s="474">
        <f t="shared" si="3"/>
        <v>4486</v>
      </c>
    </row>
    <row r="13" spans="1:9" ht="25.5">
      <c r="A13" s="624" t="s">
        <v>1717</v>
      </c>
      <c r="B13" s="353">
        <v>3858</v>
      </c>
      <c r="C13" s="353">
        <v>500</v>
      </c>
      <c r="D13" s="473" t="s">
        <v>74</v>
      </c>
      <c r="E13" s="474">
        <v>1970</v>
      </c>
      <c r="F13" s="474">
        <f t="shared" si="0"/>
        <v>315</v>
      </c>
      <c r="G13" s="474">
        <f t="shared" si="1"/>
        <v>1655</v>
      </c>
      <c r="H13" s="474">
        <f t="shared" si="2"/>
        <v>3.94</v>
      </c>
      <c r="I13" s="474">
        <f t="shared" si="3"/>
        <v>15201</v>
      </c>
    </row>
    <row r="14" spans="1:9">
      <c r="A14" s="624" t="s">
        <v>1718</v>
      </c>
      <c r="B14" s="353">
        <v>2064</v>
      </c>
      <c r="C14" s="353">
        <v>500</v>
      </c>
      <c r="D14" s="473" t="s">
        <v>80</v>
      </c>
      <c r="E14" s="474">
        <v>8629</v>
      </c>
      <c r="F14" s="474">
        <f t="shared" si="0"/>
        <v>1378</v>
      </c>
      <c r="G14" s="474">
        <f t="shared" si="1"/>
        <v>7251</v>
      </c>
      <c r="H14" s="474">
        <f t="shared" si="2"/>
        <v>17.257999999999999</v>
      </c>
      <c r="I14" s="474">
        <f t="shared" si="3"/>
        <v>35621</v>
      </c>
    </row>
    <row r="15" spans="1:9">
      <c r="A15" s="625" t="s">
        <v>1719</v>
      </c>
      <c r="B15" s="353">
        <v>108</v>
      </c>
      <c r="C15" s="353">
        <v>500</v>
      </c>
      <c r="D15" s="473" t="s">
        <v>74</v>
      </c>
      <c r="E15" s="474">
        <v>3900</v>
      </c>
      <c r="F15" s="474">
        <f t="shared" si="0"/>
        <v>623</v>
      </c>
      <c r="G15" s="474">
        <f t="shared" si="1"/>
        <v>3277</v>
      </c>
      <c r="H15" s="474">
        <f t="shared" si="2"/>
        <v>7.8</v>
      </c>
      <c r="I15" s="474">
        <f t="shared" si="3"/>
        <v>842</v>
      </c>
    </row>
    <row r="16" spans="1:9">
      <c r="A16" s="624" t="s">
        <v>1720</v>
      </c>
      <c r="B16" s="353">
        <v>90</v>
      </c>
      <c r="C16" s="353">
        <v>300</v>
      </c>
      <c r="D16" s="473" t="s">
        <v>74</v>
      </c>
      <c r="E16" s="474">
        <v>10179</v>
      </c>
      <c r="F16" s="474">
        <f t="shared" si="0"/>
        <v>1625</v>
      </c>
      <c r="G16" s="474">
        <f t="shared" si="1"/>
        <v>8554</v>
      </c>
      <c r="H16" s="474">
        <f t="shared" si="2"/>
        <v>33.93</v>
      </c>
      <c r="I16" s="474">
        <f t="shared" si="3"/>
        <v>3054</v>
      </c>
    </row>
    <row r="17" spans="1:9">
      <c r="A17" s="624" t="s">
        <v>1721</v>
      </c>
      <c r="B17" s="353">
        <v>1191</v>
      </c>
      <c r="C17" s="353">
        <v>1000</v>
      </c>
      <c r="D17" s="473" t="s">
        <v>74</v>
      </c>
      <c r="E17" s="474">
        <v>5164</v>
      </c>
      <c r="F17" s="474">
        <f t="shared" si="0"/>
        <v>825</v>
      </c>
      <c r="G17" s="474">
        <f t="shared" si="1"/>
        <v>4339</v>
      </c>
      <c r="H17" s="474">
        <f t="shared" si="2"/>
        <v>5.1639999999999997</v>
      </c>
      <c r="I17" s="474">
        <f t="shared" si="3"/>
        <v>6150</v>
      </c>
    </row>
    <row r="18" spans="1:9">
      <c r="A18" s="624" t="s">
        <v>1722</v>
      </c>
      <c r="B18" s="353">
        <v>714</v>
      </c>
      <c r="C18" s="353">
        <v>500</v>
      </c>
      <c r="D18" s="473" t="s">
        <v>80</v>
      </c>
      <c r="E18" s="474">
        <v>1785</v>
      </c>
      <c r="F18" s="474">
        <f t="shared" si="0"/>
        <v>285</v>
      </c>
      <c r="G18" s="474">
        <f t="shared" si="1"/>
        <v>1500</v>
      </c>
      <c r="H18" s="474">
        <f t="shared" si="2"/>
        <v>3.57</v>
      </c>
      <c r="I18" s="474">
        <f t="shared" si="3"/>
        <v>2549</v>
      </c>
    </row>
    <row r="19" spans="1:9">
      <c r="A19" s="624" t="s">
        <v>1723</v>
      </c>
      <c r="B19" s="355">
        <v>21</v>
      </c>
      <c r="C19" s="355">
        <v>500</v>
      </c>
      <c r="D19" s="473" t="s">
        <v>74</v>
      </c>
      <c r="E19" s="474">
        <v>6939</v>
      </c>
      <c r="F19" s="474">
        <f t="shared" si="0"/>
        <v>1108</v>
      </c>
      <c r="G19" s="474">
        <f t="shared" si="1"/>
        <v>5831</v>
      </c>
      <c r="H19" s="474">
        <f t="shared" si="2"/>
        <v>13.878</v>
      </c>
      <c r="I19" s="474">
        <f t="shared" si="3"/>
        <v>291</v>
      </c>
    </row>
    <row r="20" spans="1:9">
      <c r="A20" s="624" t="s">
        <v>1724</v>
      </c>
      <c r="B20" s="353">
        <v>333</v>
      </c>
      <c r="C20" s="353">
        <v>500</v>
      </c>
      <c r="D20" s="473" t="s">
        <v>80</v>
      </c>
      <c r="E20" s="474">
        <v>2705</v>
      </c>
      <c r="F20" s="474">
        <f t="shared" si="0"/>
        <v>432</v>
      </c>
      <c r="G20" s="474">
        <f t="shared" si="1"/>
        <v>2273</v>
      </c>
      <c r="H20" s="474">
        <f t="shared" si="2"/>
        <v>5.41</v>
      </c>
      <c r="I20" s="474">
        <f t="shared" si="3"/>
        <v>1802</v>
      </c>
    </row>
    <row r="21" spans="1:9">
      <c r="A21" s="624" t="s">
        <v>1725</v>
      </c>
      <c r="B21" s="353">
        <v>9</v>
      </c>
      <c r="C21" s="353">
        <v>20</v>
      </c>
      <c r="D21" s="473" t="s">
        <v>74</v>
      </c>
      <c r="E21" s="474">
        <v>3919</v>
      </c>
      <c r="F21" s="474">
        <f t="shared" si="0"/>
        <v>626</v>
      </c>
      <c r="G21" s="474">
        <f t="shared" si="1"/>
        <v>3293</v>
      </c>
      <c r="H21" s="474">
        <f t="shared" si="2"/>
        <v>195.95</v>
      </c>
      <c r="I21" s="474">
        <f t="shared" si="3"/>
        <v>1764</v>
      </c>
    </row>
    <row r="22" spans="1:9">
      <c r="A22" s="624" t="s">
        <v>1726</v>
      </c>
      <c r="B22" s="353">
        <v>1257</v>
      </c>
      <c r="C22" s="353">
        <v>500</v>
      </c>
      <c r="D22" s="473" t="s">
        <v>78</v>
      </c>
      <c r="E22" s="474">
        <v>13525</v>
      </c>
      <c r="F22" s="474">
        <f t="shared" si="0"/>
        <v>2159</v>
      </c>
      <c r="G22" s="474">
        <f t="shared" si="1"/>
        <v>11366</v>
      </c>
      <c r="H22" s="474">
        <f t="shared" si="2"/>
        <v>27.05</v>
      </c>
      <c r="I22" s="474">
        <f t="shared" si="3"/>
        <v>34002</v>
      </c>
    </row>
    <row r="23" spans="1:9">
      <c r="A23" s="624" t="s">
        <v>1727</v>
      </c>
      <c r="B23" s="353">
        <v>2901</v>
      </c>
      <c r="C23" s="353">
        <v>500</v>
      </c>
      <c r="D23" s="473" t="s">
        <v>72</v>
      </c>
      <c r="E23" s="474">
        <v>10781</v>
      </c>
      <c r="F23" s="474">
        <f t="shared" si="0"/>
        <v>1721</v>
      </c>
      <c r="G23" s="474">
        <f t="shared" si="1"/>
        <v>9060</v>
      </c>
      <c r="H23" s="474">
        <f t="shared" si="2"/>
        <v>21.562000000000001</v>
      </c>
      <c r="I23" s="474">
        <f t="shared" si="3"/>
        <v>62551</v>
      </c>
    </row>
    <row r="24" spans="1:9">
      <c r="A24" s="624" t="s">
        <v>1728</v>
      </c>
      <c r="B24" s="353">
        <v>315</v>
      </c>
      <c r="C24" s="353">
        <v>500</v>
      </c>
      <c r="D24" s="473" t="s">
        <v>78</v>
      </c>
      <c r="E24" s="474">
        <v>16775</v>
      </c>
      <c r="F24" s="474">
        <f t="shared" si="0"/>
        <v>2678</v>
      </c>
      <c r="G24" s="474">
        <f t="shared" si="1"/>
        <v>14097</v>
      </c>
      <c r="H24" s="474">
        <f t="shared" si="2"/>
        <v>33.549999999999997</v>
      </c>
      <c r="I24" s="474">
        <f t="shared" si="3"/>
        <v>10568</v>
      </c>
    </row>
    <row r="25" spans="1:9">
      <c r="A25" s="624" t="s">
        <v>1729</v>
      </c>
      <c r="B25" s="353">
        <v>1317</v>
      </c>
      <c r="C25" s="353">
        <v>500</v>
      </c>
      <c r="D25" s="473" t="s">
        <v>78</v>
      </c>
      <c r="E25" s="474">
        <v>17575</v>
      </c>
      <c r="F25" s="474">
        <f t="shared" si="0"/>
        <v>2806</v>
      </c>
      <c r="G25" s="474">
        <f t="shared" si="1"/>
        <v>14769</v>
      </c>
      <c r="H25" s="474">
        <f t="shared" si="2"/>
        <v>35.15</v>
      </c>
      <c r="I25" s="474">
        <f t="shared" si="3"/>
        <v>46293</v>
      </c>
    </row>
    <row r="26" spans="1:9">
      <c r="A26" s="624" t="s">
        <v>1730</v>
      </c>
      <c r="B26" s="353">
        <v>630</v>
      </c>
      <c r="C26" s="353">
        <v>500</v>
      </c>
      <c r="D26" s="473" t="s">
        <v>78</v>
      </c>
      <c r="E26" s="474">
        <v>15650</v>
      </c>
      <c r="F26" s="474">
        <f t="shared" si="0"/>
        <v>2499</v>
      </c>
      <c r="G26" s="474">
        <f t="shared" si="1"/>
        <v>13151</v>
      </c>
      <c r="H26" s="474">
        <f t="shared" si="2"/>
        <v>31.3</v>
      </c>
      <c r="I26" s="474">
        <f t="shared" si="3"/>
        <v>19719</v>
      </c>
    </row>
    <row r="27" spans="1:9">
      <c r="A27" s="624" t="s">
        <v>1731</v>
      </c>
      <c r="B27" s="355">
        <v>42</v>
      </c>
      <c r="C27" s="355">
        <v>500</v>
      </c>
      <c r="D27" s="473" t="s">
        <v>74</v>
      </c>
      <c r="E27" s="474">
        <v>3348</v>
      </c>
      <c r="F27" s="474">
        <f t="shared" si="0"/>
        <v>535</v>
      </c>
      <c r="G27" s="474">
        <f t="shared" si="1"/>
        <v>2813</v>
      </c>
      <c r="H27" s="474">
        <f t="shared" si="2"/>
        <v>6.6959999999999997</v>
      </c>
      <c r="I27" s="474">
        <f t="shared" si="3"/>
        <v>281</v>
      </c>
    </row>
    <row r="28" spans="1:9">
      <c r="A28" s="625" t="s">
        <v>1732</v>
      </c>
      <c r="B28" s="353">
        <v>279</v>
      </c>
      <c r="C28" s="353">
        <v>500</v>
      </c>
      <c r="D28" s="473" t="s">
        <v>80</v>
      </c>
      <c r="E28" s="474">
        <v>3836</v>
      </c>
      <c r="F28" s="474">
        <f t="shared" si="0"/>
        <v>612</v>
      </c>
      <c r="G28" s="474">
        <f t="shared" si="1"/>
        <v>3224</v>
      </c>
      <c r="H28" s="474">
        <f t="shared" si="2"/>
        <v>7.6719999999999997</v>
      </c>
      <c r="I28" s="474">
        <f t="shared" si="3"/>
        <v>2140</v>
      </c>
    </row>
    <row r="29" spans="1:9">
      <c r="A29" s="624" t="s">
        <v>1733</v>
      </c>
      <c r="B29" s="353">
        <v>2538</v>
      </c>
      <c r="C29" s="353">
        <v>500</v>
      </c>
      <c r="D29" s="473" t="s">
        <v>80</v>
      </c>
      <c r="E29" s="474">
        <v>4713</v>
      </c>
      <c r="F29" s="474">
        <f t="shared" si="0"/>
        <v>752</v>
      </c>
      <c r="G29" s="474">
        <f t="shared" si="1"/>
        <v>3961</v>
      </c>
      <c r="H29" s="474">
        <f t="shared" si="2"/>
        <v>9.4260000000000002</v>
      </c>
      <c r="I29" s="474">
        <f t="shared" si="3"/>
        <v>23923</v>
      </c>
    </row>
    <row r="30" spans="1:9">
      <c r="A30" s="624" t="s">
        <v>1734</v>
      </c>
      <c r="B30" s="353">
        <v>63</v>
      </c>
      <c r="C30" s="353">
        <v>500</v>
      </c>
      <c r="D30" s="473" t="s">
        <v>80</v>
      </c>
      <c r="E30" s="474">
        <v>14390</v>
      </c>
      <c r="F30" s="474">
        <f t="shared" si="0"/>
        <v>2298</v>
      </c>
      <c r="G30" s="474">
        <f t="shared" si="1"/>
        <v>12092</v>
      </c>
      <c r="H30" s="474">
        <f t="shared" si="2"/>
        <v>28.78</v>
      </c>
      <c r="I30" s="474">
        <f t="shared" si="3"/>
        <v>1813</v>
      </c>
    </row>
    <row r="31" spans="1:9">
      <c r="A31" s="624" t="s">
        <v>1735</v>
      </c>
      <c r="B31" s="353">
        <v>129</v>
      </c>
      <c r="C31" s="353">
        <v>500</v>
      </c>
      <c r="D31" s="473" t="s">
        <v>74</v>
      </c>
      <c r="E31" s="474">
        <v>9594</v>
      </c>
      <c r="F31" s="474">
        <f t="shared" si="0"/>
        <v>1532</v>
      </c>
      <c r="G31" s="474">
        <f t="shared" si="1"/>
        <v>8062</v>
      </c>
      <c r="H31" s="474">
        <f t="shared" si="2"/>
        <v>19.187999999999999</v>
      </c>
      <c r="I31" s="474">
        <f t="shared" si="3"/>
        <v>2475</v>
      </c>
    </row>
    <row r="32" spans="1:9">
      <c r="A32" s="624" t="s">
        <v>1736</v>
      </c>
      <c r="B32" s="353">
        <v>93</v>
      </c>
      <c r="C32" s="353">
        <v>100</v>
      </c>
      <c r="D32" s="473" t="s">
        <v>80</v>
      </c>
      <c r="E32" s="474">
        <v>1235</v>
      </c>
      <c r="F32" s="474">
        <f t="shared" si="0"/>
        <v>197</v>
      </c>
      <c r="G32" s="474">
        <f t="shared" si="1"/>
        <v>1038</v>
      </c>
      <c r="H32" s="474">
        <f t="shared" si="2"/>
        <v>12.35</v>
      </c>
      <c r="I32" s="474">
        <f t="shared" si="3"/>
        <v>1149</v>
      </c>
    </row>
    <row r="33" spans="1:9">
      <c r="A33" s="624" t="s">
        <v>1737</v>
      </c>
      <c r="B33" s="353">
        <v>9</v>
      </c>
      <c r="C33" s="353">
        <v>500</v>
      </c>
      <c r="D33" s="473" t="s">
        <v>72</v>
      </c>
      <c r="E33" s="474">
        <v>7827</v>
      </c>
      <c r="F33" s="474">
        <f t="shared" si="0"/>
        <v>1250</v>
      </c>
      <c r="G33" s="474">
        <f t="shared" si="1"/>
        <v>6577</v>
      </c>
      <c r="H33" s="474">
        <f t="shared" si="2"/>
        <v>15.654</v>
      </c>
      <c r="I33" s="474">
        <f t="shared" si="3"/>
        <v>141</v>
      </c>
    </row>
    <row r="34" spans="1:9">
      <c r="A34" s="624" t="s">
        <v>1738</v>
      </c>
      <c r="B34" s="353">
        <v>219</v>
      </c>
      <c r="C34" s="353">
        <v>200</v>
      </c>
      <c r="D34" s="473" t="s">
        <v>76</v>
      </c>
      <c r="E34" s="474">
        <v>5102</v>
      </c>
      <c r="F34" s="474">
        <f t="shared" si="0"/>
        <v>815</v>
      </c>
      <c r="G34" s="474">
        <f t="shared" si="1"/>
        <v>4287</v>
      </c>
      <c r="H34" s="474">
        <f t="shared" si="2"/>
        <v>25.51</v>
      </c>
      <c r="I34" s="474">
        <f t="shared" si="3"/>
        <v>5587</v>
      </c>
    </row>
    <row r="35" spans="1:9">
      <c r="A35" s="625" t="s">
        <v>1739</v>
      </c>
      <c r="B35" s="353">
        <v>171</v>
      </c>
      <c r="C35" s="353">
        <v>30</v>
      </c>
      <c r="D35" s="473" t="s">
        <v>30</v>
      </c>
      <c r="E35" s="474">
        <v>529</v>
      </c>
      <c r="F35" s="474">
        <f t="shared" si="0"/>
        <v>84</v>
      </c>
      <c r="G35" s="474">
        <f t="shared" si="1"/>
        <v>445</v>
      </c>
      <c r="H35" s="474">
        <f t="shared" si="2"/>
        <v>17.633333333333333</v>
      </c>
      <c r="I35" s="474">
        <f t="shared" si="3"/>
        <v>3015</v>
      </c>
    </row>
    <row r="36" spans="1:9">
      <c r="A36" s="624" t="s">
        <v>1740</v>
      </c>
      <c r="B36" s="353">
        <v>42</v>
      </c>
      <c r="C36" s="353">
        <v>500</v>
      </c>
      <c r="D36" s="473" t="s">
        <v>74</v>
      </c>
      <c r="E36" s="474">
        <v>5156</v>
      </c>
      <c r="F36" s="474">
        <f t="shared" si="0"/>
        <v>823</v>
      </c>
      <c r="G36" s="474">
        <f t="shared" si="1"/>
        <v>4333</v>
      </c>
      <c r="H36" s="474">
        <f t="shared" si="2"/>
        <v>10.311999999999999</v>
      </c>
      <c r="I36" s="474">
        <f t="shared" si="3"/>
        <v>433</v>
      </c>
    </row>
    <row r="37" spans="1:9">
      <c r="A37" s="625" t="s">
        <v>1741</v>
      </c>
      <c r="B37" s="353">
        <v>21</v>
      </c>
      <c r="C37" s="353">
        <v>500</v>
      </c>
      <c r="D37" s="473" t="s">
        <v>74</v>
      </c>
      <c r="E37" s="474">
        <v>2690</v>
      </c>
      <c r="F37" s="474">
        <f t="shared" si="0"/>
        <v>429</v>
      </c>
      <c r="G37" s="474">
        <f t="shared" si="1"/>
        <v>2261</v>
      </c>
      <c r="H37" s="474">
        <f t="shared" si="2"/>
        <v>5.38</v>
      </c>
      <c r="I37" s="474">
        <f t="shared" si="3"/>
        <v>113</v>
      </c>
    </row>
    <row r="38" spans="1:9">
      <c r="A38" s="624" t="s">
        <v>1742</v>
      </c>
      <c r="B38" s="355">
        <v>600</v>
      </c>
      <c r="C38" s="355">
        <v>500</v>
      </c>
      <c r="D38" s="473" t="s">
        <v>80</v>
      </c>
      <c r="E38" s="474">
        <v>3304</v>
      </c>
      <c r="F38" s="474">
        <f t="shared" si="0"/>
        <v>528</v>
      </c>
      <c r="G38" s="474">
        <f t="shared" si="1"/>
        <v>2776</v>
      </c>
      <c r="H38" s="474">
        <f t="shared" si="2"/>
        <v>6.6079999999999997</v>
      </c>
      <c r="I38" s="474">
        <f t="shared" si="3"/>
        <v>3965</v>
      </c>
    </row>
    <row r="39" spans="1:9">
      <c r="A39" s="625" t="s">
        <v>1743</v>
      </c>
      <c r="B39" s="353">
        <v>435</v>
      </c>
      <c r="C39" s="353">
        <v>500</v>
      </c>
      <c r="D39" s="473" t="s">
        <v>80</v>
      </c>
      <c r="E39" s="474">
        <v>4645</v>
      </c>
      <c r="F39" s="474">
        <f t="shared" si="0"/>
        <v>742</v>
      </c>
      <c r="G39" s="474">
        <f t="shared" si="1"/>
        <v>3903</v>
      </c>
      <c r="H39" s="474">
        <f t="shared" si="2"/>
        <v>9.2899999999999991</v>
      </c>
      <c r="I39" s="474">
        <f t="shared" si="3"/>
        <v>4041</v>
      </c>
    </row>
    <row r="40" spans="1:9">
      <c r="A40" s="625" t="s">
        <v>1744</v>
      </c>
      <c r="B40" s="353">
        <v>120</v>
      </c>
      <c r="C40" s="353">
        <v>720</v>
      </c>
      <c r="D40" s="473" t="s">
        <v>74</v>
      </c>
      <c r="E40" s="474">
        <v>22274</v>
      </c>
      <c r="F40" s="474">
        <f t="shared" si="0"/>
        <v>3556</v>
      </c>
      <c r="G40" s="474">
        <f t="shared" si="1"/>
        <v>18718</v>
      </c>
      <c r="H40" s="474">
        <f t="shared" si="2"/>
        <v>30.93611111111111</v>
      </c>
      <c r="I40" s="474">
        <f t="shared" si="3"/>
        <v>3712</v>
      </c>
    </row>
    <row r="41" spans="1:9">
      <c r="A41" s="624" t="s">
        <v>1745</v>
      </c>
      <c r="B41" s="353">
        <v>672</v>
      </c>
      <c r="C41" s="353">
        <v>500</v>
      </c>
      <c r="D41" s="473" t="s">
        <v>80</v>
      </c>
      <c r="E41" s="474">
        <v>7740</v>
      </c>
      <c r="F41" s="474">
        <f t="shared" si="0"/>
        <v>1236</v>
      </c>
      <c r="G41" s="474">
        <f t="shared" si="1"/>
        <v>6504</v>
      </c>
      <c r="H41" s="474">
        <f t="shared" si="2"/>
        <v>15.48</v>
      </c>
      <c r="I41" s="474">
        <f t="shared" si="3"/>
        <v>10403</v>
      </c>
    </row>
    <row r="42" spans="1:9">
      <c r="A42" s="624" t="s">
        <v>1746</v>
      </c>
      <c r="B42" s="353">
        <v>1083</v>
      </c>
      <c r="C42" s="353">
        <v>500</v>
      </c>
      <c r="D42" s="473" t="s">
        <v>80</v>
      </c>
      <c r="E42" s="474">
        <v>9255</v>
      </c>
      <c r="F42" s="474">
        <f t="shared" si="0"/>
        <v>1478</v>
      </c>
      <c r="G42" s="474">
        <f t="shared" si="1"/>
        <v>7777</v>
      </c>
      <c r="H42" s="474">
        <f t="shared" si="2"/>
        <v>18.510000000000002</v>
      </c>
      <c r="I42" s="474">
        <f t="shared" si="3"/>
        <v>20046</v>
      </c>
    </row>
    <row r="43" spans="1:9">
      <c r="A43" s="624" t="s">
        <v>1747</v>
      </c>
      <c r="B43" s="355">
        <v>114</v>
      </c>
      <c r="C43" s="355">
        <v>500</v>
      </c>
      <c r="D43" s="473" t="s">
        <v>74</v>
      </c>
      <c r="E43" s="474">
        <v>5326</v>
      </c>
      <c r="F43" s="474">
        <f t="shared" si="0"/>
        <v>850</v>
      </c>
      <c r="G43" s="474">
        <f t="shared" si="1"/>
        <v>4476</v>
      </c>
      <c r="H43" s="474">
        <f t="shared" si="2"/>
        <v>10.651999999999999</v>
      </c>
      <c r="I43" s="474">
        <f t="shared" si="3"/>
        <v>1214</v>
      </c>
    </row>
    <row r="44" spans="1:9">
      <c r="A44" s="624" t="s">
        <v>1748</v>
      </c>
      <c r="B44" s="353">
        <v>159</v>
      </c>
      <c r="C44" s="353">
        <v>300</v>
      </c>
      <c r="D44" s="473" t="s">
        <v>74</v>
      </c>
      <c r="E44" s="474">
        <v>5919</v>
      </c>
      <c r="F44" s="474">
        <f t="shared" si="0"/>
        <v>945</v>
      </c>
      <c r="G44" s="474">
        <f t="shared" si="1"/>
        <v>4974</v>
      </c>
      <c r="H44" s="474">
        <f t="shared" si="2"/>
        <v>19.73</v>
      </c>
      <c r="I44" s="474">
        <f t="shared" si="3"/>
        <v>3137</v>
      </c>
    </row>
    <row r="45" spans="1:9">
      <c r="A45" s="626" t="s">
        <v>1749</v>
      </c>
      <c r="B45" s="353">
        <v>81</v>
      </c>
      <c r="C45" s="353">
        <v>415</v>
      </c>
      <c r="D45" s="475" t="s">
        <v>74</v>
      </c>
      <c r="E45" s="474">
        <v>8704</v>
      </c>
      <c r="F45" s="474">
        <f t="shared" si="0"/>
        <v>1390</v>
      </c>
      <c r="G45" s="474">
        <f t="shared" si="1"/>
        <v>7314</v>
      </c>
      <c r="H45" s="474">
        <f t="shared" si="2"/>
        <v>20.973493975903615</v>
      </c>
      <c r="I45" s="474">
        <f t="shared" si="3"/>
        <v>1699</v>
      </c>
    </row>
    <row r="46" spans="1:9">
      <c r="A46" s="624" t="s">
        <v>1750</v>
      </c>
      <c r="B46" s="353">
        <v>96</v>
      </c>
      <c r="C46" s="353">
        <v>432</v>
      </c>
      <c r="D46" s="473" t="s">
        <v>74</v>
      </c>
      <c r="E46" s="474">
        <v>9656</v>
      </c>
      <c r="F46" s="474">
        <f t="shared" si="0"/>
        <v>1542</v>
      </c>
      <c r="G46" s="474">
        <f t="shared" si="1"/>
        <v>8114</v>
      </c>
      <c r="H46" s="474">
        <f t="shared" si="2"/>
        <v>22.351851851851851</v>
      </c>
      <c r="I46" s="474">
        <f t="shared" si="3"/>
        <v>2146</v>
      </c>
    </row>
    <row r="47" spans="1:9">
      <c r="A47" s="624" t="s">
        <v>1751</v>
      </c>
      <c r="B47" s="353">
        <v>280</v>
      </c>
      <c r="C47" s="353">
        <v>50</v>
      </c>
      <c r="D47" s="473" t="s">
        <v>30</v>
      </c>
      <c r="E47" s="474">
        <v>1605</v>
      </c>
      <c r="F47" s="474">
        <f t="shared" si="0"/>
        <v>256</v>
      </c>
      <c r="G47" s="474">
        <f t="shared" si="1"/>
        <v>1349</v>
      </c>
      <c r="H47" s="474">
        <f t="shared" si="2"/>
        <v>32.1</v>
      </c>
      <c r="I47" s="474">
        <f t="shared" si="3"/>
        <v>8988</v>
      </c>
    </row>
    <row r="48" spans="1:9">
      <c r="A48" s="624" t="s">
        <v>1752</v>
      </c>
      <c r="B48" s="353">
        <v>40</v>
      </c>
      <c r="C48" s="353">
        <v>500</v>
      </c>
      <c r="D48" s="473" t="s">
        <v>74</v>
      </c>
      <c r="E48" s="474">
        <v>4559</v>
      </c>
      <c r="F48" s="474">
        <f t="shared" si="0"/>
        <v>728</v>
      </c>
      <c r="G48" s="474">
        <f t="shared" si="1"/>
        <v>3831</v>
      </c>
      <c r="H48" s="474">
        <f t="shared" si="2"/>
        <v>9.1180000000000003</v>
      </c>
      <c r="I48" s="474">
        <f t="shared" si="3"/>
        <v>365</v>
      </c>
    </row>
    <row r="49" spans="1:9">
      <c r="A49" s="625" t="s">
        <v>1753</v>
      </c>
      <c r="B49" s="353">
        <v>240</v>
      </c>
      <c r="C49" s="353">
        <v>500</v>
      </c>
      <c r="D49" s="473" t="s">
        <v>80</v>
      </c>
      <c r="E49" s="474">
        <v>7686</v>
      </c>
      <c r="F49" s="474">
        <f t="shared" si="0"/>
        <v>1227</v>
      </c>
      <c r="G49" s="474">
        <f t="shared" si="1"/>
        <v>6459</v>
      </c>
      <c r="H49" s="474">
        <f t="shared" si="2"/>
        <v>15.372</v>
      </c>
      <c r="I49" s="474">
        <f t="shared" si="3"/>
        <v>3689</v>
      </c>
    </row>
    <row r="50" spans="1:9">
      <c r="A50" s="624" t="s">
        <v>1754</v>
      </c>
      <c r="B50" s="353">
        <v>700</v>
      </c>
      <c r="C50" s="353">
        <v>500</v>
      </c>
      <c r="D50" s="473" t="s">
        <v>80</v>
      </c>
      <c r="E50" s="474">
        <v>6438</v>
      </c>
      <c r="F50" s="474">
        <f t="shared" si="0"/>
        <v>1028</v>
      </c>
      <c r="G50" s="474">
        <f t="shared" si="1"/>
        <v>5410</v>
      </c>
      <c r="H50" s="474">
        <f t="shared" si="2"/>
        <v>12.875999999999999</v>
      </c>
      <c r="I50" s="474">
        <f t="shared" si="3"/>
        <v>9013</v>
      </c>
    </row>
    <row r="51" spans="1:9">
      <c r="A51" s="624" t="s">
        <v>1755</v>
      </c>
      <c r="B51" s="353">
        <v>9</v>
      </c>
      <c r="C51" s="353">
        <v>50</v>
      </c>
      <c r="D51" s="473" t="s">
        <v>80</v>
      </c>
      <c r="E51" s="474">
        <v>4130</v>
      </c>
      <c r="F51" s="474">
        <f t="shared" si="0"/>
        <v>659</v>
      </c>
      <c r="G51" s="474">
        <f t="shared" si="1"/>
        <v>3471</v>
      </c>
      <c r="H51" s="474">
        <f t="shared" si="2"/>
        <v>82.6</v>
      </c>
      <c r="I51" s="474">
        <f t="shared" si="3"/>
        <v>743</v>
      </c>
    </row>
    <row r="52" spans="1:9">
      <c r="A52" s="624" t="s">
        <v>1756</v>
      </c>
      <c r="B52" s="353">
        <v>933</v>
      </c>
      <c r="C52" s="353">
        <v>500</v>
      </c>
      <c r="D52" s="473" t="s">
        <v>80</v>
      </c>
      <c r="E52" s="474">
        <v>4260</v>
      </c>
      <c r="F52" s="474">
        <f t="shared" si="0"/>
        <v>680</v>
      </c>
      <c r="G52" s="474">
        <f t="shared" si="1"/>
        <v>3580</v>
      </c>
      <c r="H52" s="474">
        <f t="shared" si="2"/>
        <v>8.52</v>
      </c>
      <c r="I52" s="474">
        <f t="shared" si="3"/>
        <v>7949</v>
      </c>
    </row>
    <row r="53" spans="1:9">
      <c r="A53" s="624" t="s">
        <v>1757</v>
      </c>
      <c r="B53" s="353">
        <v>888</v>
      </c>
      <c r="C53" s="353">
        <v>500</v>
      </c>
      <c r="D53" s="473" t="s">
        <v>80</v>
      </c>
      <c r="E53" s="474">
        <v>4180</v>
      </c>
      <c r="F53" s="474">
        <f t="shared" si="0"/>
        <v>667</v>
      </c>
      <c r="G53" s="474">
        <f t="shared" si="1"/>
        <v>3513</v>
      </c>
      <c r="H53" s="474">
        <f t="shared" si="2"/>
        <v>8.36</v>
      </c>
      <c r="I53" s="474">
        <f t="shared" si="3"/>
        <v>7424</v>
      </c>
    </row>
    <row r="54" spans="1:9" ht="25.5">
      <c r="A54" s="624" t="s">
        <v>1758</v>
      </c>
      <c r="B54" s="353">
        <v>213</v>
      </c>
      <c r="C54" s="353">
        <v>1000</v>
      </c>
      <c r="D54" s="473" t="s">
        <v>74</v>
      </c>
      <c r="E54" s="474">
        <v>3266</v>
      </c>
      <c r="F54" s="474">
        <f t="shared" si="0"/>
        <v>521</v>
      </c>
      <c r="G54" s="474">
        <f t="shared" si="1"/>
        <v>2745</v>
      </c>
      <c r="H54" s="474">
        <f t="shared" si="2"/>
        <v>3.266</v>
      </c>
      <c r="I54" s="474">
        <f t="shared" si="3"/>
        <v>696</v>
      </c>
    </row>
    <row r="55" spans="1:9">
      <c r="A55" s="625" t="s">
        <v>1759</v>
      </c>
      <c r="B55" s="353">
        <v>69</v>
      </c>
      <c r="C55" s="353">
        <v>500</v>
      </c>
      <c r="D55" s="473" t="s">
        <v>74</v>
      </c>
      <c r="E55" s="474">
        <v>9487</v>
      </c>
      <c r="F55" s="474">
        <f t="shared" si="0"/>
        <v>1515</v>
      </c>
      <c r="G55" s="474">
        <f t="shared" si="1"/>
        <v>7972</v>
      </c>
      <c r="H55" s="474">
        <f t="shared" si="2"/>
        <v>18.974</v>
      </c>
      <c r="I55" s="474">
        <f t="shared" si="3"/>
        <v>1309</v>
      </c>
    </row>
    <row r="56" spans="1:9">
      <c r="A56" s="627" t="s">
        <v>1760</v>
      </c>
      <c r="B56" s="353">
        <v>132</v>
      </c>
      <c r="C56" s="353">
        <v>500</v>
      </c>
      <c r="D56" s="473" t="s">
        <v>74</v>
      </c>
      <c r="E56" s="474">
        <v>1879</v>
      </c>
      <c r="F56" s="474">
        <f t="shared" si="0"/>
        <v>300</v>
      </c>
      <c r="G56" s="474">
        <f t="shared" si="1"/>
        <v>1579</v>
      </c>
      <c r="H56" s="474">
        <f t="shared" si="2"/>
        <v>3.758</v>
      </c>
      <c r="I56" s="474">
        <f t="shared" si="3"/>
        <v>496</v>
      </c>
    </row>
    <row r="57" spans="1:9">
      <c r="A57" s="624" t="s">
        <v>1761</v>
      </c>
      <c r="B57" s="353">
        <v>315</v>
      </c>
      <c r="C57" s="353">
        <v>500</v>
      </c>
      <c r="D57" s="476" t="s">
        <v>78</v>
      </c>
      <c r="E57" s="474">
        <v>13550</v>
      </c>
      <c r="F57" s="474">
        <f t="shared" si="0"/>
        <v>2163</v>
      </c>
      <c r="G57" s="474">
        <f t="shared" si="1"/>
        <v>11387</v>
      </c>
      <c r="H57" s="474">
        <f t="shared" si="2"/>
        <v>27.1</v>
      </c>
      <c r="I57" s="474">
        <f t="shared" si="3"/>
        <v>8537</v>
      </c>
    </row>
    <row r="58" spans="1:9">
      <c r="A58" s="624" t="s">
        <v>1762</v>
      </c>
      <c r="B58" s="353">
        <v>1458</v>
      </c>
      <c r="C58" s="353">
        <v>1800</v>
      </c>
      <c r="D58" s="477" t="s">
        <v>80</v>
      </c>
      <c r="E58" s="474">
        <v>21392</v>
      </c>
      <c r="F58" s="474">
        <f t="shared" si="0"/>
        <v>3416</v>
      </c>
      <c r="G58" s="474">
        <f t="shared" si="1"/>
        <v>17976</v>
      </c>
      <c r="H58" s="474">
        <f t="shared" si="2"/>
        <v>11.884444444444444</v>
      </c>
      <c r="I58" s="474">
        <f t="shared" si="3"/>
        <v>17328</v>
      </c>
    </row>
    <row r="59" spans="1:9">
      <c r="A59" s="625" t="s">
        <v>1763</v>
      </c>
      <c r="B59" s="353">
        <v>1143</v>
      </c>
      <c r="C59" s="353">
        <v>1000</v>
      </c>
      <c r="D59" s="478" t="s">
        <v>76</v>
      </c>
      <c r="E59" s="474">
        <v>7644</v>
      </c>
      <c r="F59" s="474">
        <f t="shared" si="0"/>
        <v>1220</v>
      </c>
      <c r="G59" s="474">
        <f t="shared" si="1"/>
        <v>6424</v>
      </c>
      <c r="H59" s="474">
        <f t="shared" si="2"/>
        <v>7.6440000000000001</v>
      </c>
      <c r="I59" s="474">
        <f t="shared" si="3"/>
        <v>8737</v>
      </c>
    </row>
    <row r="60" spans="1:9">
      <c r="A60" s="624" t="s">
        <v>1764</v>
      </c>
      <c r="B60" s="356">
        <v>15</v>
      </c>
      <c r="C60" s="355">
        <v>50</v>
      </c>
      <c r="D60" s="479" t="s">
        <v>80</v>
      </c>
      <c r="E60" s="474">
        <v>4086</v>
      </c>
      <c r="F60" s="474">
        <f t="shared" si="0"/>
        <v>652</v>
      </c>
      <c r="G60" s="474">
        <f t="shared" si="1"/>
        <v>3434</v>
      </c>
      <c r="H60" s="474">
        <f t="shared" si="2"/>
        <v>81.72</v>
      </c>
      <c r="I60" s="474">
        <f t="shared" si="3"/>
        <v>1226</v>
      </c>
    </row>
    <row r="61" spans="1:9" ht="25.5">
      <c r="A61" s="625" t="s">
        <v>1765</v>
      </c>
      <c r="B61" s="353">
        <v>17814</v>
      </c>
      <c r="C61" s="353">
        <v>1100</v>
      </c>
      <c r="D61" s="480" t="s">
        <v>76</v>
      </c>
      <c r="E61" s="474">
        <v>5223</v>
      </c>
      <c r="F61" s="474">
        <f t="shared" si="0"/>
        <v>834</v>
      </c>
      <c r="G61" s="474">
        <f t="shared" si="1"/>
        <v>4389</v>
      </c>
      <c r="H61" s="474">
        <f t="shared" si="2"/>
        <v>4.7481818181818181</v>
      </c>
      <c r="I61" s="474">
        <f t="shared" si="3"/>
        <v>84584</v>
      </c>
    </row>
    <row r="62" spans="1:9">
      <c r="A62" s="624" t="s">
        <v>1766</v>
      </c>
      <c r="B62" s="353">
        <v>130</v>
      </c>
      <c r="C62" s="353">
        <v>500</v>
      </c>
      <c r="D62" s="481" t="s">
        <v>80</v>
      </c>
      <c r="E62" s="474">
        <v>3097</v>
      </c>
      <c r="F62" s="474">
        <f t="shared" si="0"/>
        <v>494</v>
      </c>
      <c r="G62" s="474">
        <f t="shared" si="1"/>
        <v>2603</v>
      </c>
      <c r="H62" s="474">
        <f t="shared" si="2"/>
        <v>6.194</v>
      </c>
      <c r="I62" s="474">
        <f t="shared" si="3"/>
        <v>805</v>
      </c>
    </row>
    <row r="63" spans="1:9">
      <c r="A63" s="624" t="s">
        <v>1767</v>
      </c>
      <c r="B63" s="353">
        <v>80</v>
      </c>
      <c r="C63" s="353">
        <v>500</v>
      </c>
      <c r="D63" s="482" t="s">
        <v>74</v>
      </c>
      <c r="E63" s="474">
        <v>3315</v>
      </c>
      <c r="F63" s="474">
        <f t="shared" si="0"/>
        <v>529</v>
      </c>
      <c r="G63" s="474">
        <f t="shared" si="1"/>
        <v>2786</v>
      </c>
      <c r="H63" s="474">
        <f t="shared" si="2"/>
        <v>6.63</v>
      </c>
      <c r="I63" s="474">
        <f t="shared" si="3"/>
        <v>530</v>
      </c>
    </row>
    <row r="64" spans="1:9">
      <c r="A64" s="624" t="s">
        <v>1768</v>
      </c>
      <c r="B64" s="353">
        <v>60</v>
      </c>
      <c r="C64" s="353">
        <v>500</v>
      </c>
      <c r="D64" s="483" t="s">
        <v>80</v>
      </c>
      <c r="E64" s="474">
        <v>2397</v>
      </c>
      <c r="F64" s="474">
        <f t="shared" si="0"/>
        <v>383</v>
      </c>
      <c r="G64" s="474">
        <f t="shared" si="1"/>
        <v>2014</v>
      </c>
      <c r="H64" s="474">
        <f t="shared" si="2"/>
        <v>4.7939999999999996</v>
      </c>
      <c r="I64" s="474">
        <f t="shared" si="3"/>
        <v>288</v>
      </c>
    </row>
    <row r="65" spans="1:9">
      <c r="A65" s="624" t="s">
        <v>1769</v>
      </c>
      <c r="B65" s="353">
        <v>560</v>
      </c>
      <c r="C65" s="353">
        <v>500</v>
      </c>
      <c r="D65" s="484" t="s">
        <v>80</v>
      </c>
      <c r="E65" s="474">
        <v>4665</v>
      </c>
      <c r="F65" s="474">
        <f t="shared" si="0"/>
        <v>745</v>
      </c>
      <c r="G65" s="474">
        <f t="shared" si="1"/>
        <v>3920</v>
      </c>
      <c r="H65" s="474">
        <f t="shared" si="2"/>
        <v>9.33</v>
      </c>
      <c r="I65" s="474">
        <f t="shared" si="3"/>
        <v>5225</v>
      </c>
    </row>
    <row r="66" spans="1:9">
      <c r="A66" s="628" t="s">
        <v>1770</v>
      </c>
      <c r="B66" s="353">
        <v>129</v>
      </c>
      <c r="C66" s="353">
        <v>500</v>
      </c>
      <c r="D66" s="485" t="s">
        <v>74</v>
      </c>
      <c r="E66" s="474">
        <v>1922</v>
      </c>
      <c r="F66" s="474">
        <f t="shared" si="0"/>
        <v>307</v>
      </c>
      <c r="G66" s="474">
        <f t="shared" si="1"/>
        <v>1615</v>
      </c>
      <c r="H66" s="474">
        <f t="shared" si="2"/>
        <v>3.8439999999999999</v>
      </c>
      <c r="I66" s="474">
        <f t="shared" si="3"/>
        <v>496</v>
      </c>
    </row>
    <row r="67" spans="1:9">
      <c r="A67" s="625" t="s">
        <v>1771</v>
      </c>
      <c r="B67" s="353">
        <v>552</v>
      </c>
      <c r="C67" s="353">
        <v>500</v>
      </c>
      <c r="D67" s="486" t="s">
        <v>80</v>
      </c>
      <c r="E67" s="474">
        <v>3876</v>
      </c>
      <c r="F67" s="474">
        <f t="shared" si="0"/>
        <v>619</v>
      </c>
      <c r="G67" s="474">
        <f t="shared" si="1"/>
        <v>3257</v>
      </c>
      <c r="H67" s="474">
        <f t="shared" si="2"/>
        <v>7.7519999999999998</v>
      </c>
      <c r="I67" s="474">
        <f t="shared" si="3"/>
        <v>4279</v>
      </c>
    </row>
    <row r="68" spans="1:9">
      <c r="A68" s="625" t="s">
        <v>1772</v>
      </c>
      <c r="B68" s="353">
        <v>2229</v>
      </c>
      <c r="C68" s="353">
        <v>500</v>
      </c>
      <c r="D68" s="486" t="s">
        <v>80</v>
      </c>
      <c r="E68" s="474">
        <v>3660</v>
      </c>
      <c r="F68" s="474">
        <f t="shared" si="0"/>
        <v>584</v>
      </c>
      <c r="G68" s="474">
        <f t="shared" si="1"/>
        <v>3076</v>
      </c>
      <c r="H68" s="474">
        <f t="shared" si="2"/>
        <v>7.32</v>
      </c>
      <c r="I68" s="474">
        <f t="shared" si="3"/>
        <v>16316</v>
      </c>
    </row>
    <row r="69" spans="1:9">
      <c r="A69" s="624" t="s">
        <v>1773</v>
      </c>
      <c r="B69" s="353">
        <v>171</v>
      </c>
      <c r="C69" s="353">
        <v>30</v>
      </c>
      <c r="D69" s="487" t="s">
        <v>30</v>
      </c>
      <c r="E69" s="474">
        <v>682</v>
      </c>
      <c r="F69" s="474">
        <f t="shared" ref="F69:F124" si="4">E69-G69</f>
        <v>109</v>
      </c>
      <c r="G69" s="474">
        <f t="shared" ref="G69:G124" si="5">ROUND((E69/1.19),0)</f>
        <v>573</v>
      </c>
      <c r="H69" s="474">
        <f t="shared" ref="H69:H124" si="6">+E69/C69</f>
        <v>22.733333333333334</v>
      </c>
      <c r="I69" s="474">
        <f t="shared" ref="I69:I124" si="7">ROUND(H69*B69,0)</f>
        <v>3887</v>
      </c>
    </row>
    <row r="70" spans="1:9">
      <c r="A70" s="625" t="s">
        <v>1774</v>
      </c>
      <c r="B70" s="353">
        <v>45</v>
      </c>
      <c r="C70" s="353">
        <v>250</v>
      </c>
      <c r="D70" s="488" t="s">
        <v>76</v>
      </c>
      <c r="E70" s="474">
        <v>14290</v>
      </c>
      <c r="F70" s="474">
        <f t="shared" si="4"/>
        <v>2282</v>
      </c>
      <c r="G70" s="474">
        <f t="shared" si="5"/>
        <v>12008</v>
      </c>
      <c r="H70" s="474">
        <f t="shared" si="6"/>
        <v>57.16</v>
      </c>
      <c r="I70" s="474">
        <f t="shared" si="7"/>
        <v>2572</v>
      </c>
    </row>
    <row r="71" spans="1:9">
      <c r="A71" s="625" t="s">
        <v>1775</v>
      </c>
      <c r="B71" s="353">
        <v>900</v>
      </c>
      <c r="C71" s="353">
        <v>500</v>
      </c>
      <c r="D71" s="489" t="s">
        <v>80</v>
      </c>
      <c r="E71" s="474">
        <v>7498</v>
      </c>
      <c r="F71" s="474">
        <f t="shared" si="4"/>
        <v>1197</v>
      </c>
      <c r="G71" s="474">
        <f t="shared" si="5"/>
        <v>6301</v>
      </c>
      <c r="H71" s="474">
        <f t="shared" si="6"/>
        <v>14.996</v>
      </c>
      <c r="I71" s="474">
        <f t="shared" si="7"/>
        <v>13496</v>
      </c>
    </row>
    <row r="72" spans="1:9">
      <c r="A72" s="624" t="s">
        <v>1776</v>
      </c>
      <c r="B72" s="353">
        <v>1905</v>
      </c>
      <c r="C72" s="353">
        <v>500</v>
      </c>
      <c r="D72" s="489" t="s">
        <v>80</v>
      </c>
      <c r="E72" s="474">
        <v>4549</v>
      </c>
      <c r="F72" s="474">
        <f t="shared" si="4"/>
        <v>726</v>
      </c>
      <c r="G72" s="474">
        <f t="shared" si="5"/>
        <v>3823</v>
      </c>
      <c r="H72" s="474">
        <f t="shared" si="6"/>
        <v>9.0980000000000008</v>
      </c>
      <c r="I72" s="474">
        <f t="shared" si="7"/>
        <v>17332</v>
      </c>
    </row>
    <row r="73" spans="1:9" ht="25.5">
      <c r="A73" s="624" t="s">
        <v>1777</v>
      </c>
      <c r="B73" s="353">
        <v>84</v>
      </c>
      <c r="C73" s="353">
        <v>250</v>
      </c>
      <c r="D73" s="490" t="s">
        <v>74</v>
      </c>
      <c r="E73" s="474">
        <v>4854</v>
      </c>
      <c r="F73" s="474">
        <f t="shared" si="4"/>
        <v>775</v>
      </c>
      <c r="G73" s="474">
        <f t="shared" si="5"/>
        <v>4079</v>
      </c>
      <c r="H73" s="474">
        <f t="shared" si="6"/>
        <v>19.416</v>
      </c>
      <c r="I73" s="474">
        <f t="shared" si="7"/>
        <v>1631</v>
      </c>
    </row>
    <row r="74" spans="1:9">
      <c r="A74" s="625" t="s">
        <v>1778</v>
      </c>
      <c r="B74" s="353">
        <v>75</v>
      </c>
      <c r="C74" s="353">
        <v>600</v>
      </c>
      <c r="D74" s="491" t="s">
        <v>74</v>
      </c>
      <c r="E74" s="474">
        <v>14997</v>
      </c>
      <c r="F74" s="474">
        <f t="shared" si="4"/>
        <v>2394</v>
      </c>
      <c r="G74" s="474">
        <f t="shared" si="5"/>
        <v>12603</v>
      </c>
      <c r="H74" s="474">
        <f t="shared" si="6"/>
        <v>24.995000000000001</v>
      </c>
      <c r="I74" s="474">
        <f t="shared" si="7"/>
        <v>1875</v>
      </c>
    </row>
    <row r="75" spans="1:9">
      <c r="A75" s="625" t="s">
        <v>1779</v>
      </c>
      <c r="B75" s="353">
        <v>1629</v>
      </c>
      <c r="C75" s="353">
        <v>500</v>
      </c>
      <c r="D75" s="489" t="s">
        <v>80</v>
      </c>
      <c r="E75" s="474">
        <v>6377</v>
      </c>
      <c r="F75" s="474">
        <f t="shared" si="4"/>
        <v>1018</v>
      </c>
      <c r="G75" s="474">
        <f t="shared" si="5"/>
        <v>5359</v>
      </c>
      <c r="H75" s="474">
        <f t="shared" si="6"/>
        <v>12.754</v>
      </c>
      <c r="I75" s="474">
        <f t="shared" si="7"/>
        <v>20776</v>
      </c>
    </row>
    <row r="76" spans="1:9">
      <c r="A76" s="624" t="s">
        <v>1780</v>
      </c>
      <c r="B76" s="353">
        <v>87</v>
      </c>
      <c r="C76" s="353">
        <v>500</v>
      </c>
      <c r="D76" s="492" t="s">
        <v>78</v>
      </c>
      <c r="E76" s="474">
        <v>12750</v>
      </c>
      <c r="F76" s="474">
        <f t="shared" si="4"/>
        <v>2036</v>
      </c>
      <c r="G76" s="474">
        <f t="shared" si="5"/>
        <v>10714</v>
      </c>
      <c r="H76" s="474">
        <f t="shared" si="6"/>
        <v>25.5</v>
      </c>
      <c r="I76" s="474">
        <f t="shared" si="7"/>
        <v>2219</v>
      </c>
    </row>
    <row r="77" spans="1:9">
      <c r="A77" s="629" t="s">
        <v>1781</v>
      </c>
      <c r="B77" s="353">
        <v>1287</v>
      </c>
      <c r="C77" s="353">
        <v>450</v>
      </c>
      <c r="D77" s="493" t="s">
        <v>78</v>
      </c>
      <c r="E77" s="474">
        <v>19500</v>
      </c>
      <c r="F77" s="474">
        <f t="shared" si="4"/>
        <v>3113</v>
      </c>
      <c r="G77" s="474">
        <f t="shared" si="5"/>
        <v>16387</v>
      </c>
      <c r="H77" s="474">
        <f t="shared" si="6"/>
        <v>43.333333333333336</v>
      </c>
      <c r="I77" s="474">
        <f t="shared" si="7"/>
        <v>55770</v>
      </c>
    </row>
    <row r="78" spans="1:9">
      <c r="A78" s="625" t="s">
        <v>1782</v>
      </c>
      <c r="B78" s="353">
        <v>30</v>
      </c>
      <c r="C78" s="353">
        <v>500</v>
      </c>
      <c r="D78" s="494" t="s">
        <v>74</v>
      </c>
      <c r="E78" s="474">
        <v>27551</v>
      </c>
      <c r="F78" s="474">
        <f t="shared" si="4"/>
        <v>4399</v>
      </c>
      <c r="G78" s="474">
        <f t="shared" si="5"/>
        <v>23152</v>
      </c>
      <c r="H78" s="474">
        <f t="shared" si="6"/>
        <v>55.101999999999997</v>
      </c>
      <c r="I78" s="474">
        <f t="shared" si="7"/>
        <v>1653</v>
      </c>
    </row>
    <row r="79" spans="1:9">
      <c r="A79" s="624" t="s">
        <v>1783</v>
      </c>
      <c r="B79" s="353">
        <v>129</v>
      </c>
      <c r="C79" s="353">
        <v>50</v>
      </c>
      <c r="D79" s="495" t="s">
        <v>30</v>
      </c>
      <c r="E79" s="474">
        <v>436</v>
      </c>
      <c r="F79" s="474">
        <f t="shared" si="4"/>
        <v>70</v>
      </c>
      <c r="G79" s="474">
        <f t="shared" si="5"/>
        <v>366</v>
      </c>
      <c r="H79" s="474">
        <f t="shared" si="6"/>
        <v>8.7200000000000006</v>
      </c>
      <c r="I79" s="474">
        <f t="shared" si="7"/>
        <v>1125</v>
      </c>
    </row>
    <row r="80" spans="1:9">
      <c r="A80" s="624" t="s">
        <v>1784</v>
      </c>
      <c r="B80" s="353">
        <v>258</v>
      </c>
      <c r="C80" s="353">
        <v>50</v>
      </c>
      <c r="D80" s="496" t="s">
        <v>30</v>
      </c>
      <c r="E80" s="474">
        <v>501</v>
      </c>
      <c r="F80" s="474">
        <f t="shared" si="4"/>
        <v>80</v>
      </c>
      <c r="G80" s="474">
        <f t="shared" si="5"/>
        <v>421</v>
      </c>
      <c r="H80" s="474">
        <f t="shared" si="6"/>
        <v>10.02</v>
      </c>
      <c r="I80" s="474">
        <f t="shared" si="7"/>
        <v>2585</v>
      </c>
    </row>
    <row r="81" spans="1:9">
      <c r="A81" s="624" t="s">
        <v>1785</v>
      </c>
      <c r="B81" s="353">
        <v>858</v>
      </c>
      <c r="C81" s="353">
        <v>500</v>
      </c>
      <c r="D81" s="497" t="s">
        <v>80</v>
      </c>
      <c r="E81" s="474">
        <v>6201</v>
      </c>
      <c r="F81" s="474">
        <f t="shared" si="4"/>
        <v>990</v>
      </c>
      <c r="G81" s="474">
        <f t="shared" si="5"/>
        <v>5211</v>
      </c>
      <c r="H81" s="474">
        <f t="shared" si="6"/>
        <v>12.401999999999999</v>
      </c>
      <c r="I81" s="474">
        <f t="shared" si="7"/>
        <v>10641</v>
      </c>
    </row>
    <row r="82" spans="1:9">
      <c r="A82" s="625" t="s">
        <v>1786</v>
      </c>
      <c r="B82" s="353">
        <v>6</v>
      </c>
      <c r="C82" s="353">
        <v>10</v>
      </c>
      <c r="D82" s="498" t="s">
        <v>74</v>
      </c>
      <c r="E82" s="474">
        <v>1678</v>
      </c>
      <c r="F82" s="474">
        <f t="shared" si="4"/>
        <v>268</v>
      </c>
      <c r="G82" s="474">
        <f t="shared" si="5"/>
        <v>1410</v>
      </c>
      <c r="H82" s="474">
        <f t="shared" si="6"/>
        <v>167.8</v>
      </c>
      <c r="I82" s="474">
        <f t="shared" si="7"/>
        <v>1007</v>
      </c>
    </row>
    <row r="83" spans="1:9">
      <c r="A83" s="625" t="s">
        <v>1787</v>
      </c>
      <c r="B83" s="353">
        <v>87</v>
      </c>
      <c r="C83" s="353">
        <v>500</v>
      </c>
      <c r="D83" s="499" t="s">
        <v>78</v>
      </c>
      <c r="E83" s="474">
        <v>10445</v>
      </c>
      <c r="F83" s="474">
        <f t="shared" si="4"/>
        <v>1668</v>
      </c>
      <c r="G83" s="474">
        <f t="shared" si="5"/>
        <v>8777</v>
      </c>
      <c r="H83" s="474">
        <f t="shared" si="6"/>
        <v>20.89</v>
      </c>
      <c r="I83" s="474">
        <f t="shared" si="7"/>
        <v>1817</v>
      </c>
    </row>
    <row r="84" spans="1:9">
      <c r="A84" s="625" t="s">
        <v>1788</v>
      </c>
      <c r="B84" s="353">
        <v>387</v>
      </c>
      <c r="C84" s="353">
        <v>50</v>
      </c>
      <c r="D84" s="500" t="s">
        <v>30</v>
      </c>
      <c r="E84" s="474">
        <v>477</v>
      </c>
      <c r="F84" s="474">
        <f t="shared" si="4"/>
        <v>76</v>
      </c>
      <c r="G84" s="474">
        <f t="shared" si="5"/>
        <v>401</v>
      </c>
      <c r="H84" s="474">
        <f t="shared" si="6"/>
        <v>9.5399999999999991</v>
      </c>
      <c r="I84" s="474">
        <f t="shared" si="7"/>
        <v>3692</v>
      </c>
    </row>
    <row r="85" spans="1:9">
      <c r="A85" s="625" t="s">
        <v>1789</v>
      </c>
      <c r="B85" s="353">
        <v>429</v>
      </c>
      <c r="C85" s="353">
        <v>550</v>
      </c>
      <c r="D85" s="501" t="s">
        <v>74</v>
      </c>
      <c r="E85" s="474">
        <v>6069</v>
      </c>
      <c r="F85" s="474">
        <f t="shared" si="4"/>
        <v>969</v>
      </c>
      <c r="G85" s="474">
        <f t="shared" si="5"/>
        <v>5100</v>
      </c>
      <c r="H85" s="474">
        <f t="shared" si="6"/>
        <v>11.034545454545455</v>
      </c>
      <c r="I85" s="474">
        <f t="shared" si="7"/>
        <v>4734</v>
      </c>
    </row>
    <row r="86" spans="1:9">
      <c r="A86" s="625" t="s">
        <v>1790</v>
      </c>
      <c r="B86" s="353">
        <v>600</v>
      </c>
      <c r="C86" s="353">
        <v>50</v>
      </c>
      <c r="D86" s="500" t="s">
        <v>30</v>
      </c>
      <c r="E86" s="474">
        <v>477</v>
      </c>
      <c r="F86" s="474">
        <f t="shared" si="4"/>
        <v>76</v>
      </c>
      <c r="G86" s="474">
        <f t="shared" si="5"/>
        <v>401</v>
      </c>
      <c r="H86" s="474">
        <f t="shared" si="6"/>
        <v>9.5399999999999991</v>
      </c>
      <c r="I86" s="474">
        <f t="shared" si="7"/>
        <v>5724</v>
      </c>
    </row>
    <row r="87" spans="1:9">
      <c r="A87" s="624" t="s">
        <v>1791</v>
      </c>
      <c r="B87" s="353">
        <v>120</v>
      </c>
      <c r="C87" s="353">
        <v>550</v>
      </c>
      <c r="D87" s="500" t="s">
        <v>30</v>
      </c>
      <c r="E87" s="474">
        <v>5680</v>
      </c>
      <c r="F87" s="474">
        <f t="shared" si="4"/>
        <v>907</v>
      </c>
      <c r="G87" s="474">
        <f t="shared" si="5"/>
        <v>4773</v>
      </c>
      <c r="H87" s="474">
        <f t="shared" si="6"/>
        <v>10.327272727272728</v>
      </c>
      <c r="I87" s="474">
        <f t="shared" si="7"/>
        <v>1239</v>
      </c>
    </row>
    <row r="88" spans="1:9">
      <c r="A88" s="624" t="s">
        <v>1792</v>
      </c>
      <c r="B88" s="353">
        <v>90</v>
      </c>
      <c r="C88" s="353">
        <v>550</v>
      </c>
      <c r="D88" s="501" t="s">
        <v>74</v>
      </c>
      <c r="E88" s="474">
        <v>6069</v>
      </c>
      <c r="F88" s="474">
        <f t="shared" si="4"/>
        <v>969</v>
      </c>
      <c r="G88" s="474">
        <f t="shared" si="5"/>
        <v>5100</v>
      </c>
      <c r="H88" s="474">
        <f t="shared" si="6"/>
        <v>11.034545454545455</v>
      </c>
      <c r="I88" s="474">
        <f t="shared" si="7"/>
        <v>993</v>
      </c>
    </row>
    <row r="89" spans="1:9">
      <c r="A89" s="624" t="s">
        <v>1793</v>
      </c>
      <c r="B89" s="355">
        <v>405</v>
      </c>
      <c r="C89" s="355">
        <v>500</v>
      </c>
      <c r="D89" s="502" t="s">
        <v>74</v>
      </c>
      <c r="E89" s="474">
        <v>2495</v>
      </c>
      <c r="F89" s="474">
        <f t="shared" si="4"/>
        <v>398</v>
      </c>
      <c r="G89" s="474">
        <f t="shared" si="5"/>
        <v>2097</v>
      </c>
      <c r="H89" s="474">
        <f t="shared" si="6"/>
        <v>4.99</v>
      </c>
      <c r="I89" s="474">
        <f t="shared" si="7"/>
        <v>2021</v>
      </c>
    </row>
    <row r="90" spans="1:9" ht="25.5">
      <c r="A90" s="624" t="s">
        <v>1794</v>
      </c>
      <c r="B90" s="353">
        <v>2982</v>
      </c>
      <c r="C90" s="353">
        <v>500</v>
      </c>
      <c r="D90" s="503" t="s">
        <v>80</v>
      </c>
      <c r="E90" s="474">
        <v>3736</v>
      </c>
      <c r="F90" s="474">
        <f t="shared" si="4"/>
        <v>597</v>
      </c>
      <c r="G90" s="474">
        <f t="shared" si="5"/>
        <v>3139</v>
      </c>
      <c r="H90" s="474">
        <f t="shared" si="6"/>
        <v>7.4720000000000004</v>
      </c>
      <c r="I90" s="474">
        <f t="shared" si="7"/>
        <v>22282</v>
      </c>
    </row>
    <row r="91" spans="1:9" ht="25.5">
      <c r="A91" s="624" t="s">
        <v>1795</v>
      </c>
      <c r="B91" s="354">
        <v>1128</v>
      </c>
      <c r="C91" s="353">
        <v>500</v>
      </c>
      <c r="D91" s="503" t="s">
        <v>80</v>
      </c>
      <c r="E91" s="474">
        <v>4266</v>
      </c>
      <c r="F91" s="474">
        <f t="shared" si="4"/>
        <v>681</v>
      </c>
      <c r="G91" s="474">
        <f t="shared" si="5"/>
        <v>3585</v>
      </c>
      <c r="H91" s="474">
        <f t="shared" si="6"/>
        <v>8.532</v>
      </c>
      <c r="I91" s="474">
        <f t="shared" si="7"/>
        <v>9624</v>
      </c>
    </row>
    <row r="92" spans="1:9" ht="25.5">
      <c r="A92" s="624" t="s">
        <v>1796</v>
      </c>
      <c r="B92" s="353">
        <v>2769</v>
      </c>
      <c r="C92" s="353">
        <v>500</v>
      </c>
      <c r="D92" s="503" t="s">
        <v>80</v>
      </c>
      <c r="E92" s="474">
        <v>3223</v>
      </c>
      <c r="F92" s="474">
        <f t="shared" si="4"/>
        <v>515</v>
      </c>
      <c r="G92" s="474">
        <f t="shared" si="5"/>
        <v>2708</v>
      </c>
      <c r="H92" s="474">
        <f t="shared" si="6"/>
        <v>6.4459999999999997</v>
      </c>
      <c r="I92" s="474">
        <f t="shared" si="7"/>
        <v>17849</v>
      </c>
    </row>
    <row r="93" spans="1:9">
      <c r="A93" s="624" t="s">
        <v>1797</v>
      </c>
      <c r="B93" s="353">
        <v>999</v>
      </c>
      <c r="C93" s="353">
        <v>500</v>
      </c>
      <c r="D93" s="504" t="s">
        <v>80</v>
      </c>
      <c r="E93" s="474">
        <v>2280</v>
      </c>
      <c r="F93" s="474">
        <f t="shared" si="4"/>
        <v>364</v>
      </c>
      <c r="G93" s="474">
        <f t="shared" si="5"/>
        <v>1916</v>
      </c>
      <c r="H93" s="474">
        <f t="shared" si="6"/>
        <v>4.5599999999999996</v>
      </c>
      <c r="I93" s="474">
        <f t="shared" si="7"/>
        <v>4555</v>
      </c>
    </row>
    <row r="94" spans="1:9">
      <c r="A94" s="624" t="s">
        <v>1798</v>
      </c>
      <c r="B94" s="353">
        <v>237</v>
      </c>
      <c r="C94" s="353">
        <v>50</v>
      </c>
      <c r="D94" s="504" t="s">
        <v>80</v>
      </c>
      <c r="E94" s="474">
        <v>4789</v>
      </c>
      <c r="F94" s="474">
        <f t="shared" si="4"/>
        <v>765</v>
      </c>
      <c r="G94" s="474">
        <f t="shared" si="5"/>
        <v>4024</v>
      </c>
      <c r="H94" s="474">
        <f t="shared" si="6"/>
        <v>95.78</v>
      </c>
      <c r="I94" s="474">
        <f t="shared" si="7"/>
        <v>22700</v>
      </c>
    </row>
    <row r="95" spans="1:9">
      <c r="A95" s="624" t="s">
        <v>1799</v>
      </c>
      <c r="B95" s="353">
        <v>432</v>
      </c>
      <c r="C95" s="353">
        <v>500</v>
      </c>
      <c r="D95" s="505" t="s">
        <v>74</v>
      </c>
      <c r="E95" s="474">
        <v>4146</v>
      </c>
      <c r="F95" s="474">
        <f t="shared" si="4"/>
        <v>662</v>
      </c>
      <c r="G95" s="474">
        <f t="shared" si="5"/>
        <v>3484</v>
      </c>
      <c r="H95" s="474">
        <f t="shared" si="6"/>
        <v>8.2919999999999998</v>
      </c>
      <c r="I95" s="474">
        <f t="shared" si="7"/>
        <v>3582</v>
      </c>
    </row>
    <row r="96" spans="1:9">
      <c r="A96" s="624" t="s">
        <v>1800</v>
      </c>
      <c r="B96" s="353">
        <v>858</v>
      </c>
      <c r="C96" s="353">
        <v>500</v>
      </c>
      <c r="D96" s="506" t="s">
        <v>80</v>
      </c>
      <c r="E96" s="474">
        <v>1435</v>
      </c>
      <c r="F96" s="474">
        <f t="shared" si="4"/>
        <v>229</v>
      </c>
      <c r="G96" s="474">
        <f t="shared" si="5"/>
        <v>1206</v>
      </c>
      <c r="H96" s="474">
        <f t="shared" si="6"/>
        <v>2.87</v>
      </c>
      <c r="I96" s="474">
        <f t="shared" si="7"/>
        <v>2462</v>
      </c>
    </row>
    <row r="97" spans="1:9">
      <c r="A97" s="625" t="s">
        <v>1801</v>
      </c>
      <c r="B97" s="353">
        <v>114</v>
      </c>
      <c r="C97" s="353">
        <v>500</v>
      </c>
      <c r="D97" s="506" t="s">
        <v>80</v>
      </c>
      <c r="E97" s="474">
        <v>1866</v>
      </c>
      <c r="F97" s="474">
        <f t="shared" si="4"/>
        <v>298</v>
      </c>
      <c r="G97" s="474">
        <f t="shared" si="5"/>
        <v>1568</v>
      </c>
      <c r="H97" s="474">
        <f t="shared" si="6"/>
        <v>3.7320000000000002</v>
      </c>
      <c r="I97" s="474">
        <f t="shared" si="7"/>
        <v>425</v>
      </c>
    </row>
    <row r="98" spans="1:9">
      <c r="A98" s="625" t="s">
        <v>1802</v>
      </c>
      <c r="B98" s="353">
        <v>333</v>
      </c>
      <c r="C98" s="353">
        <v>500</v>
      </c>
      <c r="D98" s="506" t="s">
        <v>80</v>
      </c>
      <c r="E98" s="474">
        <v>3663</v>
      </c>
      <c r="F98" s="474">
        <f t="shared" si="4"/>
        <v>585</v>
      </c>
      <c r="G98" s="474">
        <f t="shared" si="5"/>
        <v>3078</v>
      </c>
      <c r="H98" s="474">
        <f t="shared" si="6"/>
        <v>7.3259999999999996</v>
      </c>
      <c r="I98" s="474">
        <f t="shared" si="7"/>
        <v>2440</v>
      </c>
    </row>
    <row r="99" spans="1:9">
      <c r="A99" s="624" t="s">
        <v>1803</v>
      </c>
      <c r="B99" s="353">
        <v>1362</v>
      </c>
      <c r="C99" s="353">
        <v>500</v>
      </c>
      <c r="D99" s="506" t="s">
        <v>80</v>
      </c>
      <c r="E99" s="474">
        <v>6524</v>
      </c>
      <c r="F99" s="474">
        <f t="shared" si="4"/>
        <v>1042</v>
      </c>
      <c r="G99" s="474">
        <f t="shared" si="5"/>
        <v>5482</v>
      </c>
      <c r="H99" s="474">
        <f t="shared" si="6"/>
        <v>13.048</v>
      </c>
      <c r="I99" s="474">
        <f t="shared" si="7"/>
        <v>17771</v>
      </c>
    </row>
    <row r="100" spans="1:9">
      <c r="A100" s="625" t="s">
        <v>1804</v>
      </c>
      <c r="B100" s="353">
        <v>63</v>
      </c>
      <c r="C100" s="353">
        <v>100</v>
      </c>
      <c r="D100" s="506" t="s">
        <v>80</v>
      </c>
      <c r="E100" s="474">
        <v>3753</v>
      </c>
      <c r="F100" s="474">
        <f t="shared" si="4"/>
        <v>599</v>
      </c>
      <c r="G100" s="474">
        <f t="shared" si="5"/>
        <v>3154</v>
      </c>
      <c r="H100" s="474">
        <f t="shared" si="6"/>
        <v>37.53</v>
      </c>
      <c r="I100" s="474">
        <f t="shared" si="7"/>
        <v>2364</v>
      </c>
    </row>
    <row r="101" spans="1:9">
      <c r="A101" s="625" t="s">
        <v>1805</v>
      </c>
      <c r="B101" s="353">
        <v>378</v>
      </c>
      <c r="C101" s="353">
        <v>500</v>
      </c>
      <c r="D101" s="506" t="s">
        <v>80</v>
      </c>
      <c r="E101" s="474">
        <v>5930</v>
      </c>
      <c r="F101" s="474">
        <f t="shared" si="4"/>
        <v>947</v>
      </c>
      <c r="G101" s="474">
        <f t="shared" si="5"/>
        <v>4983</v>
      </c>
      <c r="H101" s="474">
        <f t="shared" si="6"/>
        <v>11.86</v>
      </c>
      <c r="I101" s="474">
        <f t="shared" si="7"/>
        <v>4483</v>
      </c>
    </row>
    <row r="102" spans="1:9">
      <c r="A102" s="624" t="s">
        <v>1806</v>
      </c>
      <c r="B102" s="355">
        <v>1065</v>
      </c>
      <c r="C102" s="355">
        <v>1000</v>
      </c>
      <c r="D102" s="506" t="s">
        <v>80</v>
      </c>
      <c r="E102" s="474">
        <v>4739</v>
      </c>
      <c r="F102" s="474">
        <f t="shared" si="4"/>
        <v>757</v>
      </c>
      <c r="G102" s="474">
        <f t="shared" si="5"/>
        <v>3982</v>
      </c>
      <c r="H102" s="474">
        <f t="shared" si="6"/>
        <v>4.7389999999999999</v>
      </c>
      <c r="I102" s="474">
        <f t="shared" si="7"/>
        <v>5047</v>
      </c>
    </row>
    <row r="103" spans="1:9">
      <c r="A103" s="624" t="s">
        <v>1807</v>
      </c>
      <c r="B103" s="354">
        <v>285</v>
      </c>
      <c r="C103" s="353">
        <v>500</v>
      </c>
      <c r="D103" s="506" t="s">
        <v>80</v>
      </c>
      <c r="E103" s="474">
        <v>2801</v>
      </c>
      <c r="F103" s="474">
        <f t="shared" si="4"/>
        <v>447</v>
      </c>
      <c r="G103" s="474">
        <f t="shared" si="5"/>
        <v>2354</v>
      </c>
      <c r="H103" s="474">
        <f t="shared" si="6"/>
        <v>5.6020000000000003</v>
      </c>
      <c r="I103" s="474">
        <f t="shared" si="7"/>
        <v>1597</v>
      </c>
    </row>
    <row r="104" spans="1:9">
      <c r="A104" s="624" t="s">
        <v>1808</v>
      </c>
      <c r="B104" s="353">
        <v>2727</v>
      </c>
      <c r="C104" s="353">
        <v>500</v>
      </c>
      <c r="D104" s="506" t="s">
        <v>80</v>
      </c>
      <c r="E104" s="474">
        <v>2831</v>
      </c>
      <c r="F104" s="474">
        <f t="shared" si="4"/>
        <v>452</v>
      </c>
      <c r="G104" s="474">
        <f t="shared" si="5"/>
        <v>2379</v>
      </c>
      <c r="H104" s="474">
        <f t="shared" si="6"/>
        <v>5.6619999999999999</v>
      </c>
      <c r="I104" s="474">
        <f t="shared" si="7"/>
        <v>15440</v>
      </c>
    </row>
    <row r="105" spans="1:9">
      <c r="A105" s="624" t="s">
        <v>1809</v>
      </c>
      <c r="B105" s="353">
        <v>747</v>
      </c>
      <c r="C105" s="353">
        <v>500</v>
      </c>
      <c r="D105" s="506" t="s">
        <v>80</v>
      </c>
      <c r="E105" s="474">
        <v>2963</v>
      </c>
      <c r="F105" s="474">
        <f t="shared" si="4"/>
        <v>473</v>
      </c>
      <c r="G105" s="474">
        <f t="shared" si="5"/>
        <v>2490</v>
      </c>
      <c r="H105" s="474">
        <f t="shared" si="6"/>
        <v>5.9260000000000002</v>
      </c>
      <c r="I105" s="474">
        <f t="shared" si="7"/>
        <v>4427</v>
      </c>
    </row>
    <row r="106" spans="1:9">
      <c r="A106" s="624" t="s">
        <v>1810</v>
      </c>
      <c r="B106" s="354">
        <v>342</v>
      </c>
      <c r="C106" s="353">
        <v>1000</v>
      </c>
      <c r="D106" s="507" t="s">
        <v>76</v>
      </c>
      <c r="E106" s="474">
        <v>28434</v>
      </c>
      <c r="F106" s="474">
        <f t="shared" si="4"/>
        <v>4540</v>
      </c>
      <c r="G106" s="474">
        <f t="shared" si="5"/>
        <v>23894</v>
      </c>
      <c r="H106" s="474">
        <f t="shared" si="6"/>
        <v>28.434000000000001</v>
      </c>
      <c r="I106" s="474">
        <f t="shared" si="7"/>
        <v>9724</v>
      </c>
    </row>
    <row r="107" spans="1:9">
      <c r="A107" s="624" t="s">
        <v>1811</v>
      </c>
      <c r="B107" s="353">
        <v>342</v>
      </c>
      <c r="C107" s="353">
        <v>500</v>
      </c>
      <c r="D107" s="507" t="s">
        <v>76</v>
      </c>
      <c r="E107" s="474">
        <v>16604</v>
      </c>
      <c r="F107" s="474">
        <f t="shared" si="4"/>
        <v>2651</v>
      </c>
      <c r="G107" s="474">
        <f t="shared" si="5"/>
        <v>13953</v>
      </c>
      <c r="H107" s="474">
        <f t="shared" si="6"/>
        <v>33.207999999999998</v>
      </c>
      <c r="I107" s="474">
        <f t="shared" si="7"/>
        <v>11357</v>
      </c>
    </row>
    <row r="108" spans="1:9">
      <c r="A108" s="624" t="s">
        <v>1812</v>
      </c>
      <c r="B108" s="353">
        <v>72</v>
      </c>
      <c r="C108" s="353">
        <v>500</v>
      </c>
      <c r="D108" s="508" t="s">
        <v>80</v>
      </c>
      <c r="E108" s="474">
        <v>2213</v>
      </c>
      <c r="F108" s="474">
        <f t="shared" si="4"/>
        <v>353</v>
      </c>
      <c r="G108" s="474">
        <f t="shared" si="5"/>
        <v>1860</v>
      </c>
      <c r="H108" s="474">
        <f t="shared" si="6"/>
        <v>4.4260000000000002</v>
      </c>
      <c r="I108" s="474">
        <f t="shared" si="7"/>
        <v>319</v>
      </c>
    </row>
    <row r="109" spans="1:9">
      <c r="A109" s="624" t="s">
        <v>1813</v>
      </c>
      <c r="B109" s="355">
        <v>102</v>
      </c>
      <c r="C109" s="355">
        <v>500</v>
      </c>
      <c r="D109" s="509" t="s">
        <v>74</v>
      </c>
      <c r="E109" s="474">
        <v>1193</v>
      </c>
      <c r="F109" s="474">
        <f t="shared" si="4"/>
        <v>190</v>
      </c>
      <c r="G109" s="474">
        <f t="shared" si="5"/>
        <v>1003</v>
      </c>
      <c r="H109" s="474">
        <f t="shared" si="6"/>
        <v>2.3860000000000001</v>
      </c>
      <c r="I109" s="474">
        <f t="shared" si="7"/>
        <v>243</v>
      </c>
    </row>
    <row r="110" spans="1:9">
      <c r="A110" s="624" t="s">
        <v>1814</v>
      </c>
      <c r="B110" s="355">
        <v>1713</v>
      </c>
      <c r="C110" s="355">
        <v>300</v>
      </c>
      <c r="D110" s="510" t="s">
        <v>80</v>
      </c>
      <c r="E110" s="474">
        <v>5033</v>
      </c>
      <c r="F110" s="474">
        <f t="shared" si="4"/>
        <v>804</v>
      </c>
      <c r="G110" s="474">
        <f t="shared" si="5"/>
        <v>4229</v>
      </c>
      <c r="H110" s="474">
        <f t="shared" si="6"/>
        <v>16.776666666666667</v>
      </c>
      <c r="I110" s="474">
        <f t="shared" si="7"/>
        <v>28738</v>
      </c>
    </row>
    <row r="111" spans="1:9">
      <c r="A111" s="625" t="s">
        <v>1815</v>
      </c>
      <c r="B111" s="353">
        <v>1287</v>
      </c>
      <c r="C111" s="353">
        <v>450</v>
      </c>
      <c r="D111" s="511" t="s">
        <v>78</v>
      </c>
      <c r="E111" s="474">
        <v>19500</v>
      </c>
      <c r="F111" s="474">
        <f t="shared" si="4"/>
        <v>3113</v>
      </c>
      <c r="G111" s="474">
        <f t="shared" si="5"/>
        <v>16387</v>
      </c>
      <c r="H111" s="474">
        <f t="shared" si="6"/>
        <v>43.333333333333336</v>
      </c>
      <c r="I111" s="474">
        <f t="shared" si="7"/>
        <v>55770</v>
      </c>
    </row>
    <row r="112" spans="1:9">
      <c r="A112" s="624" t="s">
        <v>1816</v>
      </c>
      <c r="B112" s="353">
        <v>960</v>
      </c>
      <c r="C112" s="353">
        <v>500</v>
      </c>
      <c r="D112" s="512" t="s">
        <v>80</v>
      </c>
      <c r="E112" s="474">
        <v>2933</v>
      </c>
      <c r="F112" s="474">
        <f t="shared" si="4"/>
        <v>468</v>
      </c>
      <c r="G112" s="474">
        <f t="shared" si="5"/>
        <v>2465</v>
      </c>
      <c r="H112" s="474">
        <f t="shared" si="6"/>
        <v>5.8659999999999997</v>
      </c>
      <c r="I112" s="474">
        <f t="shared" si="7"/>
        <v>5631</v>
      </c>
    </row>
    <row r="113" spans="1:9" ht="25.5">
      <c r="A113" s="624" t="s">
        <v>1817</v>
      </c>
      <c r="B113" s="353">
        <v>501</v>
      </c>
      <c r="C113" s="353">
        <v>500</v>
      </c>
      <c r="D113" s="512" t="s">
        <v>80</v>
      </c>
      <c r="E113" s="474">
        <v>4084</v>
      </c>
      <c r="F113" s="474">
        <f t="shared" si="4"/>
        <v>652</v>
      </c>
      <c r="G113" s="474">
        <f t="shared" si="5"/>
        <v>3432</v>
      </c>
      <c r="H113" s="474">
        <f t="shared" si="6"/>
        <v>8.1679999999999993</v>
      </c>
      <c r="I113" s="474">
        <f t="shared" si="7"/>
        <v>4092</v>
      </c>
    </row>
    <row r="114" spans="1:9">
      <c r="A114" s="624" t="s">
        <v>1818</v>
      </c>
      <c r="B114" s="354">
        <v>756</v>
      </c>
      <c r="C114" s="353">
        <v>500</v>
      </c>
      <c r="D114" s="513" t="s">
        <v>80</v>
      </c>
      <c r="E114" s="474">
        <v>4378</v>
      </c>
      <c r="F114" s="474">
        <f t="shared" si="4"/>
        <v>699</v>
      </c>
      <c r="G114" s="474">
        <f t="shared" si="5"/>
        <v>3679</v>
      </c>
      <c r="H114" s="474">
        <f>+E114/C114</f>
        <v>8.7560000000000002</v>
      </c>
      <c r="I114" s="474">
        <f>ROUND(H114*B114,0)</f>
        <v>6620</v>
      </c>
    </row>
    <row r="115" spans="1:9">
      <c r="A115" s="624" t="s">
        <v>1819</v>
      </c>
      <c r="B115" s="353">
        <v>12</v>
      </c>
      <c r="C115" s="353">
        <v>50</v>
      </c>
      <c r="D115" s="514" t="s">
        <v>80</v>
      </c>
      <c r="E115" s="474">
        <v>4357</v>
      </c>
      <c r="F115" s="474">
        <f t="shared" si="4"/>
        <v>696</v>
      </c>
      <c r="G115" s="474">
        <f t="shared" si="5"/>
        <v>3661</v>
      </c>
      <c r="H115" s="474">
        <f t="shared" si="6"/>
        <v>87.14</v>
      </c>
      <c r="I115" s="474">
        <f t="shared" si="7"/>
        <v>1046</v>
      </c>
    </row>
    <row r="116" spans="1:9">
      <c r="A116" s="624" t="s">
        <v>1820</v>
      </c>
      <c r="B116" s="353">
        <v>519</v>
      </c>
      <c r="C116" s="353">
        <v>1000</v>
      </c>
      <c r="D116" s="515" t="s">
        <v>30</v>
      </c>
      <c r="E116" s="474">
        <v>57201</v>
      </c>
      <c r="F116" s="474">
        <f t="shared" si="4"/>
        <v>9133</v>
      </c>
      <c r="G116" s="474">
        <f t="shared" si="5"/>
        <v>48068</v>
      </c>
      <c r="H116" s="474">
        <f t="shared" si="6"/>
        <v>57.201000000000001</v>
      </c>
      <c r="I116" s="474">
        <f t="shared" si="7"/>
        <v>29687</v>
      </c>
    </row>
    <row r="117" spans="1:9">
      <c r="A117" s="624" t="s">
        <v>1821</v>
      </c>
      <c r="B117" s="353">
        <v>267</v>
      </c>
      <c r="C117" s="353">
        <v>280</v>
      </c>
      <c r="D117" s="516" t="s">
        <v>74</v>
      </c>
      <c r="E117" s="474">
        <v>7195</v>
      </c>
      <c r="F117" s="474">
        <f t="shared" si="4"/>
        <v>1149</v>
      </c>
      <c r="G117" s="474">
        <f t="shared" si="5"/>
        <v>6046</v>
      </c>
      <c r="H117" s="474">
        <f t="shared" si="6"/>
        <v>25.696428571428573</v>
      </c>
      <c r="I117" s="474">
        <f t="shared" si="7"/>
        <v>6861</v>
      </c>
    </row>
    <row r="118" spans="1:9">
      <c r="A118" s="624" t="s">
        <v>1822</v>
      </c>
      <c r="B118" s="353">
        <v>414</v>
      </c>
      <c r="C118" s="353">
        <v>400</v>
      </c>
      <c r="D118" s="517" t="s">
        <v>80</v>
      </c>
      <c r="E118" s="474">
        <v>5888</v>
      </c>
      <c r="F118" s="474">
        <f t="shared" si="4"/>
        <v>940</v>
      </c>
      <c r="G118" s="474">
        <f t="shared" si="5"/>
        <v>4948</v>
      </c>
      <c r="H118" s="474">
        <f t="shared" si="6"/>
        <v>14.72</v>
      </c>
      <c r="I118" s="474">
        <f t="shared" si="7"/>
        <v>6094</v>
      </c>
    </row>
    <row r="119" spans="1:9">
      <c r="A119" s="624" t="s">
        <v>1823</v>
      </c>
      <c r="B119" s="353">
        <v>936</v>
      </c>
      <c r="C119" s="353">
        <v>500</v>
      </c>
      <c r="D119" s="518" t="s">
        <v>80</v>
      </c>
      <c r="E119" s="474">
        <v>4334</v>
      </c>
      <c r="F119" s="474">
        <f t="shared" si="4"/>
        <v>692</v>
      </c>
      <c r="G119" s="474">
        <f t="shared" si="5"/>
        <v>3642</v>
      </c>
      <c r="H119" s="474">
        <f t="shared" si="6"/>
        <v>8.6679999999999993</v>
      </c>
      <c r="I119" s="474">
        <f t="shared" si="7"/>
        <v>8113</v>
      </c>
    </row>
    <row r="120" spans="1:9">
      <c r="A120" s="624" t="s">
        <v>1824</v>
      </c>
      <c r="B120" s="354">
        <v>31</v>
      </c>
      <c r="C120" s="353">
        <v>500</v>
      </c>
      <c r="D120" s="519" t="s">
        <v>74</v>
      </c>
      <c r="E120" s="474">
        <v>6953</v>
      </c>
      <c r="F120" s="474">
        <f t="shared" si="4"/>
        <v>1110</v>
      </c>
      <c r="G120" s="474">
        <f t="shared" si="5"/>
        <v>5843</v>
      </c>
      <c r="H120" s="474">
        <f t="shared" si="6"/>
        <v>13.906000000000001</v>
      </c>
      <c r="I120" s="474">
        <f t="shared" si="7"/>
        <v>431</v>
      </c>
    </row>
    <row r="121" spans="1:9">
      <c r="A121" s="624" t="s">
        <v>1825</v>
      </c>
      <c r="B121" s="357">
        <v>20</v>
      </c>
      <c r="C121" s="353">
        <v>500</v>
      </c>
      <c r="D121" s="520" t="s">
        <v>74</v>
      </c>
      <c r="E121" s="474">
        <v>2878</v>
      </c>
      <c r="F121" s="474">
        <f t="shared" si="4"/>
        <v>460</v>
      </c>
      <c r="G121" s="474">
        <f t="shared" si="5"/>
        <v>2418</v>
      </c>
      <c r="H121" s="474">
        <f t="shared" si="6"/>
        <v>5.7560000000000002</v>
      </c>
      <c r="I121" s="474">
        <f t="shared" si="7"/>
        <v>115</v>
      </c>
    </row>
    <row r="122" spans="1:9">
      <c r="A122" s="624" t="s">
        <v>1826</v>
      </c>
      <c r="B122" s="353">
        <v>800</v>
      </c>
      <c r="C122" s="353">
        <v>1000</v>
      </c>
      <c r="D122" s="521" t="s">
        <v>76</v>
      </c>
      <c r="E122" s="474">
        <v>13496</v>
      </c>
      <c r="F122" s="474">
        <f t="shared" si="4"/>
        <v>2155</v>
      </c>
      <c r="G122" s="474">
        <f t="shared" si="5"/>
        <v>11341</v>
      </c>
      <c r="H122" s="474">
        <f t="shared" si="6"/>
        <v>13.496</v>
      </c>
      <c r="I122" s="474">
        <f t="shared" si="7"/>
        <v>10797</v>
      </c>
    </row>
    <row r="123" spans="1:9">
      <c r="A123" s="624" t="s">
        <v>1827</v>
      </c>
      <c r="B123" s="353">
        <v>950</v>
      </c>
      <c r="C123" s="353">
        <v>500</v>
      </c>
      <c r="D123" s="522" t="s">
        <v>80</v>
      </c>
      <c r="E123" s="474">
        <v>3126</v>
      </c>
      <c r="F123" s="474">
        <f t="shared" si="4"/>
        <v>499</v>
      </c>
      <c r="G123" s="474">
        <f t="shared" si="5"/>
        <v>2627</v>
      </c>
      <c r="H123" s="474">
        <f t="shared" si="6"/>
        <v>6.2519999999999998</v>
      </c>
      <c r="I123" s="474">
        <f t="shared" si="7"/>
        <v>5939</v>
      </c>
    </row>
    <row r="124" spans="1:9">
      <c r="A124" s="624" t="s">
        <v>1828</v>
      </c>
      <c r="B124" s="353">
        <v>1318</v>
      </c>
      <c r="C124" s="353">
        <v>500</v>
      </c>
      <c r="D124" s="522" t="s">
        <v>80</v>
      </c>
      <c r="E124" s="474">
        <v>2502</v>
      </c>
      <c r="F124" s="474">
        <f t="shared" si="4"/>
        <v>399</v>
      </c>
      <c r="G124" s="474">
        <f t="shared" si="5"/>
        <v>2103</v>
      </c>
      <c r="H124" s="474">
        <f t="shared" si="6"/>
        <v>5.0039999999999996</v>
      </c>
      <c r="I124" s="474">
        <f t="shared" si="7"/>
        <v>6595</v>
      </c>
    </row>
    <row r="125" spans="1:9">
      <c r="A125" s="523"/>
      <c r="B125" s="524"/>
      <c r="C125" s="524"/>
      <c r="D125" s="525"/>
      <c r="E125" s="526"/>
      <c r="F125" s="527"/>
      <c r="G125" s="527"/>
      <c r="H125" s="528"/>
      <c r="I125" s="474"/>
    </row>
    <row r="126" spans="1:9">
      <c r="A126" s="92"/>
      <c r="B126" s="92"/>
      <c r="C126" s="93"/>
      <c r="E126" s="898" t="s">
        <v>1829</v>
      </c>
      <c r="F126" s="888"/>
      <c r="G126" s="888"/>
      <c r="H126" s="899"/>
      <c r="I126" s="529">
        <f>SUM(I4:I124)</f>
        <v>1058234</v>
      </c>
    </row>
    <row r="127" spans="1:9">
      <c r="A127" s="92"/>
      <c r="B127" s="92"/>
      <c r="C127" s="93"/>
      <c r="E127" s="898" t="s">
        <v>1830</v>
      </c>
      <c r="F127" s="888"/>
      <c r="G127" s="888"/>
      <c r="H127" s="899"/>
      <c r="I127" s="529">
        <f>ROUND(I126*130,0)</f>
        <v>137570420</v>
      </c>
    </row>
    <row r="128" spans="1:9">
      <c r="A128" s="92"/>
      <c r="B128" s="92"/>
      <c r="C128" s="93"/>
      <c r="E128" s="898" t="s">
        <v>1831</v>
      </c>
      <c r="F128" s="888"/>
      <c r="G128" s="888"/>
      <c r="H128" s="899"/>
      <c r="I128" s="529">
        <f>ROUND(I127/30,0)</f>
        <v>4585681</v>
      </c>
    </row>
    <row r="129" spans="1:9" ht="21" customHeight="1">
      <c r="A129" s="92"/>
      <c r="B129" s="92"/>
      <c r="C129" s="93"/>
      <c r="E129" s="900" t="s">
        <v>1832</v>
      </c>
      <c r="F129" s="890"/>
      <c r="G129" s="890"/>
      <c r="H129" s="901"/>
      <c r="I129" s="530">
        <f>I128/130</f>
        <v>35274.469230769231</v>
      </c>
    </row>
    <row r="132" spans="1:9">
      <c r="E132" s="898" t="s">
        <v>1829</v>
      </c>
      <c r="F132" s="888"/>
      <c r="G132" s="888"/>
      <c r="H132" s="899"/>
      <c r="I132" s="529">
        <f>I126</f>
        <v>1058234</v>
      </c>
    </row>
    <row r="133" spans="1:9">
      <c r="E133" s="898" t="s">
        <v>1833</v>
      </c>
      <c r="F133" s="888"/>
      <c r="G133" s="888"/>
      <c r="H133" s="899"/>
      <c r="I133" s="529">
        <f>ROUND((I132*100),0)</f>
        <v>105823400</v>
      </c>
    </row>
    <row r="134" spans="1:9">
      <c r="E134" s="898" t="s">
        <v>1834</v>
      </c>
      <c r="F134" s="888"/>
      <c r="G134" s="888"/>
      <c r="H134" s="899"/>
      <c r="I134" s="529">
        <f>ROUND(I133/30,0)</f>
        <v>3527447</v>
      </c>
    </row>
    <row r="135" spans="1:9">
      <c r="E135" s="900" t="s">
        <v>1832</v>
      </c>
      <c r="F135" s="890"/>
      <c r="G135" s="890"/>
      <c r="H135" s="901"/>
      <c r="I135" s="530">
        <f>ROUND(I134/100,0)</f>
        <v>35274</v>
      </c>
    </row>
  </sheetData>
  <autoFilter ref="A3:L154" xr:uid="{00000000-0009-0000-0000-000019000000}"/>
  <mergeCells count="9">
    <mergeCell ref="E134:H134"/>
    <mergeCell ref="E135:H135"/>
    <mergeCell ref="E133:H133"/>
    <mergeCell ref="A2:I2"/>
    <mergeCell ref="E126:H126"/>
    <mergeCell ref="E127:H127"/>
    <mergeCell ref="E129:H129"/>
    <mergeCell ref="E132:H132"/>
    <mergeCell ref="E128:H128"/>
  </mergeCells>
  <pageMargins left="0.7" right="0.7" top="0.75" bottom="0.75" header="0.3" footer="0.3"/>
  <drawing r:id="rId1"/>
  <extLst>
    <ext xmlns:mx="http://schemas.microsoft.com/office/mac/excel/2008/main" uri="{64002731-A6B0-56B0-2670-7721B7C09600}">
      <mx:PLV Mode="0" OnePage="0" WScale="0"/>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N78"/>
  <sheetViews>
    <sheetView workbookViewId="0">
      <selection activeCell="C3" sqref="C1:H1048576"/>
    </sheetView>
  </sheetViews>
  <sheetFormatPr defaultColWidth="11.42578125" defaultRowHeight="15"/>
  <cols>
    <col min="1" max="1" width="42.7109375" customWidth="1"/>
    <col min="2" max="2" width="53.140625" customWidth="1"/>
    <col min="3" max="3" width="17.85546875" customWidth="1"/>
    <col min="9" max="16" width="0" hidden="1" customWidth="1"/>
  </cols>
  <sheetData>
    <row r="1" spans="1:8" s="58" customFormat="1" ht="15.75" thickBot="1">
      <c r="A1" s="908" t="s">
        <v>1835</v>
      </c>
      <c r="B1" s="908" t="s">
        <v>1836</v>
      </c>
      <c r="C1" s="787" t="s">
        <v>1837</v>
      </c>
      <c r="D1" s="788"/>
      <c r="E1" s="788"/>
      <c r="F1" s="788"/>
      <c r="G1" s="788"/>
      <c r="H1" s="789"/>
    </row>
    <row r="2" spans="1:8" s="58" customFormat="1">
      <c r="A2" s="909"/>
      <c r="B2" s="909"/>
      <c r="C2" s="787" t="s">
        <v>1050</v>
      </c>
      <c r="D2" s="788"/>
      <c r="E2" s="788"/>
      <c r="F2" s="788"/>
      <c r="G2" s="788"/>
      <c r="H2" s="789"/>
    </row>
    <row r="3" spans="1:8" s="58" customFormat="1">
      <c r="A3" s="909"/>
      <c r="B3" s="909"/>
      <c r="C3" s="1">
        <v>55</v>
      </c>
      <c r="D3" s="1">
        <v>110</v>
      </c>
      <c r="E3" s="1">
        <v>165</v>
      </c>
      <c r="F3" s="1">
        <v>220</v>
      </c>
      <c r="G3" s="1">
        <v>275</v>
      </c>
      <c r="H3" s="1">
        <v>330</v>
      </c>
    </row>
    <row r="4" spans="1:8" s="58" customFormat="1">
      <c r="A4" s="910"/>
      <c r="B4" s="910"/>
      <c r="C4" s="2" t="s">
        <v>1355</v>
      </c>
      <c r="D4" s="2" t="s">
        <v>1356</v>
      </c>
      <c r="E4" s="2" t="s">
        <v>1357</v>
      </c>
      <c r="F4" s="2" t="s">
        <v>1358</v>
      </c>
      <c r="G4" s="2" t="s">
        <v>1359</v>
      </c>
      <c r="H4" s="2" t="s">
        <v>1360</v>
      </c>
    </row>
    <row r="5" spans="1:8" ht="15" customHeight="1">
      <c r="A5" s="904" t="s">
        <v>1838</v>
      </c>
      <c r="B5" s="59" t="s">
        <v>1839</v>
      </c>
      <c r="C5" s="1">
        <v>1</v>
      </c>
      <c r="D5" s="1">
        <v>1</v>
      </c>
      <c r="E5" s="1">
        <v>1</v>
      </c>
      <c r="F5" s="1">
        <v>1</v>
      </c>
      <c r="G5" s="1">
        <v>1</v>
      </c>
      <c r="H5" s="1">
        <v>1</v>
      </c>
    </row>
    <row r="6" spans="1:8">
      <c r="A6" s="904"/>
      <c r="B6" s="59" t="s">
        <v>1840</v>
      </c>
      <c r="C6" s="1">
        <v>1</v>
      </c>
      <c r="D6" s="1">
        <v>1</v>
      </c>
      <c r="E6" s="1">
        <v>1</v>
      </c>
      <c r="F6" s="1">
        <v>1</v>
      </c>
      <c r="G6" s="1">
        <v>1</v>
      </c>
      <c r="H6" s="1">
        <v>1</v>
      </c>
    </row>
    <row r="7" spans="1:8">
      <c r="A7" s="904"/>
      <c r="B7" s="59" t="s">
        <v>1841</v>
      </c>
      <c r="C7" s="1">
        <v>1</v>
      </c>
      <c r="D7" s="1">
        <v>1</v>
      </c>
      <c r="E7" s="1">
        <v>1</v>
      </c>
      <c r="F7" s="1">
        <v>1</v>
      </c>
      <c r="G7" s="1">
        <v>1</v>
      </c>
      <c r="H7" s="1">
        <v>1</v>
      </c>
    </row>
    <row r="8" spans="1:8" ht="63.75">
      <c r="A8" s="905" t="s">
        <v>1842</v>
      </c>
      <c r="B8" s="59" t="s">
        <v>1843</v>
      </c>
      <c r="C8" s="1"/>
      <c r="D8" s="1"/>
      <c r="E8" s="1"/>
      <c r="F8" s="1"/>
      <c r="G8" s="1"/>
      <c r="H8" s="1"/>
    </row>
    <row r="9" spans="1:8" ht="30">
      <c r="A9" s="905"/>
      <c r="B9" s="60" t="s">
        <v>1844</v>
      </c>
      <c r="C9" s="1">
        <v>55</v>
      </c>
      <c r="D9" s="1">
        <v>110</v>
      </c>
      <c r="E9" s="1">
        <v>165</v>
      </c>
      <c r="F9" s="1">
        <v>220</v>
      </c>
      <c r="G9" s="1">
        <v>275</v>
      </c>
      <c r="H9" s="1">
        <v>330</v>
      </c>
    </row>
    <row r="10" spans="1:8" ht="30">
      <c r="A10" s="905"/>
      <c r="B10" s="60" t="s">
        <v>1845</v>
      </c>
      <c r="C10" s="1">
        <v>55</v>
      </c>
      <c r="D10" s="1">
        <v>110</v>
      </c>
      <c r="E10" s="1">
        <v>165</v>
      </c>
      <c r="F10" s="1">
        <v>220</v>
      </c>
      <c r="G10" s="1">
        <v>275</v>
      </c>
      <c r="H10" s="1">
        <v>330</v>
      </c>
    </row>
    <row r="11" spans="1:8">
      <c r="A11" s="905"/>
      <c r="B11" s="60" t="s">
        <v>1846</v>
      </c>
      <c r="C11" s="1">
        <v>30</v>
      </c>
      <c r="D11" s="1">
        <v>60</v>
      </c>
      <c r="E11" s="1">
        <v>90</v>
      </c>
      <c r="F11" s="1">
        <v>120</v>
      </c>
      <c r="G11" s="1">
        <v>140</v>
      </c>
      <c r="H11" s="1">
        <v>170</v>
      </c>
    </row>
    <row r="12" spans="1:8" ht="25.5">
      <c r="A12" s="59" t="s">
        <v>1847</v>
      </c>
      <c r="B12" s="59" t="s">
        <v>1848</v>
      </c>
      <c r="C12" s="1"/>
      <c r="D12" s="1"/>
      <c r="E12" s="1"/>
      <c r="F12" s="1"/>
      <c r="G12" s="1"/>
      <c r="H12" s="1"/>
    </row>
    <row r="13" spans="1:8" ht="63.75">
      <c r="A13" s="904" t="s">
        <v>1849</v>
      </c>
      <c r="B13" s="59" t="s">
        <v>1850</v>
      </c>
      <c r="C13" s="1"/>
      <c r="D13" s="1"/>
      <c r="E13" s="1"/>
      <c r="F13" s="1"/>
      <c r="G13" s="1"/>
      <c r="H13" s="1"/>
    </row>
    <row r="14" spans="1:8">
      <c r="A14" s="904"/>
      <c r="B14" s="59" t="s">
        <v>1851</v>
      </c>
      <c r="C14" s="1"/>
      <c r="D14" s="1"/>
      <c r="E14" s="1"/>
      <c r="F14" s="1"/>
      <c r="G14" s="1"/>
      <c r="H14" s="1"/>
    </row>
    <row r="15" spans="1:8">
      <c r="A15" s="904"/>
      <c r="B15" s="59" t="s">
        <v>1852</v>
      </c>
      <c r="C15" s="1"/>
      <c r="D15" s="1"/>
      <c r="E15" s="1"/>
      <c r="F15" s="1"/>
      <c r="G15" s="1"/>
      <c r="H15" s="1"/>
    </row>
    <row r="16" spans="1:8">
      <c r="A16" s="59" t="s">
        <v>1853</v>
      </c>
      <c r="B16" s="59" t="s">
        <v>1854</v>
      </c>
      <c r="C16" s="1"/>
      <c r="D16" s="1"/>
      <c r="E16" s="1"/>
      <c r="F16" s="1"/>
      <c r="G16" s="1"/>
      <c r="H16" s="1"/>
    </row>
    <row r="17" spans="1:14" ht="25.5">
      <c r="A17" s="59" t="s">
        <v>1855</v>
      </c>
      <c r="B17" s="59" t="s">
        <v>1856</v>
      </c>
      <c r="C17" s="1"/>
      <c r="D17" s="1"/>
      <c r="E17" s="1"/>
      <c r="F17" s="1"/>
      <c r="G17" s="1"/>
      <c r="H17" s="1"/>
    </row>
    <row r="18" spans="1:14">
      <c r="A18" s="905" t="s">
        <v>1857</v>
      </c>
      <c r="B18" s="59" t="s">
        <v>1858</v>
      </c>
      <c r="C18" s="1"/>
      <c r="D18" s="1"/>
      <c r="E18" s="1"/>
      <c r="F18" s="1"/>
      <c r="G18" s="1"/>
      <c r="H18" s="1"/>
    </row>
    <row r="19" spans="1:14" ht="30">
      <c r="A19" s="905"/>
      <c r="B19" s="19" t="s">
        <v>1859</v>
      </c>
      <c r="C19" s="1">
        <v>55</v>
      </c>
      <c r="D19" s="1">
        <v>110</v>
      </c>
      <c r="E19" s="1">
        <v>165</v>
      </c>
      <c r="F19" s="1">
        <v>220</v>
      </c>
      <c r="G19" s="1">
        <v>275</v>
      </c>
      <c r="H19" s="1">
        <v>330</v>
      </c>
      <c r="I19">
        <f>C19/150</f>
        <v>0.36666666666666664</v>
      </c>
      <c r="J19">
        <f t="shared" ref="J19:N19" si="0">D19/150</f>
        <v>0.73333333333333328</v>
      </c>
      <c r="K19">
        <f t="shared" si="0"/>
        <v>1.1000000000000001</v>
      </c>
      <c r="L19">
        <f t="shared" si="0"/>
        <v>1.4666666666666666</v>
      </c>
      <c r="M19">
        <f t="shared" si="0"/>
        <v>1.8333333333333333</v>
      </c>
      <c r="N19">
        <f t="shared" si="0"/>
        <v>2.2000000000000002</v>
      </c>
    </row>
    <row r="20" spans="1:14">
      <c r="A20" s="905"/>
      <c r="B20" s="19" t="s">
        <v>1860</v>
      </c>
      <c r="C20" s="1">
        <f>ROUNDUP(($I$20*I19),0)</f>
        <v>3</v>
      </c>
      <c r="D20" s="1">
        <f t="shared" ref="D20:H20" si="1">ROUNDUP(($I$20*J19),0)</f>
        <v>5</v>
      </c>
      <c r="E20" s="1">
        <f t="shared" si="1"/>
        <v>7</v>
      </c>
      <c r="F20" s="1">
        <f t="shared" si="1"/>
        <v>9</v>
      </c>
      <c r="G20" s="1">
        <f t="shared" si="1"/>
        <v>11</v>
      </c>
      <c r="H20" s="1">
        <f t="shared" si="1"/>
        <v>14</v>
      </c>
      <c r="I20">
        <v>6</v>
      </c>
    </row>
    <row r="21" spans="1:14">
      <c r="A21" s="905"/>
      <c r="B21" s="19" t="s">
        <v>1291</v>
      </c>
      <c r="C21" s="1">
        <v>2</v>
      </c>
      <c r="D21" s="1">
        <v>2</v>
      </c>
      <c r="E21" s="1">
        <v>2</v>
      </c>
      <c r="F21" s="1">
        <v>2</v>
      </c>
      <c r="G21" s="1">
        <v>2</v>
      </c>
      <c r="H21" s="1">
        <v>2</v>
      </c>
    </row>
    <row r="22" spans="1:14">
      <c r="A22" s="905"/>
      <c r="B22" s="19" t="s">
        <v>1292</v>
      </c>
      <c r="C22" s="1">
        <v>2</v>
      </c>
      <c r="D22" s="1">
        <v>2</v>
      </c>
      <c r="E22" s="1">
        <v>2</v>
      </c>
      <c r="F22" s="1">
        <v>2</v>
      </c>
      <c r="G22" s="1">
        <v>2</v>
      </c>
      <c r="H22" s="1">
        <v>2</v>
      </c>
    </row>
    <row r="23" spans="1:14">
      <c r="A23" s="905"/>
      <c r="B23" s="19" t="s">
        <v>1293</v>
      </c>
      <c r="C23" s="1">
        <v>2</v>
      </c>
      <c r="D23" s="1">
        <v>2</v>
      </c>
      <c r="E23" s="1">
        <v>2</v>
      </c>
      <c r="F23" s="1">
        <v>2</v>
      </c>
      <c r="G23" s="1">
        <v>2</v>
      </c>
      <c r="H23" s="1">
        <v>2</v>
      </c>
    </row>
    <row r="24" spans="1:14">
      <c r="A24" s="905"/>
      <c r="B24" s="19" t="s">
        <v>1861</v>
      </c>
      <c r="C24" s="1">
        <v>1</v>
      </c>
      <c r="D24" s="1">
        <v>1</v>
      </c>
      <c r="E24" s="1">
        <v>1</v>
      </c>
      <c r="F24" s="1">
        <v>1</v>
      </c>
      <c r="G24" s="1">
        <v>1</v>
      </c>
      <c r="H24" s="1">
        <v>1</v>
      </c>
    </row>
    <row r="25" spans="1:14" ht="51">
      <c r="A25" s="59" t="s">
        <v>1862</v>
      </c>
      <c r="B25" s="59" t="s">
        <v>1863</v>
      </c>
      <c r="C25" s="1"/>
      <c r="D25" s="1"/>
      <c r="E25" s="1"/>
      <c r="F25" s="1"/>
      <c r="G25" s="1"/>
      <c r="H25" s="1"/>
    </row>
    <row r="26" spans="1:14" ht="38.25">
      <c r="A26" s="59" t="s">
        <v>1864</v>
      </c>
      <c r="B26" s="59" t="s">
        <v>1865</v>
      </c>
      <c r="C26" s="1"/>
      <c r="D26" s="1"/>
      <c r="E26" s="1"/>
      <c r="F26" s="1"/>
      <c r="G26" s="1"/>
      <c r="H26" s="1"/>
    </row>
    <row r="27" spans="1:14" ht="25.5">
      <c r="A27" s="59" t="s">
        <v>1866</v>
      </c>
      <c r="B27" s="59" t="s">
        <v>1867</v>
      </c>
      <c r="C27" s="1"/>
      <c r="D27" s="1"/>
      <c r="E27" s="1"/>
      <c r="F27" s="1"/>
      <c r="G27" s="1"/>
      <c r="H27" s="1"/>
    </row>
    <row r="28" spans="1:14" ht="25.5">
      <c r="A28" s="904" t="s">
        <v>1868</v>
      </c>
      <c r="B28" s="59" t="s">
        <v>1869</v>
      </c>
      <c r="C28" s="1"/>
      <c r="D28" s="1"/>
      <c r="E28" s="1"/>
      <c r="F28" s="1"/>
      <c r="G28" s="1"/>
      <c r="H28" s="1"/>
    </row>
    <row r="29" spans="1:14">
      <c r="A29" s="904"/>
      <c r="B29" s="59" t="s">
        <v>1870</v>
      </c>
      <c r="C29" s="1">
        <v>1</v>
      </c>
      <c r="D29" s="1">
        <v>1</v>
      </c>
      <c r="E29" s="1">
        <v>1</v>
      </c>
      <c r="F29" s="1">
        <v>1</v>
      </c>
      <c r="G29" s="1">
        <v>1</v>
      </c>
      <c r="H29" s="1">
        <v>1</v>
      </c>
      <c r="J29" s="61">
        <v>4</v>
      </c>
    </row>
    <row r="30" spans="1:14" ht="15" customHeight="1">
      <c r="A30" s="906" t="s">
        <v>1871</v>
      </c>
      <c r="B30" s="59" t="s">
        <v>1872</v>
      </c>
      <c r="C30" s="1">
        <f>ROUNDUP(($J$29*I19),0)</f>
        <v>2</v>
      </c>
      <c r="D30" s="1">
        <f t="shared" ref="D30:H30" si="2">ROUNDUP(($J$29*J19),0)</f>
        <v>3</v>
      </c>
      <c r="E30" s="1">
        <f t="shared" si="2"/>
        <v>5</v>
      </c>
      <c r="F30" s="1">
        <f t="shared" si="2"/>
        <v>6</v>
      </c>
      <c r="G30" s="1">
        <f t="shared" si="2"/>
        <v>8</v>
      </c>
      <c r="H30" s="1">
        <f t="shared" si="2"/>
        <v>9</v>
      </c>
    </row>
    <row r="31" spans="1:14">
      <c r="A31" s="906"/>
      <c r="B31" s="59" t="s">
        <v>1873</v>
      </c>
      <c r="C31" s="1">
        <f>C30*6</f>
        <v>12</v>
      </c>
      <c r="D31" s="1">
        <f t="shared" ref="D31:H31" si="3">D30*6</f>
        <v>18</v>
      </c>
      <c r="E31" s="1">
        <f t="shared" si="3"/>
        <v>30</v>
      </c>
      <c r="F31" s="1">
        <f t="shared" si="3"/>
        <v>36</v>
      </c>
      <c r="G31" s="1">
        <f t="shared" si="3"/>
        <v>48</v>
      </c>
      <c r="H31" s="1">
        <f t="shared" si="3"/>
        <v>54</v>
      </c>
    </row>
    <row r="32" spans="1:14" ht="27">
      <c r="A32" s="906"/>
      <c r="B32" s="62" t="s">
        <v>1874</v>
      </c>
      <c r="C32" s="1">
        <v>4</v>
      </c>
      <c r="D32" s="1">
        <v>4</v>
      </c>
      <c r="E32" s="1">
        <v>4</v>
      </c>
      <c r="F32" s="1">
        <v>4</v>
      </c>
      <c r="G32" s="1">
        <v>4</v>
      </c>
      <c r="H32" s="1">
        <v>4</v>
      </c>
    </row>
    <row r="33" spans="1:10">
      <c r="A33" s="907" t="s">
        <v>1875</v>
      </c>
      <c r="B33" s="19" t="s">
        <v>1876</v>
      </c>
      <c r="C33" s="1"/>
      <c r="D33" s="1"/>
      <c r="E33" s="1"/>
      <c r="F33" s="1"/>
      <c r="G33" s="1"/>
      <c r="H33" s="1"/>
    </row>
    <row r="34" spans="1:10">
      <c r="A34" s="907"/>
      <c r="B34" s="19" t="s">
        <v>1839</v>
      </c>
      <c r="C34" s="1">
        <v>1</v>
      </c>
      <c r="D34" s="1">
        <v>1</v>
      </c>
      <c r="E34" s="1">
        <v>1</v>
      </c>
      <c r="F34" s="1">
        <v>1</v>
      </c>
      <c r="G34" s="1">
        <v>1</v>
      </c>
      <c r="H34" s="1">
        <v>1</v>
      </c>
    </row>
    <row r="35" spans="1:10">
      <c r="A35" s="907"/>
      <c r="B35" s="19" t="s">
        <v>1279</v>
      </c>
      <c r="C35" s="1">
        <v>1</v>
      </c>
      <c r="D35" s="1">
        <v>1</v>
      </c>
      <c r="E35" s="1">
        <v>1</v>
      </c>
      <c r="F35" s="1">
        <v>1</v>
      </c>
      <c r="G35" s="1">
        <v>1</v>
      </c>
      <c r="H35" s="1">
        <v>1</v>
      </c>
    </row>
    <row r="36" spans="1:10" ht="30">
      <c r="A36" s="907"/>
      <c r="B36" s="19" t="s">
        <v>1877</v>
      </c>
      <c r="C36" s="1">
        <v>1</v>
      </c>
      <c r="D36" s="1">
        <v>2</v>
      </c>
      <c r="E36" s="1">
        <v>2</v>
      </c>
      <c r="F36" s="1">
        <v>2</v>
      </c>
      <c r="G36" s="1">
        <v>3</v>
      </c>
      <c r="H36" s="1">
        <v>3</v>
      </c>
    </row>
    <row r="37" spans="1:10" ht="60">
      <c r="A37" s="907"/>
      <c r="B37" s="19" t="s">
        <v>1878</v>
      </c>
      <c r="C37" s="1">
        <f>ROUNDUP(($J$37*I19),0)</f>
        <v>37</v>
      </c>
      <c r="D37" s="1">
        <f t="shared" ref="D37:H37" si="4">ROUNDUP(($J$37*J19),0)</f>
        <v>74</v>
      </c>
      <c r="E37" s="1">
        <f t="shared" si="4"/>
        <v>110</v>
      </c>
      <c r="F37" s="1">
        <f t="shared" si="4"/>
        <v>147</v>
      </c>
      <c r="G37" s="1">
        <f t="shared" si="4"/>
        <v>184</v>
      </c>
      <c r="H37" s="1">
        <f t="shared" si="4"/>
        <v>220</v>
      </c>
      <c r="J37">
        <v>100</v>
      </c>
    </row>
    <row r="38" spans="1:10">
      <c r="A38" s="907"/>
      <c r="B38" s="19" t="s">
        <v>1281</v>
      </c>
      <c r="C38" s="1">
        <v>1</v>
      </c>
      <c r="D38" s="1">
        <v>1</v>
      </c>
      <c r="E38" s="1">
        <v>1</v>
      </c>
      <c r="F38" s="1">
        <v>1</v>
      </c>
      <c r="G38" s="1">
        <v>1</v>
      </c>
      <c r="H38" s="1">
        <v>1</v>
      </c>
    </row>
    <row r="39" spans="1:10">
      <c r="A39" s="907"/>
      <c r="B39" s="19" t="s">
        <v>1879</v>
      </c>
      <c r="C39" s="1">
        <v>1</v>
      </c>
      <c r="D39" s="1">
        <v>1</v>
      </c>
      <c r="E39" s="1">
        <v>1</v>
      </c>
      <c r="F39" s="1">
        <v>1</v>
      </c>
      <c r="G39" s="1">
        <v>1</v>
      </c>
      <c r="H39" s="1">
        <v>1</v>
      </c>
    </row>
    <row r="40" spans="1:10">
      <c r="A40" s="907"/>
      <c r="B40" s="19" t="s">
        <v>1880</v>
      </c>
      <c r="C40" s="1">
        <v>1</v>
      </c>
      <c r="D40" s="1">
        <v>1</v>
      </c>
      <c r="E40" s="1">
        <v>1</v>
      </c>
      <c r="F40" s="1">
        <v>1</v>
      </c>
      <c r="G40" s="1">
        <v>1</v>
      </c>
      <c r="H40" s="1">
        <v>1</v>
      </c>
    </row>
    <row r="41" spans="1:10">
      <c r="A41" s="907"/>
      <c r="B41" s="19" t="s">
        <v>1881</v>
      </c>
      <c r="C41" s="1">
        <v>2</v>
      </c>
      <c r="D41" s="1">
        <v>2</v>
      </c>
      <c r="E41" s="1">
        <v>2</v>
      </c>
      <c r="F41" s="1">
        <v>2</v>
      </c>
      <c r="G41" s="1">
        <v>2</v>
      </c>
      <c r="H41" s="1">
        <v>2</v>
      </c>
    </row>
    <row r="42" spans="1:10">
      <c r="A42" s="907"/>
      <c r="B42" s="19" t="s">
        <v>1882</v>
      </c>
      <c r="C42" s="1">
        <v>1</v>
      </c>
      <c r="D42" s="1">
        <v>1</v>
      </c>
      <c r="E42" s="1">
        <v>1</v>
      </c>
      <c r="F42" s="1">
        <v>1</v>
      </c>
      <c r="G42" s="1">
        <v>1</v>
      </c>
      <c r="H42" s="1">
        <v>1</v>
      </c>
    </row>
    <row r="43" spans="1:10">
      <c r="A43" s="907"/>
      <c r="B43" s="19" t="s">
        <v>1883</v>
      </c>
      <c r="C43" s="1">
        <v>1</v>
      </c>
      <c r="D43" s="1">
        <v>1</v>
      </c>
      <c r="E43" s="1">
        <v>1</v>
      </c>
      <c r="F43" s="1">
        <v>1</v>
      </c>
      <c r="G43" s="1">
        <v>1</v>
      </c>
      <c r="H43" s="1">
        <v>1</v>
      </c>
    </row>
    <row r="44" spans="1:10" ht="30">
      <c r="A44" s="907"/>
      <c r="B44" s="19" t="s">
        <v>1884</v>
      </c>
      <c r="C44" s="1"/>
      <c r="D44" s="1"/>
      <c r="E44" s="1"/>
      <c r="F44" s="1"/>
      <c r="G44" s="1"/>
      <c r="H44" s="1"/>
    </row>
    <row r="45" spans="1:10" ht="45">
      <c r="A45" s="19" t="s">
        <v>1885</v>
      </c>
      <c r="B45" s="19" t="s">
        <v>1886</v>
      </c>
      <c r="C45" s="1">
        <f>ROUNDUP(($J$45*I19),0)</f>
        <v>2</v>
      </c>
      <c r="D45" s="1">
        <f t="shared" ref="D45:H45" si="5">ROUNDUP(($J$45*J19),0)</f>
        <v>3</v>
      </c>
      <c r="E45" s="1">
        <f t="shared" si="5"/>
        <v>5</v>
      </c>
      <c r="F45" s="1">
        <f t="shared" si="5"/>
        <v>6</v>
      </c>
      <c r="G45" s="1">
        <f t="shared" si="5"/>
        <v>8</v>
      </c>
      <c r="H45" s="1">
        <f t="shared" si="5"/>
        <v>9</v>
      </c>
      <c r="J45">
        <v>4</v>
      </c>
    </row>
    <row r="46" spans="1:10" ht="45">
      <c r="A46" s="907" t="s">
        <v>1887</v>
      </c>
      <c r="B46" s="19" t="s">
        <v>1888</v>
      </c>
      <c r="C46" s="1">
        <f>ROUNDUP(($J$46*I19),0)</f>
        <v>3</v>
      </c>
      <c r="D46" s="1">
        <f t="shared" ref="D46:H46" si="6">ROUNDUP(($J$46*J19),0)</f>
        <v>5</v>
      </c>
      <c r="E46" s="1">
        <f t="shared" si="6"/>
        <v>7</v>
      </c>
      <c r="F46" s="1">
        <f t="shared" si="6"/>
        <v>9</v>
      </c>
      <c r="G46" s="1">
        <f t="shared" si="6"/>
        <v>11</v>
      </c>
      <c r="H46" s="1">
        <f t="shared" si="6"/>
        <v>14</v>
      </c>
      <c r="J46">
        <v>6</v>
      </c>
    </row>
    <row r="47" spans="1:10">
      <c r="A47" s="907"/>
      <c r="B47" s="19" t="s">
        <v>1839</v>
      </c>
      <c r="C47" s="1">
        <v>1</v>
      </c>
      <c r="D47" s="1">
        <v>1</v>
      </c>
      <c r="E47" s="1">
        <v>1</v>
      </c>
      <c r="F47" s="1">
        <v>1</v>
      </c>
      <c r="G47" s="1">
        <v>1</v>
      </c>
      <c r="H47" s="1">
        <v>1</v>
      </c>
    </row>
    <row r="48" spans="1:10">
      <c r="A48" s="907"/>
      <c r="B48" s="19" t="s">
        <v>1882</v>
      </c>
      <c r="C48" s="1">
        <v>1</v>
      </c>
      <c r="D48" s="1">
        <v>1</v>
      </c>
      <c r="E48" s="1">
        <v>1</v>
      </c>
      <c r="F48" s="1">
        <v>1</v>
      </c>
      <c r="G48" s="1">
        <v>1</v>
      </c>
      <c r="H48" s="1">
        <v>1</v>
      </c>
    </row>
    <row r="49" spans="1:10" ht="75">
      <c r="A49" s="907"/>
      <c r="B49" s="19" t="s">
        <v>1889</v>
      </c>
      <c r="C49" s="1"/>
      <c r="D49" s="1"/>
      <c r="E49" s="1"/>
      <c r="F49" s="1"/>
      <c r="G49" s="1"/>
      <c r="H49" s="1"/>
    </row>
    <row r="50" spans="1:10" ht="60">
      <c r="A50" s="907" t="s">
        <v>1890</v>
      </c>
      <c r="B50" s="19" t="s">
        <v>1891</v>
      </c>
      <c r="C50" s="1"/>
      <c r="D50" s="1"/>
      <c r="E50" s="1"/>
      <c r="F50" s="1"/>
      <c r="G50" s="1"/>
      <c r="H50" s="1"/>
    </row>
    <row r="51" spans="1:10">
      <c r="A51" s="907"/>
      <c r="B51" s="19" t="s">
        <v>1892</v>
      </c>
      <c r="C51" s="1">
        <f>ROUNDUP((C3/2),0)</f>
        <v>28</v>
      </c>
      <c r="D51" s="1">
        <f t="shared" ref="D51:H51" si="7">ROUNDUP((D3/2),0)</f>
        <v>55</v>
      </c>
      <c r="E51" s="1">
        <f t="shared" si="7"/>
        <v>83</v>
      </c>
      <c r="F51" s="1">
        <f t="shared" si="7"/>
        <v>110</v>
      </c>
      <c r="G51" s="1">
        <f t="shared" si="7"/>
        <v>138</v>
      </c>
      <c r="H51" s="1">
        <f t="shared" si="7"/>
        <v>165</v>
      </c>
    </row>
    <row r="52" spans="1:10">
      <c r="A52" s="907"/>
      <c r="B52" s="19" t="s">
        <v>1893</v>
      </c>
      <c r="C52" s="1">
        <v>7</v>
      </c>
      <c r="D52" s="1">
        <v>8</v>
      </c>
      <c r="E52" s="1">
        <v>21</v>
      </c>
      <c r="F52" s="1">
        <v>28</v>
      </c>
      <c r="G52" s="1">
        <v>35</v>
      </c>
      <c r="H52" s="1">
        <v>42</v>
      </c>
    </row>
    <row r="53" spans="1:10" ht="210">
      <c r="A53" s="19" t="s">
        <v>1894</v>
      </c>
      <c r="B53" s="19" t="s">
        <v>1895</v>
      </c>
      <c r="C53" s="1"/>
      <c r="D53" s="1"/>
      <c r="E53" s="1"/>
      <c r="F53" s="1"/>
      <c r="G53" s="1"/>
      <c r="H53" s="1"/>
    </row>
    <row r="54" spans="1:10">
      <c r="A54" s="907" t="s">
        <v>1896</v>
      </c>
      <c r="B54" s="19" t="s">
        <v>1897</v>
      </c>
      <c r="C54" s="1">
        <v>2</v>
      </c>
      <c r="D54" s="1">
        <v>2</v>
      </c>
      <c r="E54" s="1">
        <v>2</v>
      </c>
      <c r="F54" s="1">
        <v>2</v>
      </c>
      <c r="G54" s="1">
        <v>2</v>
      </c>
      <c r="H54" s="1">
        <v>2</v>
      </c>
    </row>
    <row r="55" spans="1:10">
      <c r="A55" s="907"/>
      <c r="B55" s="64" t="s">
        <v>1898</v>
      </c>
      <c r="C55" s="1">
        <v>4</v>
      </c>
      <c r="D55" s="1">
        <v>4</v>
      </c>
      <c r="E55" s="1">
        <v>4</v>
      </c>
      <c r="F55" s="1">
        <v>4</v>
      </c>
      <c r="G55" s="1">
        <v>4</v>
      </c>
      <c r="H55" s="1">
        <v>4</v>
      </c>
    </row>
    <row r="56" spans="1:10">
      <c r="A56" s="907"/>
      <c r="B56" t="s">
        <v>1899</v>
      </c>
      <c r="C56" s="1">
        <v>2</v>
      </c>
      <c r="D56" s="1">
        <v>2</v>
      </c>
      <c r="E56" s="1">
        <v>2</v>
      </c>
      <c r="F56" s="1">
        <v>2</v>
      </c>
      <c r="G56" s="1">
        <v>2</v>
      </c>
      <c r="H56" s="1">
        <v>2</v>
      </c>
    </row>
    <row r="57" spans="1:10">
      <c r="A57" s="907"/>
      <c r="B57" s="64" t="s">
        <v>1900</v>
      </c>
      <c r="C57" s="1">
        <v>2</v>
      </c>
      <c r="D57" s="1">
        <v>2</v>
      </c>
      <c r="E57" s="1">
        <v>2</v>
      </c>
      <c r="F57" s="1">
        <v>2</v>
      </c>
      <c r="G57" s="1">
        <v>2</v>
      </c>
      <c r="H57" s="1">
        <v>2</v>
      </c>
    </row>
    <row r="58" spans="1:10">
      <c r="A58" s="907"/>
      <c r="B58" s="64" t="s">
        <v>1901</v>
      </c>
      <c r="C58" s="1">
        <v>1</v>
      </c>
      <c r="D58" s="1">
        <v>1</v>
      </c>
      <c r="E58" s="1">
        <v>1</v>
      </c>
      <c r="F58" s="1">
        <v>1</v>
      </c>
      <c r="G58" s="1">
        <v>1</v>
      </c>
      <c r="H58" s="1">
        <v>1</v>
      </c>
    </row>
    <row r="59" spans="1:10">
      <c r="A59" s="907"/>
      <c r="B59" s="64" t="s">
        <v>1902</v>
      </c>
      <c r="C59" s="1">
        <v>1</v>
      </c>
      <c r="D59" s="1">
        <v>1</v>
      </c>
      <c r="E59" s="1">
        <v>1</v>
      </c>
      <c r="F59" s="1">
        <v>1</v>
      </c>
      <c r="G59" s="1">
        <v>1</v>
      </c>
      <c r="H59" s="1">
        <v>1</v>
      </c>
    </row>
    <row r="60" spans="1:10">
      <c r="A60" s="907"/>
      <c r="B60" s="64" t="s">
        <v>1903</v>
      </c>
      <c r="C60" s="1">
        <v>1</v>
      </c>
      <c r="D60" s="1">
        <v>1</v>
      </c>
      <c r="E60" s="1">
        <v>1</v>
      </c>
      <c r="F60" s="1">
        <v>1</v>
      </c>
      <c r="G60" s="1">
        <v>1</v>
      </c>
      <c r="H60" s="1">
        <v>1</v>
      </c>
    </row>
    <row r="61" spans="1:10" ht="15" customHeight="1">
      <c r="A61" s="905" t="s">
        <v>1904</v>
      </c>
      <c r="B61" s="59" t="s">
        <v>1905</v>
      </c>
      <c r="C61" s="1">
        <f>ROUNDUP(($J$61*I19),0)</f>
        <v>4</v>
      </c>
      <c r="D61" s="1">
        <f t="shared" ref="D61:H61" si="8">ROUNDUP(($J$61*J19),0)</f>
        <v>8</v>
      </c>
      <c r="E61" s="1">
        <f t="shared" si="8"/>
        <v>11</v>
      </c>
      <c r="F61" s="1">
        <f t="shared" si="8"/>
        <v>15</v>
      </c>
      <c r="G61" s="1">
        <f t="shared" si="8"/>
        <v>19</v>
      </c>
      <c r="H61" s="1">
        <f t="shared" si="8"/>
        <v>22</v>
      </c>
      <c r="J61">
        <v>10</v>
      </c>
    </row>
    <row r="62" spans="1:10">
      <c r="A62" s="905"/>
      <c r="B62" s="19" t="s">
        <v>1906</v>
      </c>
      <c r="C62" s="1">
        <f>C61</f>
        <v>4</v>
      </c>
      <c r="D62" s="1">
        <f t="shared" ref="D62:H62" si="9">D61</f>
        <v>8</v>
      </c>
      <c r="E62" s="1">
        <f t="shared" si="9"/>
        <v>11</v>
      </c>
      <c r="F62" s="1">
        <f t="shared" si="9"/>
        <v>15</v>
      </c>
      <c r="G62" s="1">
        <f t="shared" si="9"/>
        <v>19</v>
      </c>
      <c r="H62" s="1">
        <f t="shared" si="9"/>
        <v>22</v>
      </c>
    </row>
    <row r="63" spans="1:10">
      <c r="A63" s="905"/>
      <c r="B63" s="19" t="s">
        <v>1907</v>
      </c>
      <c r="C63" s="1">
        <f>ROUNDUP(($J$63*I19),0)</f>
        <v>5</v>
      </c>
      <c r="D63" s="1">
        <f t="shared" ref="D63:H63" si="10">ROUNDUP(($J$63*J19),0)</f>
        <v>9</v>
      </c>
      <c r="E63" s="1">
        <f t="shared" si="10"/>
        <v>14</v>
      </c>
      <c r="F63" s="1">
        <f t="shared" si="10"/>
        <v>18</v>
      </c>
      <c r="G63" s="1">
        <f t="shared" si="10"/>
        <v>22</v>
      </c>
      <c r="H63" s="1">
        <f t="shared" si="10"/>
        <v>27</v>
      </c>
      <c r="J63">
        <v>12</v>
      </c>
    </row>
    <row r="64" spans="1:10">
      <c r="A64" s="905"/>
      <c r="B64" s="19" t="s">
        <v>1908</v>
      </c>
      <c r="C64" s="1">
        <f>ROUNDUP(($J$64*I19),0)</f>
        <v>2</v>
      </c>
      <c r="D64" s="1">
        <f t="shared" ref="D64:H64" si="11">ROUNDUP(($J$64*J19),0)</f>
        <v>4</v>
      </c>
      <c r="E64" s="1">
        <f t="shared" si="11"/>
        <v>6</v>
      </c>
      <c r="F64" s="1">
        <f t="shared" si="11"/>
        <v>8</v>
      </c>
      <c r="G64" s="1">
        <f t="shared" si="11"/>
        <v>10</v>
      </c>
      <c r="H64" s="1">
        <f t="shared" si="11"/>
        <v>11</v>
      </c>
      <c r="I64" s="3"/>
      <c r="J64" s="3">
        <v>5</v>
      </c>
    </row>
    <row r="65" spans="1:10" ht="45">
      <c r="A65" s="905"/>
      <c r="B65" s="19" t="s">
        <v>1909</v>
      </c>
      <c r="C65" s="1">
        <f>ROUNDUP(($J$65*I19),0)</f>
        <v>2</v>
      </c>
      <c r="D65" s="1">
        <f t="shared" ref="D65:H65" si="12">ROUNDUP(($J$65*J19),0)</f>
        <v>4</v>
      </c>
      <c r="E65" s="1">
        <f t="shared" si="12"/>
        <v>6</v>
      </c>
      <c r="F65" s="1">
        <f t="shared" si="12"/>
        <v>8</v>
      </c>
      <c r="G65" s="1">
        <f t="shared" si="12"/>
        <v>10</v>
      </c>
      <c r="H65" s="1">
        <f t="shared" si="12"/>
        <v>11</v>
      </c>
      <c r="J65">
        <v>5</v>
      </c>
    </row>
    <row r="66" spans="1:10">
      <c r="A66" s="905"/>
      <c r="B66" s="19" t="s">
        <v>1910</v>
      </c>
      <c r="C66" s="1">
        <v>2</v>
      </c>
      <c r="D66" s="1">
        <v>4</v>
      </c>
      <c r="E66" s="1">
        <v>6</v>
      </c>
      <c r="F66" s="1">
        <v>8</v>
      </c>
      <c r="G66" s="1">
        <v>10</v>
      </c>
      <c r="H66" s="1">
        <v>11</v>
      </c>
    </row>
    <row r="67" spans="1:10" ht="60">
      <c r="A67" s="19" t="s">
        <v>1911</v>
      </c>
      <c r="B67" s="19" t="s">
        <v>1912</v>
      </c>
      <c r="C67" s="1">
        <v>2</v>
      </c>
      <c r="D67" s="1">
        <v>4</v>
      </c>
      <c r="E67" s="1">
        <v>6</v>
      </c>
      <c r="F67" s="1">
        <v>8</v>
      </c>
      <c r="G67" s="1">
        <v>10</v>
      </c>
      <c r="H67" s="1">
        <v>11</v>
      </c>
    </row>
    <row r="68" spans="1:10" ht="60">
      <c r="A68" s="18" t="s">
        <v>1913</v>
      </c>
      <c r="B68" s="19" t="s">
        <v>1912</v>
      </c>
      <c r="C68" s="1">
        <v>2</v>
      </c>
      <c r="D68" s="1">
        <v>4</v>
      </c>
      <c r="E68" s="1">
        <v>6</v>
      </c>
      <c r="F68" s="1">
        <v>8</v>
      </c>
      <c r="G68" s="1">
        <v>10</v>
      </c>
      <c r="H68" s="1">
        <v>11</v>
      </c>
    </row>
    <row r="69" spans="1:10" ht="75">
      <c r="A69" s="63" t="s">
        <v>1914</v>
      </c>
      <c r="B69" s="19" t="s">
        <v>1915</v>
      </c>
      <c r="C69" s="65">
        <v>4</v>
      </c>
      <c r="D69" s="65">
        <v>8</v>
      </c>
      <c r="E69" s="65">
        <v>11</v>
      </c>
      <c r="F69" s="65">
        <v>15</v>
      </c>
      <c r="G69" s="65">
        <v>19</v>
      </c>
      <c r="H69" s="65">
        <v>22</v>
      </c>
    </row>
    <row r="70" spans="1:10" ht="30">
      <c r="A70" s="907" t="s">
        <v>1916</v>
      </c>
      <c r="B70" s="19" t="s">
        <v>1851</v>
      </c>
      <c r="C70" s="65"/>
      <c r="D70" s="65"/>
      <c r="E70" s="65"/>
      <c r="F70" s="65"/>
      <c r="G70" s="65"/>
      <c r="H70" s="65"/>
    </row>
    <row r="71" spans="1:10" ht="30">
      <c r="A71" s="907"/>
      <c r="B71" s="19" t="s">
        <v>1852</v>
      </c>
      <c r="C71" s="65"/>
      <c r="D71" s="65"/>
      <c r="E71" s="65"/>
      <c r="F71" s="65"/>
      <c r="G71" s="65"/>
      <c r="H71" s="65"/>
    </row>
    <row r="72" spans="1:10" ht="30">
      <c r="A72" s="18" t="s">
        <v>1917</v>
      </c>
      <c r="B72" s="19" t="s">
        <v>1918</v>
      </c>
      <c r="C72" s="65"/>
      <c r="D72" s="65"/>
      <c r="E72" s="65"/>
      <c r="F72" s="65"/>
      <c r="G72" s="65"/>
      <c r="H72" s="65"/>
    </row>
    <row r="73" spans="1:10">
      <c r="A73" s="907" t="s">
        <v>1919</v>
      </c>
      <c r="B73" s="19" t="s">
        <v>1920</v>
      </c>
      <c r="C73" s="65"/>
      <c r="D73" s="65"/>
      <c r="E73" s="65"/>
      <c r="F73" s="65"/>
      <c r="G73" s="65"/>
      <c r="H73" s="65"/>
    </row>
    <row r="74" spans="1:10">
      <c r="A74" s="907"/>
      <c r="B74" s="19" t="s">
        <v>1921</v>
      </c>
      <c r="C74" s="65"/>
      <c r="D74" s="65"/>
      <c r="E74" s="65"/>
      <c r="F74" s="65"/>
      <c r="G74" s="65"/>
      <c r="H74" s="65"/>
    </row>
    <row r="75" spans="1:10">
      <c r="A75" s="907"/>
      <c r="B75" s="19" t="s">
        <v>1922</v>
      </c>
      <c r="C75" s="65"/>
      <c r="D75" s="65"/>
      <c r="E75" s="65"/>
      <c r="F75" s="65"/>
      <c r="G75" s="65"/>
      <c r="H75" s="65"/>
    </row>
    <row r="76" spans="1:10" ht="45">
      <c r="A76" s="903" t="s">
        <v>1923</v>
      </c>
      <c r="B76" s="19" t="s">
        <v>1924</v>
      </c>
      <c r="C76" s="65">
        <v>1</v>
      </c>
      <c r="D76" s="65">
        <v>1</v>
      </c>
      <c r="E76" s="65">
        <v>1</v>
      </c>
      <c r="F76" s="65">
        <v>1</v>
      </c>
      <c r="G76" s="65">
        <v>1</v>
      </c>
      <c r="H76" s="65">
        <v>1</v>
      </c>
    </row>
    <row r="77" spans="1:10">
      <c r="A77" s="903"/>
      <c r="B77" s="19" t="s">
        <v>1340</v>
      </c>
      <c r="C77" s="65">
        <v>3</v>
      </c>
      <c r="D77" s="65">
        <v>3</v>
      </c>
      <c r="E77" s="65">
        <v>3</v>
      </c>
      <c r="F77" s="65">
        <v>3</v>
      </c>
      <c r="G77" s="65">
        <v>3</v>
      </c>
      <c r="H77" s="65">
        <v>3</v>
      </c>
    </row>
    <row r="78" spans="1:10" ht="75">
      <c r="A78" s="18" t="s">
        <v>1925</v>
      </c>
      <c r="B78" s="19" t="s">
        <v>1926</v>
      </c>
      <c r="C78" s="65"/>
      <c r="D78" s="65"/>
      <c r="E78" s="65"/>
      <c r="F78" s="65"/>
      <c r="G78" s="65"/>
      <c r="H78" s="65"/>
    </row>
  </sheetData>
  <mergeCells count="18">
    <mergeCell ref="A8:A11"/>
    <mergeCell ref="A1:A4"/>
    <mergeCell ref="B1:B4"/>
    <mergeCell ref="C1:H1"/>
    <mergeCell ref="C2:H2"/>
    <mergeCell ref="A5:A7"/>
    <mergeCell ref="A76:A77"/>
    <mergeCell ref="A13:A15"/>
    <mergeCell ref="A18:A24"/>
    <mergeCell ref="A28:A29"/>
    <mergeCell ref="A30:A32"/>
    <mergeCell ref="A33:A44"/>
    <mergeCell ref="A46:A49"/>
    <mergeCell ref="A50:A52"/>
    <mergeCell ref="A54:A60"/>
    <mergeCell ref="A61:A66"/>
    <mergeCell ref="A70:A71"/>
    <mergeCell ref="A73:A75"/>
  </mergeCells>
  <pageMargins left="0.7" right="0.7" top="0.75" bottom="0.75" header="0.3" footer="0.3"/>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993AD8EE2B9C64AA1829563299B9618" ma:contentTypeVersion="15" ma:contentTypeDescription="Crear nuevo documento." ma:contentTypeScope="" ma:versionID="b387f30a16506760791a7cd4ae5645ca">
  <xsd:schema xmlns:xsd="http://www.w3.org/2001/XMLSchema" xmlns:xs="http://www.w3.org/2001/XMLSchema" xmlns:p="http://schemas.microsoft.com/office/2006/metadata/properties" xmlns:ns2="cbac1ec5-c94b-4fc5-9ced-7f4f9fcd5ba5" xmlns:ns3="a6b054d6-ff35-4f13-99dd-1930b2738a9c" targetNamespace="http://schemas.microsoft.com/office/2006/metadata/properties" ma:root="true" ma:fieldsID="eec0202a164a371ae8bcf41a2487c0aa" ns2:_="" ns3:_="">
    <xsd:import namespace="cbac1ec5-c94b-4fc5-9ced-7f4f9fcd5ba5"/>
    <xsd:import namespace="a6b054d6-ff35-4f13-99dd-1930b2738a9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ac1ec5-c94b-4fc5-9ced-7f4f9fcd5ba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b054d6-ff35-4f13-99dd-1930b2738a9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9b6cd2c5-4668-4947-b71a-cabf58e5907e}" ma:internalName="TaxCatchAll" ma:showField="CatchAllData" ma:web="a6b054d6-ff35-4f13-99dd-1930b2738a9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a6b054d6-ff35-4f13-99dd-1930b2738a9c" xsi:nil="true"/>
    <lcf76f155ced4ddcb4097134ff3c332f xmlns="cbac1ec5-c94b-4fc5-9ced-7f4f9fcd5ba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A0B8208-7CAB-4D92-83DE-9A1194127DDC}"/>
</file>

<file path=customXml/itemProps2.xml><?xml version="1.0" encoding="utf-8"?>
<ds:datastoreItem xmlns:ds="http://schemas.openxmlformats.org/officeDocument/2006/customXml" ds:itemID="{8CF5DD4E-08AB-444F-83C4-264548AB26A8}"/>
</file>

<file path=customXml/itemProps3.xml><?xml version="1.0" encoding="utf-8"?>
<ds:datastoreItem xmlns:ds="http://schemas.openxmlformats.org/officeDocument/2006/customXml" ds:itemID="{85C29401-E60A-42C7-A44A-F6EB95AC2B47}"/>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Francisco</dc:creator>
  <cp:keywords/>
  <dc:description/>
  <cp:lastModifiedBy>William Jose Solis Ochoa</cp:lastModifiedBy>
  <cp:revision/>
  <dcterms:created xsi:type="dcterms:W3CDTF">2024-03-22T16:10:03Z</dcterms:created>
  <dcterms:modified xsi:type="dcterms:W3CDTF">2024-09-04T19:43:46Z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0x0101001993AD8EE2B9C64AA1829563299B9618</vt:lpwstr>
  </property>
  <property fmtid="{D5CDD505-2E9C-101B-9397-08002B2CF9AE}" pid="3" name="MediaServiceImageTags">
    <vt:lpwstr/>
  </property>
</Properties>
</file>