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0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Mi unidad\PLANOS SENA\2024\MANTENIMIENTO CTPGA\"/>
    </mc:Choice>
  </mc:AlternateContent>
  <xr:revisionPtr revIDLastSave="2" documentId="13_ncr:1_{7C4164E2-E100-41FC-BDFA-4C74C98BB6E5}" xr6:coauthVersionLast="47" xr6:coauthVersionMax="47" xr10:uidLastSave="{8246BA68-9DEF-42D9-AD3C-3F8D22C4638F}"/>
  <bookViews>
    <workbookView xWindow="-108" yWindow="-108" windowWidth="23256" windowHeight="12456" xr2:uid="{00000000-000D-0000-FFFF-FFFF00000000}"/>
  </bookViews>
  <sheets>
    <sheet name="PRESUPUESTO" sheetId="3" r:id="rId1"/>
    <sheet name="A.P.U ELECTRICO" sheetId="9" r:id="rId2"/>
    <sheet name="A.PU. SANITARIO" sheetId="8" state="hidden" r:id="rId3"/>
    <sheet name="A.P.U CIVIL" sheetId="4" r:id="rId4"/>
    <sheet name="A.P.U PUERTAS" sheetId="7" r:id="rId5"/>
    <sheet name="CUADRILLAS" sheetId="5" r:id="rId6"/>
    <sheet name="A.I.U" sheetId="11" r:id="rId7"/>
  </sheets>
  <externalReferences>
    <externalReference r:id="rId8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4" i="11" l="1"/>
  <c r="I20" i="11"/>
  <c r="I17" i="11"/>
  <c r="I14" i="11"/>
  <c r="H12" i="11"/>
  <c r="I10" i="11" s="1"/>
  <c r="J4" i="11"/>
  <c r="I28" i="11" s="1"/>
  <c r="J14" i="11" l="1"/>
  <c r="I30" i="11"/>
  <c r="I29" i="11" s="1"/>
  <c r="J29" i="11" s="1"/>
  <c r="J17" i="11"/>
  <c r="J20" i="11"/>
  <c r="J10" i="11"/>
  <c r="I24" i="11"/>
  <c r="I23" i="11" s="1"/>
  <c r="J23" i="11" s="1"/>
  <c r="I27" i="11"/>
  <c r="I26" i="11" s="1"/>
  <c r="J26" i="11" s="1"/>
  <c r="I8" i="11"/>
  <c r="I7" i="11" s="1"/>
  <c r="J7" i="11" s="1"/>
  <c r="J39" i="11" l="1"/>
  <c r="D43" i="11" s="1"/>
  <c r="J41" i="11" l="1"/>
  <c r="B110" i="9"/>
  <c r="I96" i="9"/>
  <c r="B88" i="9"/>
  <c r="I125" i="9"/>
  <c r="G124" i="9"/>
  <c r="I124" i="9" s="1"/>
  <c r="I122" i="9"/>
  <c r="I117" i="9"/>
  <c r="I103" i="9"/>
  <c r="G102" i="9"/>
  <c r="I100" i="9"/>
  <c r="I95" i="9"/>
  <c r="B66" i="9"/>
  <c r="I81" i="9"/>
  <c r="G80" i="9"/>
  <c r="H80" i="9" s="1"/>
  <c r="I78" i="9"/>
  <c r="I73" i="9"/>
  <c r="I54" i="9"/>
  <c r="I53" i="9"/>
  <c r="B45" i="9"/>
  <c r="B23" i="9"/>
  <c r="B1" i="9"/>
  <c r="I33" i="4"/>
  <c r="A44" i="4"/>
  <c r="H29" i="4"/>
  <c r="I29" i="4" s="1"/>
  <c r="B25" i="4"/>
  <c r="H102" i="9" l="1"/>
  <c r="I102" i="9"/>
  <c r="H124" i="9"/>
  <c r="I80" i="9"/>
  <c r="I145" i="4"/>
  <c r="B138" i="4"/>
  <c r="F156" i="4"/>
  <c r="I156" i="4" s="1"/>
  <c r="I141" i="4" s="1"/>
  <c r="I154" i="4"/>
  <c r="I153" i="4"/>
  <c r="I151" i="4"/>
  <c r="I150" i="4"/>
  <c r="F111" i="4"/>
  <c r="I111" i="4" s="1"/>
  <c r="I97" i="4" s="1"/>
  <c r="B94" i="4"/>
  <c r="I109" i="4"/>
  <c r="G108" i="4"/>
  <c r="I108" i="4" s="1"/>
  <c r="I106" i="4"/>
  <c r="I105" i="4"/>
  <c r="I104" i="4"/>
  <c r="I103" i="4"/>
  <c r="I102" i="4"/>
  <c r="I101" i="4"/>
  <c r="I98" i="4"/>
  <c r="I54" i="7"/>
  <c r="I53" i="7"/>
  <c r="F181" i="4"/>
  <c r="F134" i="4"/>
  <c r="I126" i="4"/>
  <c r="I125" i="4"/>
  <c r="I124" i="4"/>
  <c r="I123" i="4"/>
  <c r="A67" i="4"/>
  <c r="B48" i="4"/>
  <c r="F90" i="4"/>
  <c r="H80" i="4"/>
  <c r="H6" i="4"/>
  <c r="I6" i="4" s="1"/>
  <c r="F21" i="4"/>
  <c r="I158" i="4" l="1"/>
  <c r="E12" i="3" s="1"/>
  <c r="F12" i="3" s="1"/>
  <c r="I113" i="4"/>
  <c r="E9" i="3" s="1"/>
  <c r="F9" i="3" s="1"/>
  <c r="H108" i="4"/>
  <c r="I77" i="4"/>
  <c r="C6" i="5" l="1"/>
  <c r="F111" i="8" l="1"/>
  <c r="F110" i="8"/>
  <c r="I110" i="8" s="1"/>
  <c r="F89" i="8"/>
  <c r="I89" i="8" s="1"/>
  <c r="F88" i="8"/>
  <c r="I88" i="8" s="1"/>
  <c r="B91" i="8"/>
  <c r="B69" i="8"/>
  <c r="I111" i="8"/>
  <c r="I108" i="8"/>
  <c r="G107" i="8"/>
  <c r="I107" i="8" s="1"/>
  <c r="I105" i="8"/>
  <c r="I104" i="8"/>
  <c r="H103" i="8"/>
  <c r="I103" i="8" s="1"/>
  <c r="H102" i="8"/>
  <c r="I102" i="8" s="1"/>
  <c r="I101" i="8"/>
  <c r="I100" i="8"/>
  <c r="I99" i="8"/>
  <c r="I98" i="8"/>
  <c r="I86" i="8"/>
  <c r="G85" i="8"/>
  <c r="I85" i="8" s="1"/>
  <c r="I83" i="8"/>
  <c r="I82" i="8"/>
  <c r="H81" i="8"/>
  <c r="I81" i="8"/>
  <c r="H80" i="8"/>
  <c r="I80" i="8" s="1"/>
  <c r="G79" i="8"/>
  <c r="I79" i="8" s="1"/>
  <c r="I78" i="8"/>
  <c r="I77" i="8"/>
  <c r="I76" i="8"/>
  <c r="F66" i="8"/>
  <c r="I66" i="8" s="1"/>
  <c r="F65" i="8"/>
  <c r="I65" i="8" s="1"/>
  <c r="B48" i="8"/>
  <c r="I63" i="8"/>
  <c r="G62" i="8"/>
  <c r="I62" i="8" s="1"/>
  <c r="I60" i="8"/>
  <c r="I59" i="8"/>
  <c r="I58" i="8"/>
  <c r="I57" i="8"/>
  <c r="I56" i="8"/>
  <c r="I55" i="8"/>
  <c r="F43" i="8"/>
  <c r="I43" i="8" s="1"/>
  <c r="I60" i="9"/>
  <c r="G59" i="9"/>
  <c r="I59" i="9" s="1"/>
  <c r="I57" i="9"/>
  <c r="I52" i="9"/>
  <c r="F19" i="9"/>
  <c r="A19" i="9"/>
  <c r="I39" i="9"/>
  <c r="G38" i="9"/>
  <c r="I38" i="9" s="1"/>
  <c r="I36" i="9"/>
  <c r="I30" i="9"/>
  <c r="I17" i="9"/>
  <c r="G16" i="9"/>
  <c r="I16" i="9" s="1"/>
  <c r="I14" i="9"/>
  <c r="I8" i="9"/>
  <c r="B25" i="8"/>
  <c r="I41" i="8"/>
  <c r="G40" i="8"/>
  <c r="I40" i="8" s="1"/>
  <c r="I38" i="8"/>
  <c r="I37" i="8"/>
  <c r="I36" i="8"/>
  <c r="I35" i="8"/>
  <c r="I34" i="8"/>
  <c r="I33" i="8"/>
  <c r="I32" i="8"/>
  <c r="B1" i="8"/>
  <c r="F20" i="8"/>
  <c r="I20" i="8" s="1"/>
  <c r="A20" i="8"/>
  <c r="I18" i="8"/>
  <c r="G17" i="8"/>
  <c r="I17" i="8" s="1"/>
  <c r="I15" i="8"/>
  <c r="I14" i="8"/>
  <c r="I13" i="8"/>
  <c r="I12" i="8"/>
  <c r="I11" i="8"/>
  <c r="I10" i="8"/>
  <c r="I9" i="8"/>
  <c r="I8" i="8"/>
  <c r="A63" i="7"/>
  <c r="B45" i="7"/>
  <c r="I61" i="7"/>
  <c r="G60" i="7"/>
  <c r="I60" i="7" s="1"/>
  <c r="I58" i="7"/>
  <c r="I57" i="7"/>
  <c r="I56" i="7"/>
  <c r="I52" i="7"/>
  <c r="A41" i="7"/>
  <c r="B23" i="7"/>
  <c r="I39" i="7"/>
  <c r="G38" i="7"/>
  <c r="I38" i="7" s="1"/>
  <c r="I36" i="7"/>
  <c r="I35" i="7"/>
  <c r="I34" i="7"/>
  <c r="I30" i="7"/>
  <c r="B1" i="7"/>
  <c r="A19" i="7"/>
  <c r="I17" i="7"/>
  <c r="G16" i="7"/>
  <c r="I16" i="7" s="1"/>
  <c r="I14" i="7"/>
  <c r="I13" i="7"/>
  <c r="I12" i="7"/>
  <c r="I8" i="7"/>
  <c r="I181" i="4"/>
  <c r="B162" i="4"/>
  <c r="I169" i="4"/>
  <c r="I19" i="9" l="1"/>
  <c r="F41" i="9"/>
  <c r="H60" i="7"/>
  <c r="H16" i="7"/>
  <c r="H85" i="8"/>
  <c r="I94" i="8"/>
  <c r="I112" i="8" s="1"/>
  <c r="I72" i="8"/>
  <c r="I90" i="8" s="1"/>
  <c r="H107" i="8"/>
  <c r="I51" i="8"/>
  <c r="I67" i="8" s="1"/>
  <c r="H62" i="8"/>
  <c r="H59" i="9"/>
  <c r="H38" i="9"/>
  <c r="I4" i="9"/>
  <c r="I21" i="9" s="1"/>
  <c r="E19" i="3" s="1"/>
  <c r="F19" i="3" s="1"/>
  <c r="H16" i="9"/>
  <c r="I28" i="8"/>
  <c r="I45" i="8" s="1"/>
  <c r="I4" i="8"/>
  <c r="I22" i="8" s="1"/>
  <c r="H40" i="8"/>
  <c r="H17" i="8"/>
  <c r="H38" i="7"/>
  <c r="I165" i="4"/>
  <c r="I183" i="4" s="1"/>
  <c r="E13" i="3" s="1"/>
  <c r="F13" i="3" s="1"/>
  <c r="F62" i="9" l="1"/>
  <c r="I41" i="9"/>
  <c r="I26" i="9" s="1"/>
  <c r="I43" i="9" s="1"/>
  <c r="E20" i="3" s="1"/>
  <c r="F20" i="3" s="1"/>
  <c r="H52" i="4"/>
  <c r="I52" i="4" s="1"/>
  <c r="I65" i="4"/>
  <c r="G64" i="4"/>
  <c r="I64" i="4" s="1"/>
  <c r="I62" i="4"/>
  <c r="I61" i="4"/>
  <c r="I60" i="4"/>
  <c r="I59" i="4"/>
  <c r="I42" i="4"/>
  <c r="I39" i="4"/>
  <c r="I38" i="4"/>
  <c r="I37" i="4"/>
  <c r="I36" i="4"/>
  <c r="I32" i="4"/>
  <c r="F83" i="9" l="1"/>
  <c r="I62" i="9"/>
  <c r="I48" i="9" s="1"/>
  <c r="I64" i="9" s="1"/>
  <c r="E21" i="3" s="1"/>
  <c r="F21" i="3" s="1"/>
  <c r="H64" i="4"/>
  <c r="I41" i="4"/>
  <c r="I83" i="9" l="1"/>
  <c r="I69" i="9" s="1"/>
  <c r="I85" i="9" s="1"/>
  <c r="E22" i="3" s="1"/>
  <c r="F22" i="3" s="1"/>
  <c r="F105" i="9"/>
  <c r="C13" i="5"/>
  <c r="D13" i="5" s="1"/>
  <c r="I105" i="9" l="1"/>
  <c r="I91" i="9" s="1"/>
  <c r="I107" i="9" s="1"/>
  <c r="E23" i="3" s="1"/>
  <c r="F23" i="3" s="1"/>
  <c r="F127" i="9"/>
  <c r="I127" i="9" s="1"/>
  <c r="I113" i="9" s="1"/>
  <c r="I129" i="9" s="1"/>
  <c r="E24" i="3" s="1"/>
  <c r="F24" i="3" s="1"/>
  <c r="B116" i="4"/>
  <c r="I127" i="4"/>
  <c r="I128" i="4"/>
  <c r="I129" i="4"/>
  <c r="I131" i="4"/>
  <c r="I132" i="4"/>
  <c r="I80" i="4"/>
  <c r="I90" i="4"/>
  <c r="I75" i="4" s="1"/>
  <c r="I76" i="4"/>
  <c r="I79" i="4"/>
  <c r="I81" i="4"/>
  <c r="I82" i="4"/>
  <c r="I83" i="4"/>
  <c r="I84" i="4"/>
  <c r="I85" i="4"/>
  <c r="G87" i="4"/>
  <c r="I87" i="4" s="1"/>
  <c r="I88" i="4"/>
  <c r="B2" i="4"/>
  <c r="B72" i="4"/>
  <c r="I21" i="4"/>
  <c r="I9" i="4"/>
  <c r="I10" i="4"/>
  <c r="I11" i="4"/>
  <c r="I12" i="4"/>
  <c r="I13" i="4"/>
  <c r="I14" i="4"/>
  <c r="I15" i="4"/>
  <c r="I16" i="4"/>
  <c r="G18" i="4"/>
  <c r="I18" i="4" s="1"/>
  <c r="I19" i="4"/>
  <c r="C12" i="5"/>
  <c r="D12" i="5" s="1"/>
  <c r="D26" i="5"/>
  <c r="D25" i="5"/>
  <c r="D24" i="5"/>
  <c r="D23" i="5"/>
  <c r="D22" i="5"/>
  <c r="D21" i="5"/>
  <c r="D20" i="5"/>
  <c r="D19" i="5"/>
  <c r="D18" i="5"/>
  <c r="D17" i="5"/>
  <c r="D16" i="5"/>
  <c r="C11" i="5"/>
  <c r="D11" i="5" s="1"/>
  <c r="C10" i="5"/>
  <c r="D10" i="5" s="1"/>
  <c r="C9" i="5"/>
  <c r="D9" i="5" s="1"/>
  <c r="C8" i="5"/>
  <c r="D8" i="5" s="1"/>
  <c r="C7" i="5"/>
  <c r="D7" i="5" s="1"/>
  <c r="D6" i="5"/>
  <c r="F44" i="4" l="1"/>
  <c r="I44" i="4" s="1"/>
  <c r="I28" i="4" s="1"/>
  <c r="I46" i="4" s="1"/>
  <c r="E7" i="3" s="1"/>
  <c r="F7" i="3" s="1"/>
  <c r="F67" i="4"/>
  <c r="I67" i="4" s="1"/>
  <c r="I51" i="4" s="1"/>
  <c r="I69" i="4" s="1"/>
  <c r="E10" i="3" s="1"/>
  <c r="F10" i="3" s="1"/>
  <c r="I134" i="4"/>
  <c r="I119" i="4" s="1"/>
  <c r="I136" i="4" s="1"/>
  <c r="E11" i="3" s="1"/>
  <c r="F11" i="3" s="1"/>
  <c r="F41" i="7"/>
  <c r="I41" i="7" s="1"/>
  <c r="I26" i="7" s="1"/>
  <c r="I43" i="7" s="1"/>
  <c r="E16" i="3" s="1"/>
  <c r="F16" i="3" s="1"/>
  <c r="F63" i="7"/>
  <c r="I63" i="7" s="1"/>
  <c r="I48" i="7" s="1"/>
  <c r="I65" i="7" s="1"/>
  <c r="E17" i="3" s="1"/>
  <c r="F17" i="3" s="1"/>
  <c r="F19" i="7"/>
  <c r="I19" i="7" s="1"/>
  <c r="I4" i="7" s="1"/>
  <c r="I21" i="7" s="1"/>
  <c r="E15" i="3" s="1"/>
  <c r="F15" i="3" s="1"/>
  <c r="H18" i="4"/>
  <c r="I5" i="4"/>
  <c r="I23" i="4" s="1"/>
  <c r="E5" i="3" s="1"/>
  <c r="H87" i="4"/>
  <c r="I92" i="4"/>
  <c r="E8" i="3" l="1"/>
  <c r="F8" i="3" s="1"/>
  <c r="F5" i="3"/>
  <c r="F26" i="3" l="1"/>
  <c r="F28" i="3" s="1"/>
  <c r="F30" i="3" s="1"/>
  <c r="F31" i="3" l="1"/>
  <c r="F32" i="3" l="1"/>
</calcChain>
</file>

<file path=xl/sharedStrings.xml><?xml version="1.0" encoding="utf-8"?>
<sst xmlns="http://schemas.openxmlformats.org/spreadsheetml/2006/main" count="900" uniqueCount="206">
  <si>
    <t>PRESUPUESTO MANTENIMIENTO INFRAESTRUCTURA CTPGA</t>
  </si>
  <si>
    <t>ITEM</t>
  </si>
  <si>
    <t>DESCRIPCION</t>
  </si>
  <si>
    <t>UND</t>
  </si>
  <si>
    <t>CANT</t>
  </si>
  <si>
    <t>Vr. UNIT</t>
  </si>
  <si>
    <t>Vr. TOTAL</t>
  </si>
  <si>
    <t>A</t>
  </si>
  <si>
    <t>PINTURA</t>
  </si>
  <si>
    <t>Suministro  y aplicación de pintura acrilica, Vinilo Tipo 1 de primera calidad sobre muros revocados y/o estucados, tres manos o las necesarias para obtener una superficie pareja y homogénea. Incluye suministro y transporte de los materiales, tapa poros, adecuación de la superficie a intervenir hasta obtener una superficie pareja y homogénea, color a definir</t>
  </si>
  <si>
    <t>m2</t>
  </si>
  <si>
    <t>B</t>
  </si>
  <si>
    <t>CUBIERTA  Y BAÑOS</t>
  </si>
  <si>
    <t>Mantenimiento correctivo canal amazonas del ctpga, incluye cambio de accesorios como: uniones, union bajante, bajantes, tapas, soportes  y todos los elementos necesarios para su correcta instalacion y funcionamiento</t>
  </si>
  <si>
    <t>M</t>
  </si>
  <si>
    <t>Retiro, Suministro e instalacion de canal interna de aguas lluvias en lamina galvanizada calibre 18, incluye primer, esmalte gris  y todos los elementos para su correcta instalacionv(zona de cuarto electrico, poli 1 y 2).</t>
  </si>
  <si>
    <t>Suministro  y aplicación anticorrosivo y esmalte en la estructura de reforzamiento del pasillo, tres manos o las necesarias para obtener una superficie pareja y homogénea. Incluye suministro y transporte de los materiales, tapa poros, adecuación de la superficie a intervenir hasta obtener una superficie pareja y homogénea, color a definir</t>
  </si>
  <si>
    <t>UNIDAD</t>
  </si>
  <si>
    <t>Retiro e instalacion de perfil metalico para la correcta instalacion de la canl de aguas lluvias, incluye todos los elementos para su correcta instalacionv (zona de cuarto electrico, poli 1 y 2).</t>
  </si>
  <si>
    <t>Suministro e instalacion de soportes metalicos en angulo de 2" por 1/4" para lavamanos, bateria de baños de aprendices, incluye pintura, anticorrosivo y todos los elementos para su correcta instalcion.</t>
  </si>
  <si>
    <t>Manteniemiento correctivo de de divisiones en aceroo inoxidable bateria de baños de aprendices, incluye cambio de bisagras, anclajes y todos los elementos necesarios para su correcta instalacion.</t>
  </si>
  <si>
    <t>Manteniemiento correctivo de lavamanos en aceroo inoxidable bateria de baños aprendices, incluye instalacion de melamina, fijacion de platos y brillada, incluye todos los elementos necesarios para su correcta instalacion.</t>
  </si>
  <si>
    <t>C</t>
  </si>
  <si>
    <t>CARPINTERIA METALICA Y MADERA</t>
  </si>
  <si>
    <t>Suministro, transporte e instalación de PUERTA  DE ALUMNIO DE 0.9X2.7 CON VENTANA PROYECTANTE,  Incluye cerradura de seguridad, y todos los demás elementos necesarios para su correcta instalación y funcionamiento.</t>
  </si>
  <si>
    <t>Suministro, transporte e instalación de VIDRIO 5 MM COLOR NATURAL, incluye cerradura, y todos los demás elementos necesarios para su correcta instalación y funcionamiento.</t>
  </si>
  <si>
    <t>M2</t>
  </si>
  <si>
    <t xml:space="preserve">Mantenimento correctivo de rodachines y rieles de puertas corredizas del auditorio y ambiente de emprendimiento, Incluye cerradura de seguridad y todos los demás elementos necesarios para su correcta instalación y funcionamiento. </t>
  </si>
  <si>
    <t>D</t>
  </si>
  <si>
    <t>ELECTRICO</t>
  </si>
  <si>
    <t>Suministro e instalacion de Lamparas de sobreponer led  8",  18W, 1500 lm,120VAC 50/60hz, luz blanca, proteccion ip20,</t>
  </si>
  <si>
    <t>Suministro e instalacion de Sensores de movimiento tipo techo, con Voltaje 120VAC 50/60 Hz, Ángulo de detección 180°.</t>
  </si>
  <si>
    <t>Suministro e instalacion de Reflectores perimetrales  led 200w 120/240 VAC 50/60 Hz,ip 65 incluye instalacion, cableado, breaker de proteccion y/o tablero electrico</t>
  </si>
  <si>
    <t>Suministro e instalacion de Tubos led t8 luz blanca, 18w, G13, 110/220v, 6500k</t>
  </si>
  <si>
    <t>Suministro e instalacion de iluminacion led con rosca 120/240v, 15w con rosca E27, incluye socket, instalacion, cables, para baños</t>
  </si>
  <si>
    <t>Suministro e instalacion de ventiladores de techo con rodamiento, Cantidad De Aspas 3 Color De La Estructura Blanco Color De Las Aspas Blanco Diámetro 56 Frecuencia 80w Material De Las Aspas Metal 110v</t>
  </si>
  <si>
    <t>TOTAL COSTO DIRECTO</t>
  </si>
  <si>
    <t>COSTOS DIRECTOS</t>
  </si>
  <si>
    <t>COSTOS INDIRECTOS</t>
  </si>
  <si>
    <t>ADMINISTRACION 20 %</t>
  </si>
  <si>
    <t>UTILIDAD 5 %</t>
  </si>
  <si>
    <t>COSTO TOTAL</t>
  </si>
  <si>
    <t>Elaboro: Victor Mercado Sampayo
Ing. Civil
MP: 54202-271756 NTS
cc: 1052.962.040</t>
  </si>
  <si>
    <t>ITEM:</t>
  </si>
  <si>
    <t>A.P.U_H-02</t>
  </si>
  <si>
    <t>UNIDAD:</t>
  </si>
  <si>
    <t>Und</t>
  </si>
  <si>
    <t>EQUIPOS Y HERRAMIENTAS</t>
  </si>
  <si>
    <t>Vr. / DIA</t>
  </si>
  <si>
    <t>REND.</t>
  </si>
  <si>
    <t>V-UNIT.</t>
  </si>
  <si>
    <t>Hta menor</t>
  </si>
  <si>
    <t>MATERIALES</t>
  </si>
  <si>
    <t>UN.</t>
  </si>
  <si>
    <t>P-UNIT.</t>
  </si>
  <si>
    <t>CANT.</t>
  </si>
  <si>
    <t>V-UNIT</t>
  </si>
  <si>
    <t>Lamparas de sobreponer led  8",  18W, 1500 lm,120VAC 50/60hz, luz blanca</t>
  </si>
  <si>
    <t>TRANSPORTE</t>
  </si>
  <si>
    <t>Vol (M3)</t>
  </si>
  <si>
    <t>DIST.</t>
  </si>
  <si>
    <t>M3-KM</t>
  </si>
  <si>
    <t>TARIFA</t>
  </si>
  <si>
    <t>Materiales</t>
  </si>
  <si>
    <t>Agregados</t>
  </si>
  <si>
    <t>MANO DE OBRA</t>
  </si>
  <si>
    <t>JORNAL+PRESTAC.</t>
  </si>
  <si>
    <t>A.P.U_H-03</t>
  </si>
  <si>
    <t>Sensores de movimiento tipo techo, con Voltaje 120VAC 50/60 Hz, Ángulo de detección 180°</t>
  </si>
  <si>
    <t>OFICIAL ELECTRICO</t>
  </si>
  <si>
    <t>Reflectores perimetrales  led 200w 120/240 VAC 50/60 Hz,ip 65</t>
  </si>
  <si>
    <t>Cable encauchetado #14x3</t>
  </si>
  <si>
    <t>BREKE</t>
  </si>
  <si>
    <t>Tubos led t8 luz blanca, 18w, G13, 110/220v, 6500k</t>
  </si>
  <si>
    <t>iluminacion led con rosca 120/240v, 15w con rosca E27</t>
  </si>
  <si>
    <t>cable encauchetado</t>
  </si>
  <si>
    <t>ventilador de techo kdk de 3 aspas</t>
  </si>
  <si>
    <t>A.P.U_J-01</t>
  </si>
  <si>
    <t>Sanitario San giorgio alongado dual Blanco CORONA</t>
  </si>
  <si>
    <t>Cemento blanco tipo 1</t>
  </si>
  <si>
    <t>Kg</t>
  </si>
  <si>
    <t xml:space="preserve">Valvula regulacion 1/2 pulg metalica GRIVAL </t>
  </si>
  <si>
    <t xml:space="preserve">Lavamanos de sobreponer </t>
  </si>
  <si>
    <t>Mostardor en madera de calidad</t>
  </si>
  <si>
    <t>unidad</t>
  </si>
  <si>
    <t>PLOMERO</t>
  </si>
  <si>
    <t>A.P.U_I-01</t>
  </si>
  <si>
    <t>Accesorios PVC-P 1/2" (Union, tee, codo, Adadtadores, tapon)</t>
  </si>
  <si>
    <t>Glob</t>
  </si>
  <si>
    <t>Tuberia PVC-P 1/2"</t>
  </si>
  <si>
    <t>ml</t>
  </si>
  <si>
    <t>Soldadura liquida PVC Pavco o similar</t>
  </si>
  <si>
    <t>Gal/4</t>
  </si>
  <si>
    <t xml:space="preserve">Limpiador removedor PVC Pavco o similar </t>
  </si>
  <si>
    <t>AYUDANTE</t>
  </si>
  <si>
    <t>A.P.U_I-03</t>
  </si>
  <si>
    <t>Codo45° 1/8cxe  4pulg  sanitaria Pavco o Similar</t>
  </si>
  <si>
    <t>Tub. sanitaria 6m 4 pulg  Pavco o Similar</t>
  </si>
  <si>
    <t>Codo 90°-1/4 cxc 4 pulg  Pavco o similar</t>
  </si>
  <si>
    <t>Yees  sanitarias 4 pulg  pavco</t>
  </si>
  <si>
    <t>und</t>
  </si>
  <si>
    <t>A.P.U_I-04</t>
  </si>
  <si>
    <t>Codo45° 1/8cxe  2pulg  sanitaria Pavco o Similar</t>
  </si>
  <si>
    <t>Tub. sanitaria 6m 2 pulg  Pavco o Similar</t>
  </si>
  <si>
    <t>Codo 90°-1/4 cxc 2 pulg  Pavco o similar</t>
  </si>
  <si>
    <t>Yees  sanitarias 2 pulg  pavco</t>
  </si>
  <si>
    <t>A.P.U_F-04</t>
  </si>
  <si>
    <t>Andamio tramo completo 1.5x1.5</t>
  </si>
  <si>
    <t>Pintura vinilica tipo 1 de viniltex o similar</t>
  </si>
  <si>
    <t>Galon</t>
  </si>
  <si>
    <t>rodillo de felpa</t>
  </si>
  <si>
    <t>cinta de enmascarar</t>
  </si>
  <si>
    <t>OFICICIAL OBRA BLANCA</t>
  </si>
  <si>
    <t>A.P.U_G-02</t>
  </si>
  <si>
    <t>andamios</t>
  </si>
  <si>
    <t>Accesorios canal amazonas</t>
  </si>
  <si>
    <t>m</t>
  </si>
  <si>
    <t>tronillos autoperforantes</t>
  </si>
  <si>
    <t>andamio con tablon</t>
  </si>
  <si>
    <t>A.P.U_G-01</t>
  </si>
  <si>
    <t>ML</t>
  </si>
  <si>
    <t>equipo de soldadura</t>
  </si>
  <si>
    <t>canal metalica galvanizada calibre 18</t>
  </si>
  <si>
    <t>primer</t>
  </si>
  <si>
    <t>galon</t>
  </si>
  <si>
    <t>anticorrosivo</t>
  </si>
  <si>
    <t>tiner</t>
  </si>
  <si>
    <t xml:space="preserve"> 1 HORNAMENTADOR  + 1 AYUDANTE</t>
  </si>
  <si>
    <t>esmalte</t>
  </si>
  <si>
    <t>lijas 100</t>
  </si>
  <si>
    <t>PINTOR</t>
  </si>
  <si>
    <t>angulo metalico de 2"x1/4"</t>
  </si>
  <si>
    <t>electrodo</t>
  </si>
  <si>
    <t>kg</t>
  </si>
  <si>
    <t>HORNAMENTADOR + 1 AYUDANTE</t>
  </si>
  <si>
    <t>accesorios</t>
  </si>
  <si>
    <t>melamina 20 mm</t>
  </si>
  <si>
    <t>HORNAMENTADOR</t>
  </si>
  <si>
    <t>AYUDANTE ENTENDIDO</t>
  </si>
  <si>
    <t>puerta en alumnio natural</t>
  </si>
  <si>
    <t>vidrio natural 5 mm</t>
  </si>
  <si>
    <t>riel galvanizado</t>
  </si>
  <si>
    <t>rodachines</t>
  </si>
  <si>
    <t>guarda de seguridad</t>
  </si>
  <si>
    <t>PROPUESTA CUADRO DE SALARIO</t>
  </si>
  <si>
    <t xml:space="preserve">DESCRIPCION </t>
  </si>
  <si>
    <t>CUADRILLAS</t>
  </si>
  <si>
    <t>COSTO DIRECTO</t>
  </si>
  <si>
    <t>COSTO + PRESTACIONES</t>
  </si>
  <si>
    <t>1 AYUDANTE</t>
  </si>
  <si>
    <t>CUADRILLA 1</t>
  </si>
  <si>
    <t>2 AYUDANTES</t>
  </si>
  <si>
    <t>CUADRILLA 2</t>
  </si>
  <si>
    <t>1 OFICIAL + 1 AYUDANTE</t>
  </si>
  <si>
    <t xml:space="preserve">CUADRILLA 3 </t>
  </si>
  <si>
    <t>1 OFICIAL + 2 AYUDANTES</t>
  </si>
  <si>
    <t xml:space="preserve">CUADRILLA 4 </t>
  </si>
  <si>
    <t>1 OFICIAL + 4 AYUDANTES</t>
  </si>
  <si>
    <t>CUADRILLA 5</t>
  </si>
  <si>
    <t>1 OFICIAL + 6 AYUDANTES</t>
  </si>
  <si>
    <t>CUADRILLA 6</t>
  </si>
  <si>
    <t>1TOPOGRAFO + 1CADENERO I + 1 CADENERO II</t>
  </si>
  <si>
    <t>CUADRILLA 7</t>
  </si>
  <si>
    <t>2 OFICIAL + 2 AYUDANTES</t>
  </si>
  <si>
    <t>CUADRILLA 8</t>
  </si>
  <si>
    <t>SALARIO BASICO (DIA)</t>
  </si>
  <si>
    <t>% PREST.</t>
  </si>
  <si>
    <t>SALARIO (MES)</t>
  </si>
  <si>
    <t>OFICIAL OBRA GRIS</t>
  </si>
  <si>
    <t>OFICIAL OBRA BLANCA</t>
  </si>
  <si>
    <t>OFICIAL PLOMERIA</t>
  </si>
  <si>
    <t>TOPOGRAFO 1</t>
  </si>
  <si>
    <t>CADENERO 1</t>
  </si>
  <si>
    <t>CADENERO 2</t>
  </si>
  <si>
    <t>AYUDANTE RASO</t>
  </si>
  <si>
    <t>TECNOLOGO CIVIL</t>
  </si>
  <si>
    <t>INGENIERO CIVIL</t>
  </si>
  <si>
    <t xml:space="preserve"> PROPUESTA DISCRIMINACION DEL A.I.U</t>
  </si>
  <si>
    <t>VALOR COSTO DIRECTO :</t>
  </si>
  <si>
    <t>No</t>
  </si>
  <si>
    <t>TIEMPO</t>
  </si>
  <si>
    <t>SALARIO</t>
  </si>
  <si>
    <t>P.S.</t>
  </si>
  <si>
    <t>TOTAL</t>
  </si>
  <si>
    <t>%</t>
  </si>
  <si>
    <t>(Meses)</t>
  </si>
  <si>
    <t>GASTOS GENERALES DE LA FIRMA</t>
  </si>
  <si>
    <t>Informes, papelería, fotografías</t>
  </si>
  <si>
    <t>PERSONAL DE DIRECCION Y ADMINISTRACION</t>
  </si>
  <si>
    <t>Tecnologo Residente</t>
  </si>
  <si>
    <t>TRANSPORTE DE PERSONAL Y EQUIPOS EN GENERAL</t>
  </si>
  <si>
    <t>SERVICIOS GENERALES, VIGILANCIA, CONSERVACION Y MANTENIMIENTO</t>
  </si>
  <si>
    <t>Celador</t>
  </si>
  <si>
    <t>MOVILIZACION E INSTALACIONES PROVISIONALES</t>
  </si>
  <si>
    <t>SEGURIDAD INDUSTRIAL Y TIEMPO DE INACTIVIDAD</t>
  </si>
  <si>
    <t>Seguridad industrial</t>
  </si>
  <si>
    <t>GARANTIAS Y SEGUROS</t>
  </si>
  <si>
    <t>Poliza Unica de cumplimiento</t>
  </si>
  <si>
    <t>Poliza Estabilidad civil</t>
  </si>
  <si>
    <t>IMPUESTOS, CONTRIBUCIONES Y TRANSFERENCIAS</t>
  </si>
  <si>
    <t>Retefuente</t>
  </si>
  <si>
    <t>SUBTOTAL ADMINISTRACION</t>
  </si>
  <si>
    <t>UTILIDAD DEL CONTRATISTA</t>
  </si>
  <si>
    <t>TOTAL ADMINISTRACION, IMPREVISTOS Y UTILIDAD :</t>
  </si>
  <si>
    <t>ADMINISTRACION</t>
  </si>
  <si>
    <t>UTILIDAD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</si>
</sst>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164" formatCode="_-* #,##0.00_-;\-* #,##0.00_-;_-* &quot;-&quot;??_-;_-@_-"/>
    <numFmt numFmtId="165" formatCode="_-* #,##0.00\ &quot;€&quot;_-;\-* #,##0.00\ &quot;€&quot;_-;_-* &quot;-&quot;??\ &quot;€&quot;_-;_-@_-"/>
    <numFmt numFmtId="166" formatCode="_ * #,##0.00_ ;_ * \-#,##0.00_ ;_ * &quot;-&quot;??_ ;_ @_ "/>
    <numFmt numFmtId="167" formatCode="_ * #,##0_ ;_ * \-#,##0_ ;_ * &quot;-&quot;??_ ;_ @_ "/>
    <numFmt numFmtId="168" formatCode="_ * #,##0.0_ ;_ * \-#,##0.0_ ;_ * &quot;-&quot;??_ ;_ @_ "/>
    <numFmt numFmtId="169" formatCode="[$$-240A]\ #,##0.00"/>
    <numFmt numFmtId="170" formatCode="_(&quot;$&quot;\ * #,##0.00_);_(&quot;$&quot;\ * \(#,##0.00\);_(&quot;$&quot;\ * &quot;-&quot;??_);_(@_)"/>
    <numFmt numFmtId="171" formatCode="_(&quot;$&quot;\ * #,##0_);_(&quot;$&quot;\ * \(#,##0\);_(&quot;$&quot;\ * &quot;-&quot;??_);_(@_)"/>
    <numFmt numFmtId="172" formatCode="_([$$-240A]\ * #,##0.00_);_([$$-240A]\ * \(#,##0.00\);_([$$-240A]\ * &quot;-&quot;??_);_(@_)"/>
    <numFmt numFmtId="173" formatCode="_-[$$-240A]\ * #,##0.00_-;\-[$$-240A]\ * #,##0.00_-;_-[$$-240A]\ * &quot;-&quot;??_-;_-@_-"/>
    <numFmt numFmtId="174" formatCode="_-* #,##0.00\ _€_-;\-* #,##0.00\ _€_-;_-* &quot;-&quot;??\ _€_-;_-@_-"/>
    <numFmt numFmtId="175" formatCode="_ * #,##0.000_ ;_ * \-#,##0.000_ ;_ * &quot;-&quot;??_ ;_ @_ "/>
    <numFmt numFmtId="176" formatCode="[$$-2C0A]\ #,##0"/>
    <numFmt numFmtId="177" formatCode="[$$-2C0A]\ #,##0.00"/>
    <numFmt numFmtId="178" formatCode="\$#,##0;[Red]\(\$#,##0\)"/>
    <numFmt numFmtId="179" formatCode="\$\ #,##0"/>
    <numFmt numFmtId="180" formatCode="&quot;$&quot;#,##0;[Red]&quot;$&quot;#,##0"/>
    <numFmt numFmtId="181" formatCode="0.0"/>
    <numFmt numFmtId="182" formatCode="0.000%"/>
    <numFmt numFmtId="183" formatCode="[$$-2C0A]#,##0.00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indexed="8"/>
      <name val="Arial Narrow"/>
      <family val="2"/>
    </font>
    <font>
      <sz val="11"/>
      <color indexed="8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10"/>
      <name val="Arial"/>
      <family val="2"/>
    </font>
    <font>
      <b/>
      <sz val="11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0"/>
      <color theme="1"/>
      <name val="Arial Narrow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</cellStyleXfs>
  <cellXfs count="251">
    <xf numFmtId="0" fontId="0" fillId="0" borderId="0" xfId="0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0" fillId="4" borderId="0" xfId="0" applyFill="1"/>
    <xf numFmtId="0" fontId="6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1" xfId="0" applyFont="1" applyBorder="1"/>
    <xf numFmtId="0" fontId="4" fillId="0" borderId="1" xfId="0" applyFont="1" applyBorder="1"/>
    <xf numFmtId="0" fontId="7" fillId="0" borderId="1" xfId="0" applyFont="1" applyBorder="1" applyAlignment="1">
      <alignment horizontal="left"/>
    </xf>
    <xf numFmtId="166" fontId="8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6" fontId="9" fillId="0" borderId="1" xfId="0" applyNumberFormat="1" applyFont="1" applyBorder="1" applyAlignment="1">
      <alignment horizontal="center"/>
    </xf>
    <xf numFmtId="166" fontId="10" fillId="0" borderId="1" xfId="0" applyNumberFormat="1" applyFont="1" applyBorder="1" applyAlignment="1">
      <alignment horizontal="center"/>
    </xf>
    <xf numFmtId="166" fontId="10" fillId="0" borderId="1" xfId="2" applyNumberFormat="1" applyFont="1" applyBorder="1"/>
    <xf numFmtId="167" fontId="10" fillId="0" borderId="1" xfId="2" applyNumberFormat="1" applyFont="1" applyBorder="1" applyAlignment="1">
      <alignment horizontal="center"/>
    </xf>
    <xf numFmtId="4" fontId="10" fillId="0" borderId="1" xfId="2" applyNumberFormat="1" applyFont="1" applyBorder="1" applyAlignment="1">
      <alignment horizontal="center"/>
    </xf>
    <xf numFmtId="168" fontId="9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7" fontId="10" fillId="0" borderId="1" xfId="2" applyNumberFormat="1" applyFont="1" applyBorder="1"/>
    <xf numFmtId="0" fontId="9" fillId="0" borderId="1" xfId="0" applyFont="1" applyBorder="1" applyAlignment="1">
      <alignment horizontal="centerContinuous"/>
    </xf>
    <xf numFmtId="164" fontId="10" fillId="0" borderId="1" xfId="2" applyNumberFormat="1" applyFont="1" applyBorder="1"/>
    <xf numFmtId="0" fontId="9" fillId="0" borderId="12" xfId="0" applyFont="1" applyBorder="1" applyAlignment="1">
      <alignment horizontal="center"/>
    </xf>
    <xf numFmtId="166" fontId="9" fillId="0" borderId="12" xfId="0" applyNumberFormat="1" applyFont="1" applyBorder="1" applyAlignment="1">
      <alignment horizontal="center"/>
    </xf>
    <xf numFmtId="168" fontId="7" fillId="0" borderId="1" xfId="0" applyNumberFormat="1" applyFont="1" applyBorder="1" applyAlignment="1">
      <alignment horizontal="left"/>
    </xf>
    <xf numFmtId="0" fontId="8" fillId="0" borderId="1" xfId="0" applyFont="1" applyBorder="1"/>
    <xf numFmtId="168" fontId="8" fillId="0" borderId="1" xfId="0" applyNumberFormat="1" applyFont="1" applyBorder="1" applyAlignment="1">
      <alignment horizontal="centerContinuous"/>
    </xf>
    <xf numFmtId="167" fontId="7" fillId="0" borderId="1" xfId="0" applyNumberFormat="1" applyFont="1" applyBorder="1" applyAlignment="1">
      <alignment horizontal="right"/>
    </xf>
    <xf numFmtId="166" fontId="7" fillId="0" borderId="1" xfId="0" applyNumberFormat="1" applyFont="1" applyBorder="1" applyAlignment="1">
      <alignment horizontal="right"/>
    </xf>
    <xf numFmtId="0" fontId="14" fillId="0" borderId="0" xfId="0" applyFont="1"/>
    <xf numFmtId="0" fontId="14" fillId="0" borderId="1" xfId="0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169" fontId="16" fillId="0" borderId="1" xfId="0" applyNumberFormat="1" applyFont="1" applyBorder="1" applyAlignment="1">
      <alignment horizontal="right"/>
    </xf>
    <xf numFmtId="169" fontId="16" fillId="0" borderId="1" xfId="0" applyNumberFormat="1" applyFont="1" applyBorder="1" applyAlignment="1">
      <alignment horizontal="right" vertical="center"/>
    </xf>
    <xf numFmtId="169" fontId="17" fillId="0" borderId="1" xfId="0" applyNumberFormat="1" applyFont="1" applyBorder="1"/>
    <xf numFmtId="0" fontId="14" fillId="0" borderId="1" xfId="0" applyFont="1" applyBorder="1"/>
    <xf numFmtId="169" fontId="14" fillId="0" borderId="1" xfId="0" applyNumberFormat="1" applyFont="1" applyBorder="1"/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172" fontId="16" fillId="0" borderId="1" xfId="0" applyNumberFormat="1" applyFont="1" applyBorder="1" applyAlignment="1">
      <alignment horizontal="center" vertical="center"/>
    </xf>
    <xf numFmtId="9" fontId="16" fillId="0" borderId="1" xfId="0" applyNumberFormat="1" applyFont="1" applyBorder="1" applyAlignment="1">
      <alignment horizontal="center" vertical="center"/>
    </xf>
    <xf numFmtId="172" fontId="16" fillId="0" borderId="1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0" fillId="2" borderId="0" xfId="0" applyFill="1"/>
    <xf numFmtId="0" fontId="5" fillId="2" borderId="1" xfId="0" applyFont="1" applyFill="1" applyBorder="1" applyAlignment="1">
      <alignment horizontal="justify" vertical="center" wrapText="1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173" fontId="3" fillId="0" borderId="6" xfId="0" applyNumberFormat="1" applyFont="1" applyBorder="1" applyAlignment="1">
      <alignment vertical="center"/>
    </xf>
    <xf numFmtId="173" fontId="6" fillId="3" borderId="1" xfId="1" applyNumberFormat="1" applyFont="1" applyFill="1" applyBorder="1" applyAlignment="1">
      <alignment vertical="center"/>
    </xf>
    <xf numFmtId="173" fontId="0" fillId="0" borderId="0" xfId="0" applyNumberFormat="1"/>
    <xf numFmtId="168" fontId="7" fillId="0" borderId="3" xfId="0" applyNumberFormat="1" applyFont="1" applyBorder="1" applyAlignment="1">
      <alignment horizontal="left"/>
    </xf>
    <xf numFmtId="0" fontId="8" fillId="0" borderId="3" xfId="0" applyFont="1" applyBorder="1"/>
    <xf numFmtId="168" fontId="8" fillId="0" borderId="3" xfId="0" applyNumberFormat="1" applyFont="1" applyBorder="1" applyAlignment="1">
      <alignment horizontal="centerContinuous"/>
    </xf>
    <xf numFmtId="0" fontId="0" fillId="0" borderId="1" xfId="0" applyBorder="1"/>
    <xf numFmtId="166" fontId="0" fillId="0" borderId="1" xfId="0" applyNumberFormat="1" applyBorder="1"/>
    <xf numFmtId="167" fontId="0" fillId="0" borderId="1" xfId="0" applyNumberFormat="1" applyBorder="1"/>
    <xf numFmtId="4" fontId="0" fillId="0" borderId="1" xfId="0" applyNumberFormat="1" applyBorder="1"/>
    <xf numFmtId="168" fontId="0" fillId="0" borderId="1" xfId="0" applyNumberFormat="1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5" borderId="0" xfId="0" applyFill="1"/>
    <xf numFmtId="0" fontId="10" fillId="0" borderId="1" xfId="0" applyFont="1" applyBorder="1" applyAlignment="1">
      <alignment horizontal="center" vertical="center"/>
    </xf>
    <xf numFmtId="167" fontId="10" fillId="0" borderId="1" xfId="2" applyNumberFormat="1" applyFont="1" applyBorder="1" applyAlignment="1">
      <alignment vertical="center"/>
    </xf>
    <xf numFmtId="166" fontId="10" fillId="0" borderId="1" xfId="2" applyNumberFormat="1" applyFont="1" applyBorder="1" applyAlignment="1">
      <alignment vertical="center"/>
    </xf>
    <xf numFmtId="175" fontId="10" fillId="0" borderId="1" xfId="2" applyNumberFormat="1" applyFont="1" applyBorder="1"/>
    <xf numFmtId="167" fontId="7" fillId="0" borderId="4" xfId="0" applyNumberFormat="1" applyFont="1" applyBorder="1" applyAlignment="1">
      <alignment horizontal="right"/>
    </xf>
    <xf numFmtId="2" fontId="6" fillId="2" borderId="1" xfId="0" applyNumberFormat="1" applyFont="1" applyFill="1" applyBorder="1" applyAlignment="1">
      <alignment horizontal="center" vertical="center"/>
    </xf>
    <xf numFmtId="173" fontId="6" fillId="2" borderId="1" xfId="1" applyNumberFormat="1" applyFont="1" applyFill="1" applyBorder="1" applyAlignment="1">
      <alignment vertical="center"/>
    </xf>
    <xf numFmtId="173" fontId="3" fillId="0" borderId="7" xfId="0" applyNumberFormat="1" applyFont="1" applyBorder="1" applyAlignment="1">
      <alignment horizontal="left" vertical="center"/>
    </xf>
    <xf numFmtId="173" fontId="19" fillId="0" borderId="9" xfId="1" applyNumberFormat="1" applyFont="1" applyBorder="1" applyAlignment="1">
      <alignment horizontal="left" vertical="center"/>
    </xf>
    <xf numFmtId="173" fontId="2" fillId="0" borderId="0" xfId="0" applyNumberFormat="1" applyFont="1" applyAlignment="1">
      <alignment horizontal="left"/>
    </xf>
    <xf numFmtId="168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8" fillId="0" borderId="0" xfId="0" applyFont="1" applyAlignment="1">
      <alignment horizontal="center"/>
    </xf>
    <xf numFmtId="168" fontId="7" fillId="0" borderId="0" xfId="0" applyNumberFormat="1" applyFont="1" applyAlignment="1">
      <alignment horizontal="left"/>
    </xf>
    <xf numFmtId="0" fontId="8" fillId="0" borderId="0" xfId="0" applyFont="1"/>
    <xf numFmtId="168" fontId="8" fillId="0" borderId="0" xfId="0" applyNumberFormat="1" applyFont="1" applyAlignment="1">
      <alignment horizontal="centerContinuous"/>
    </xf>
    <xf numFmtId="166" fontId="7" fillId="0" borderId="0" xfId="0" applyNumberFormat="1" applyFont="1" applyAlignment="1">
      <alignment horizontal="right"/>
    </xf>
    <xf numFmtId="173" fontId="6" fillId="0" borderId="1" xfId="1" applyNumberFormat="1" applyFont="1" applyFill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174" fontId="2" fillId="0" borderId="9" xfId="0" applyNumberFormat="1" applyFont="1" applyBorder="1"/>
    <xf numFmtId="0" fontId="4" fillId="0" borderId="8" xfId="0" applyFont="1" applyBorder="1" applyAlignment="1">
      <alignment horizontal="center" vertical="center"/>
    </xf>
    <xf numFmtId="174" fontId="2" fillId="0" borderId="7" xfId="0" applyNumberFormat="1" applyFont="1" applyBorder="1"/>
    <xf numFmtId="0" fontId="4" fillId="0" borderId="17" xfId="0" applyFont="1" applyBorder="1" applyAlignment="1">
      <alignment horizontal="center" vertical="center"/>
    </xf>
    <xf numFmtId="174" fontId="2" fillId="0" borderId="16" xfId="0" applyNumberFormat="1" applyFont="1" applyBorder="1"/>
    <xf numFmtId="170" fontId="4" fillId="0" borderId="1" xfId="0" applyNumberFormat="1" applyFont="1" applyBorder="1" applyAlignment="1">
      <alignment horizontal="center" vertical="center"/>
    </xf>
    <xf numFmtId="173" fontId="19" fillId="2" borderId="9" xfId="1" applyNumberFormat="1" applyFont="1" applyFill="1" applyBorder="1" applyAlignment="1">
      <alignment horizontal="left" vertical="center"/>
    </xf>
    <xf numFmtId="0" fontId="2" fillId="0" borderId="8" xfId="0" applyFont="1" applyBorder="1"/>
    <xf numFmtId="173" fontId="2" fillId="0" borderId="9" xfId="0" applyNumberFormat="1" applyFont="1" applyBorder="1" applyAlignment="1">
      <alignment horizontal="left"/>
    </xf>
    <xf numFmtId="0" fontId="0" fillId="0" borderId="1" xfId="0" applyBorder="1" applyAlignment="1">
      <alignment wrapText="1"/>
    </xf>
    <xf numFmtId="176" fontId="15" fillId="0" borderId="27" xfId="3" applyNumberFormat="1" applyFont="1" applyBorder="1" applyAlignment="1">
      <alignment horizontal="left"/>
    </xf>
    <xf numFmtId="177" fontId="15" fillId="0" borderId="28" xfId="3" applyNumberFormat="1" applyFont="1" applyBorder="1" applyAlignment="1">
      <alignment horizontal="right"/>
    </xf>
    <xf numFmtId="0" fontId="14" fillId="0" borderId="29" xfId="3" applyFont="1" applyBorder="1"/>
    <xf numFmtId="0" fontId="15" fillId="0" borderId="30" xfId="3" applyFont="1" applyBorder="1" applyAlignment="1">
      <alignment horizontal="centerContinuous"/>
    </xf>
    <xf numFmtId="0" fontId="14" fillId="0" borderId="31" xfId="3" applyFont="1" applyBorder="1" applyAlignment="1">
      <alignment horizontal="centerContinuous"/>
    </xf>
    <xf numFmtId="0" fontId="15" fillId="0" borderId="32" xfId="3" applyFont="1" applyBorder="1" applyAlignment="1">
      <alignment horizontal="center"/>
    </xf>
    <xf numFmtId="0" fontId="15" fillId="0" borderId="33" xfId="3" applyFont="1" applyBorder="1" applyAlignment="1">
      <alignment horizontal="center"/>
    </xf>
    <xf numFmtId="0" fontId="14" fillId="0" borderId="34" xfId="3" applyFont="1" applyBorder="1"/>
    <xf numFmtId="0" fontId="14" fillId="0" borderId="12" xfId="3" applyFont="1" applyBorder="1"/>
    <xf numFmtId="0" fontId="15" fillId="0" borderId="12" xfId="3" applyFont="1" applyBorder="1" applyAlignment="1">
      <alignment horizontal="center"/>
    </xf>
    <xf numFmtId="0" fontId="14" fillId="0" borderId="14" xfId="3" applyFont="1" applyBorder="1" applyAlignment="1">
      <alignment horizontal="center"/>
    </xf>
    <xf numFmtId="0" fontId="15" fillId="0" borderId="8" xfId="3" applyFont="1" applyBorder="1"/>
    <xf numFmtId="0" fontId="14" fillId="0" borderId="1" xfId="3" applyFont="1" applyBorder="1"/>
    <xf numFmtId="178" fontId="15" fillId="0" borderId="1" xfId="3" applyNumberFormat="1" applyFont="1" applyBorder="1"/>
    <xf numFmtId="10" fontId="15" fillId="0" borderId="9" xfId="3" applyNumberFormat="1" applyFont="1" applyBorder="1" applyAlignment="1">
      <alignment horizontal="center"/>
    </xf>
    <xf numFmtId="0" fontId="14" fillId="0" borderId="8" xfId="3" applyFont="1" applyBorder="1"/>
    <xf numFmtId="0" fontId="14" fillId="0" borderId="1" xfId="3" applyFont="1" applyBorder="1" applyAlignment="1">
      <alignment horizontal="center"/>
    </xf>
    <xf numFmtId="2" fontId="14" fillId="0" borderId="1" xfId="3" applyNumberFormat="1" applyFont="1" applyBorder="1" applyAlignment="1">
      <alignment horizontal="center"/>
    </xf>
    <xf numFmtId="179" fontId="14" fillId="0" borderId="1" xfId="3" applyNumberFormat="1" applyFont="1" applyBorder="1"/>
    <xf numFmtId="180" fontId="14" fillId="0" borderId="1" xfId="3" applyNumberFormat="1" applyFont="1" applyBorder="1"/>
    <xf numFmtId="176" fontId="14" fillId="0" borderId="1" xfId="3" applyNumberFormat="1" applyFont="1" applyBorder="1"/>
    <xf numFmtId="0" fontId="15" fillId="0" borderId="9" xfId="3" applyFont="1" applyBorder="1" applyAlignment="1">
      <alignment horizontal="center"/>
    </xf>
    <xf numFmtId="0" fontId="15" fillId="0" borderId="8" xfId="3" applyFont="1" applyBorder="1" applyAlignment="1">
      <alignment vertical="top"/>
    </xf>
    <xf numFmtId="176" fontId="15" fillId="0" borderId="1" xfId="3" applyNumberFormat="1" applyFont="1" applyBorder="1" applyAlignment="1">
      <alignment vertical="center"/>
    </xf>
    <xf numFmtId="10" fontId="15" fillId="0" borderId="9" xfId="5" applyNumberFormat="1" applyFont="1" applyBorder="1" applyAlignment="1">
      <alignment horizontal="center" vertical="center"/>
    </xf>
    <xf numFmtId="181" fontId="14" fillId="0" borderId="1" xfId="3" applyNumberFormat="1" applyFont="1" applyBorder="1" applyAlignment="1">
      <alignment horizontal="center"/>
    </xf>
    <xf numFmtId="10" fontId="15" fillId="0" borderId="9" xfId="5" applyNumberFormat="1" applyFont="1" applyBorder="1" applyAlignment="1">
      <alignment horizontal="center"/>
    </xf>
    <xf numFmtId="0" fontId="14" fillId="0" borderId="1" xfId="3" applyFont="1" applyBorder="1" applyAlignment="1">
      <alignment horizontal="center" vertical="center"/>
    </xf>
    <xf numFmtId="176" fontId="15" fillId="0" borderId="1" xfId="3" applyNumberFormat="1" applyFont="1" applyBorder="1"/>
    <xf numFmtId="177" fontId="14" fillId="0" borderId="1" xfId="3" applyNumberFormat="1" applyFont="1" applyBorder="1"/>
    <xf numFmtId="3" fontId="14" fillId="0" borderId="1" xfId="3" applyNumberFormat="1" applyFont="1" applyBorder="1"/>
    <xf numFmtId="182" fontId="15" fillId="0" borderId="9" xfId="5" applyNumberFormat="1" applyFont="1" applyBorder="1" applyAlignment="1">
      <alignment horizontal="center"/>
    </xf>
    <xf numFmtId="0" fontId="23" fillId="0" borderId="4" xfId="3" applyFont="1" applyBorder="1"/>
    <xf numFmtId="0" fontId="15" fillId="0" borderId="8" xfId="3" applyFont="1" applyBorder="1" applyAlignment="1">
      <alignment vertical="center"/>
    </xf>
    <xf numFmtId="0" fontId="14" fillId="0" borderId="1" xfId="3" applyFont="1" applyBorder="1" applyAlignment="1">
      <alignment vertical="center"/>
    </xf>
    <xf numFmtId="180" fontId="14" fillId="0" borderId="1" xfId="3" applyNumberFormat="1" applyFont="1" applyBorder="1" applyAlignment="1">
      <alignment vertical="center"/>
    </xf>
    <xf numFmtId="183" fontId="14" fillId="0" borderId="1" xfId="3" applyNumberFormat="1" applyFont="1" applyBorder="1"/>
    <xf numFmtId="0" fontId="14" fillId="0" borderId="35" xfId="3" applyFont="1" applyBorder="1"/>
    <xf numFmtId="10" fontId="15" fillId="0" borderId="35" xfId="3" applyNumberFormat="1" applyFont="1" applyBorder="1" applyAlignment="1">
      <alignment horizontal="center"/>
    </xf>
    <xf numFmtId="0" fontId="15" fillId="0" borderId="4" xfId="3" applyFont="1" applyBorder="1" applyAlignment="1">
      <alignment horizontal="left" vertical="center"/>
    </xf>
    <xf numFmtId="176" fontId="15" fillId="0" borderId="1" xfId="3" quotePrefix="1" applyNumberFormat="1" applyFont="1" applyBorder="1" applyAlignment="1">
      <alignment horizontal="right"/>
    </xf>
    <xf numFmtId="0" fontId="14" fillId="0" borderId="18" xfId="3" applyFont="1" applyBorder="1"/>
    <xf numFmtId="0" fontId="15" fillId="0" borderId="36" xfId="3" applyFont="1" applyBorder="1" applyAlignment="1">
      <alignment vertical="center"/>
    </xf>
    <xf numFmtId="0" fontId="14" fillId="0" borderId="13" xfId="3" applyFont="1" applyBorder="1" applyAlignment="1">
      <alignment vertical="center"/>
    </xf>
    <xf numFmtId="0" fontId="14" fillId="0" borderId="13" xfId="3" applyFont="1" applyBorder="1"/>
    <xf numFmtId="180" fontId="14" fillId="0" borderId="13" xfId="3" applyNumberFormat="1" applyFont="1" applyBorder="1"/>
    <xf numFmtId="176" fontId="15" fillId="0" borderId="13" xfId="3" applyNumberFormat="1" applyFont="1" applyBorder="1"/>
    <xf numFmtId="10" fontId="15" fillId="0" borderId="19" xfId="5" applyNumberFormat="1" applyFont="1" applyBorder="1" applyAlignment="1">
      <alignment horizontal="center"/>
    </xf>
    <xf numFmtId="10" fontId="15" fillId="0" borderId="37" xfId="3" applyNumberFormat="1" applyFont="1" applyBorder="1" applyAlignment="1">
      <alignment horizontal="center"/>
    </xf>
    <xf numFmtId="0" fontId="14" fillId="0" borderId="0" xfId="3" applyFont="1"/>
    <xf numFmtId="0" fontId="15" fillId="0" borderId="0" xfId="3" applyFont="1"/>
    <xf numFmtId="179" fontId="14" fillId="0" borderId="0" xfId="3" applyNumberFormat="1" applyFont="1"/>
    <xf numFmtId="179" fontId="14" fillId="0" borderId="0" xfId="3" applyNumberFormat="1" applyFont="1" applyAlignment="1">
      <alignment horizontal="right"/>
    </xf>
    <xf numFmtId="10" fontId="14" fillId="0" borderId="0" xfId="5" applyNumberFormat="1" applyFont="1"/>
    <xf numFmtId="176" fontId="14" fillId="0" borderId="0" xfId="3" applyNumberFormat="1" applyFont="1"/>
    <xf numFmtId="9" fontId="15" fillId="0" borderId="0" xfId="3" applyNumberFormat="1" applyFont="1" applyAlignment="1">
      <alignment horizontal="center"/>
    </xf>
    <xf numFmtId="0" fontId="19" fillId="2" borderId="8" xfId="0" applyFont="1" applyFill="1" applyBorder="1" applyAlignment="1">
      <alignment horizontal="center" vertical="center"/>
    </xf>
    <xf numFmtId="165" fontId="0" fillId="0" borderId="0" xfId="1" applyFont="1"/>
    <xf numFmtId="0" fontId="3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2" fillId="0" borderId="5" xfId="0" applyFont="1" applyBorder="1" applyAlignment="1">
      <alignment horizontal="left" wrapText="1"/>
    </xf>
    <xf numFmtId="0" fontId="22" fillId="0" borderId="6" xfId="0" applyFont="1" applyBorder="1" applyAlignment="1">
      <alignment horizontal="left" wrapText="1"/>
    </xf>
    <xf numFmtId="0" fontId="22" fillId="0" borderId="7" xfId="0" applyFont="1" applyBorder="1" applyAlignment="1">
      <alignment horizontal="left" wrapText="1"/>
    </xf>
    <xf numFmtId="0" fontId="22" fillId="0" borderId="8" xfId="0" applyFont="1" applyBorder="1" applyAlignment="1">
      <alignment horizontal="left" wrapText="1"/>
    </xf>
    <xf numFmtId="0" fontId="22" fillId="0" borderId="1" xfId="0" applyFont="1" applyBorder="1" applyAlignment="1">
      <alignment horizontal="left" wrapText="1"/>
    </xf>
    <xf numFmtId="0" fontId="22" fillId="0" borderId="9" xfId="0" applyFont="1" applyBorder="1" applyAlignment="1">
      <alignment horizontal="left" wrapText="1"/>
    </xf>
    <xf numFmtId="0" fontId="22" fillId="0" borderId="17" xfId="0" applyFont="1" applyBorder="1" applyAlignment="1">
      <alignment horizontal="left" wrapText="1"/>
    </xf>
    <xf numFmtId="0" fontId="22" fillId="0" borderId="15" xfId="0" applyFont="1" applyBorder="1" applyAlignment="1">
      <alignment horizontal="left" wrapText="1"/>
    </xf>
    <xf numFmtId="0" fontId="22" fillId="0" borderId="16" xfId="0" applyFont="1" applyBorder="1" applyAlignment="1">
      <alignment horizontal="left" wrapText="1"/>
    </xf>
    <xf numFmtId="0" fontId="0" fillId="0" borderId="1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9" xfId="0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71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70" fontId="5" fillId="2" borderId="1" xfId="0" applyNumberFormat="1" applyFont="1" applyFill="1" applyBorder="1" applyAlignment="1">
      <alignment horizontal="right" vertical="center"/>
    </xf>
    <xf numFmtId="170" fontId="5" fillId="2" borderId="9" xfId="0" applyNumberFormat="1" applyFont="1" applyFill="1" applyBorder="1" applyAlignment="1">
      <alignment horizontal="right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166" fontId="10" fillId="0" borderId="1" xfId="0" applyNumberFormat="1" applyFont="1" applyBorder="1" applyAlignment="1">
      <alignment horizontal="left"/>
    </xf>
    <xf numFmtId="0" fontId="8" fillId="0" borderId="2" xfId="0" applyFont="1" applyBorder="1" applyAlignment="1">
      <alignment horizontal="justify" vertical="top" wrapText="1"/>
    </xf>
    <xf numFmtId="0" fontId="8" fillId="0" borderId="3" xfId="0" applyFont="1" applyBorder="1" applyAlignment="1">
      <alignment horizontal="justify" vertical="top" wrapText="1"/>
    </xf>
    <xf numFmtId="0" fontId="8" fillId="0" borderId="4" xfId="0" applyFont="1" applyBorder="1" applyAlignment="1">
      <alignment horizontal="justify" vertical="top" wrapText="1"/>
    </xf>
    <xf numFmtId="0" fontId="0" fillId="0" borderId="1" xfId="0" applyBorder="1" applyAlignment="1">
      <alignment horizontal="center" wrapText="1"/>
    </xf>
    <xf numFmtId="166" fontId="10" fillId="0" borderId="1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0" fillId="0" borderId="2" xfId="0" applyFont="1" applyBorder="1" applyAlignment="1">
      <alignment wrapText="1"/>
    </xf>
    <xf numFmtId="0" fontId="10" fillId="0" borderId="3" xfId="0" applyFont="1" applyBorder="1" applyAlignment="1">
      <alignment wrapText="1"/>
    </xf>
    <xf numFmtId="0" fontId="10" fillId="0" borderId="4" xfId="0" applyFont="1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/>
    </xf>
    <xf numFmtId="0" fontId="21" fillId="0" borderId="2" xfId="0" applyFont="1" applyBorder="1" applyAlignment="1">
      <alignment horizontal="left" vertical="top" wrapText="1"/>
    </xf>
    <xf numFmtId="0" fontId="21" fillId="0" borderId="3" xfId="0" applyFont="1" applyBorder="1" applyAlignment="1">
      <alignment horizontal="left" vertical="top" wrapText="1"/>
    </xf>
    <xf numFmtId="0" fontId="21" fillId="0" borderId="4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0" fillId="0" borderId="1" xfId="0" applyFont="1" applyBorder="1" applyAlignment="1">
      <alignment wrapText="1"/>
    </xf>
    <xf numFmtId="0" fontId="13" fillId="0" borderId="1" xfId="0" applyFont="1" applyBorder="1" applyAlignment="1">
      <alignment horizontal="center"/>
    </xf>
    <xf numFmtId="0" fontId="23" fillId="0" borderId="2" xfId="3" applyFont="1" applyBorder="1" applyAlignment="1">
      <alignment horizontal="justify" vertical="center" wrapText="1"/>
    </xf>
    <xf numFmtId="0" fontId="23" fillId="0" borderId="4" xfId="3" applyFont="1" applyBorder="1" applyAlignment="1">
      <alignment horizontal="justify" vertical="center" wrapText="1"/>
    </xf>
    <xf numFmtId="0" fontId="12" fillId="0" borderId="20" xfId="3" applyFont="1" applyBorder="1" applyAlignment="1">
      <alignment horizontal="center" vertical="center"/>
    </xf>
    <xf numFmtId="0" fontId="12" fillId="0" borderId="21" xfId="3" applyFont="1" applyBorder="1" applyAlignment="1">
      <alignment horizontal="center" vertical="center"/>
    </xf>
    <xf numFmtId="0" fontId="12" fillId="0" borderId="22" xfId="3" applyFont="1" applyBorder="1" applyAlignment="1">
      <alignment horizontal="center" vertical="center"/>
    </xf>
    <xf numFmtId="0" fontId="12" fillId="0" borderId="23" xfId="3" applyFont="1" applyBorder="1" applyAlignment="1">
      <alignment horizontal="center" vertical="center"/>
    </xf>
    <xf numFmtId="0" fontId="12" fillId="0" borderId="24" xfId="3" applyFont="1" applyBorder="1" applyAlignment="1">
      <alignment horizontal="center" vertical="center"/>
    </xf>
    <xf numFmtId="0" fontId="12" fillId="0" borderId="25" xfId="3" applyFont="1" applyBorder="1" applyAlignment="1">
      <alignment horizontal="center" vertical="center"/>
    </xf>
    <xf numFmtId="0" fontId="14" fillId="0" borderId="27" xfId="4" applyFont="1" applyBorder="1" applyAlignment="1">
      <alignment horizontal="center"/>
    </xf>
    <xf numFmtId="0" fontId="15" fillId="0" borderId="26" xfId="3" applyFont="1" applyBorder="1" applyAlignment="1">
      <alignment horizontal="right"/>
    </xf>
    <xf numFmtId="0" fontId="15" fillId="0" borderId="27" xfId="3" applyFont="1" applyBorder="1" applyAlignment="1">
      <alignment horizontal="right"/>
    </xf>
    <xf numFmtId="0" fontId="14" fillId="0" borderId="10" xfId="3" applyFont="1" applyBorder="1" applyAlignment="1">
      <alignment horizontal="center"/>
    </xf>
    <xf numFmtId="0" fontId="14" fillId="0" borderId="11" xfId="3" applyFont="1" applyBorder="1" applyAlignment="1">
      <alignment horizontal="center"/>
    </xf>
    <xf numFmtId="0" fontId="14" fillId="0" borderId="2" xfId="3" applyFont="1" applyBorder="1" applyAlignment="1">
      <alignment horizontal="left"/>
    </xf>
    <xf numFmtId="0" fontId="14" fillId="0" borderId="4" xfId="3" applyFont="1" applyBorder="1" applyAlignment="1">
      <alignment horizontal="left"/>
    </xf>
    <xf numFmtId="0" fontId="14" fillId="0" borderId="2" xfId="3" applyFont="1" applyBorder="1" applyAlignment="1">
      <alignment horizontal="left" vertical="center"/>
    </xf>
    <xf numFmtId="0" fontId="14" fillId="0" borderId="4" xfId="3" applyFont="1" applyBorder="1" applyAlignment="1">
      <alignment horizontal="left" vertical="center"/>
    </xf>
    <xf numFmtId="0" fontId="14" fillId="0" borderId="2" xfId="3" applyFont="1" applyBorder="1" applyAlignment="1">
      <alignment horizontal="left" vertical="justify"/>
    </xf>
    <xf numFmtId="0" fontId="14" fillId="0" borderId="4" xfId="3" applyFont="1" applyBorder="1" applyAlignment="1">
      <alignment horizontal="left" vertical="justify"/>
    </xf>
    <xf numFmtId="0" fontId="23" fillId="0" borderId="2" xfId="3" quotePrefix="1" applyFont="1" applyBorder="1" applyAlignment="1">
      <alignment horizontal="left" vertical="justify"/>
    </xf>
    <xf numFmtId="0" fontId="23" fillId="0" borderId="4" xfId="3" quotePrefix="1" applyFont="1" applyBorder="1" applyAlignment="1">
      <alignment horizontal="left" vertical="justify"/>
    </xf>
    <xf numFmtId="0" fontId="15" fillId="0" borderId="26" xfId="3" applyFont="1" applyBorder="1" applyAlignment="1">
      <alignment horizontal="center"/>
    </xf>
    <xf numFmtId="0" fontId="15" fillId="0" borderId="27" xfId="3" applyFont="1" applyBorder="1" applyAlignment="1">
      <alignment horizontal="center"/>
    </xf>
    <xf numFmtId="0" fontId="15" fillId="0" borderId="28" xfId="3" applyFont="1" applyBorder="1" applyAlignment="1">
      <alignment horizontal="center"/>
    </xf>
    <xf numFmtId="0" fontId="14" fillId="0" borderId="2" xfId="3" applyFont="1" applyBorder="1" applyAlignment="1">
      <alignment horizontal="center" vertical="center"/>
    </xf>
    <xf numFmtId="0" fontId="14" fillId="0" borderId="3" xfId="3" applyFont="1" applyBorder="1" applyAlignment="1">
      <alignment horizontal="center" vertical="center"/>
    </xf>
    <xf numFmtId="0" fontId="14" fillId="0" borderId="4" xfId="3" applyFont="1" applyBorder="1" applyAlignment="1">
      <alignment horizontal="center" vertical="center"/>
    </xf>
    <xf numFmtId="0" fontId="10" fillId="0" borderId="1" xfId="0" applyFont="1" applyBorder="1" applyAlignment="1"/>
    <xf numFmtId="166" fontId="10" fillId="0" borderId="1" xfId="0" applyNumberFormat="1" applyFont="1" applyBorder="1" applyAlignment="1"/>
    <xf numFmtId="0" fontId="10" fillId="0" borderId="2" xfId="0" applyFont="1" applyBorder="1" applyAlignment="1"/>
    <xf numFmtId="0" fontId="10" fillId="0" borderId="3" xfId="0" applyFont="1" applyBorder="1" applyAlignment="1"/>
    <xf numFmtId="0" fontId="10" fillId="0" borderId="4" xfId="0" applyFont="1" applyBorder="1" applyAlignment="1"/>
  </cellXfs>
  <cellStyles count="6">
    <cellStyle name="Millares_formatos APU AYAPEL 3" xfId="2" xr:uid="{FEA7168D-FB77-453E-89A6-98511B8557BF}"/>
    <cellStyle name="Moneda" xfId="1" builtinId="4"/>
    <cellStyle name="Normal" xfId="0" builtinId="0"/>
    <cellStyle name="Normal 2 2 2" xfId="4" xr:uid="{BF8B8D0A-57F0-4F73-957D-F4BB40FF84A7}"/>
    <cellStyle name="Normal 2 3" xfId="3" xr:uid="{8ADDFC08-74CA-4A16-9946-E60FB939775B}"/>
    <cellStyle name="Porcentual 2" xfId="5" xr:uid="{96CDD4C9-F7AD-43D2-928D-292148F084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Mi%20unidad\PLANOS%20SENA\2024\PRESUPUESTO%20ACOPIO\presupuesto%20acopio%202024.xlsx" TargetMode="External"/><Relationship Id="rId1" Type="http://schemas.openxmlformats.org/officeDocument/2006/relationships/externalLinkPath" Target="/Mi%20unidad/PLANOS%20SENA/2024/PRESUPUESTO%20ACOPIO/presupuesto%20acopio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"/>
      <sheetName val="A.I.U"/>
      <sheetName val="A.P.U."/>
      <sheetName val="A.P.A"/>
      <sheetName val="CUADRILLAS"/>
    </sheetNames>
    <sheetDataSet>
      <sheetData sheetId="0">
        <row r="13">
          <cell r="F13">
            <v>18345072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zoomScaleNormal="100" workbookViewId="0">
      <selection activeCell="H5" sqref="H5"/>
    </sheetView>
  </sheetViews>
  <sheetFormatPr defaultColWidth="11.42578125" defaultRowHeight="14.45"/>
  <cols>
    <col min="2" max="2" width="41.5703125" customWidth="1"/>
    <col min="4" max="4" width="11.42578125" style="11"/>
    <col min="5" max="5" width="12.5703125" style="59" bestFit="1" customWidth="1"/>
    <col min="6" max="6" width="18.42578125" style="80" customWidth="1"/>
    <col min="7" max="7" width="13.140625" customWidth="1"/>
    <col min="8" max="9" width="15.28515625" bestFit="1" customWidth="1"/>
  </cols>
  <sheetData>
    <row r="1" spans="1:6" ht="21.6" customHeight="1" thickBot="1">
      <c r="A1" s="160" t="s">
        <v>0</v>
      </c>
      <c r="B1" s="161"/>
      <c r="C1" s="161"/>
      <c r="D1" s="161"/>
      <c r="E1" s="161"/>
      <c r="F1" s="162"/>
    </row>
    <row r="2" spans="1:6" ht="15.6">
      <c r="A2" s="1" t="s">
        <v>1</v>
      </c>
      <c r="B2" s="2" t="s">
        <v>2</v>
      </c>
      <c r="C2" s="2" t="s">
        <v>3</v>
      </c>
      <c r="D2" s="2" t="s">
        <v>4</v>
      </c>
      <c r="E2" s="57" t="s">
        <v>5</v>
      </c>
      <c r="F2" s="78" t="s">
        <v>6</v>
      </c>
    </row>
    <row r="3" spans="1:6">
      <c r="A3" s="175"/>
      <c r="B3" s="176"/>
      <c r="C3" s="176"/>
      <c r="D3" s="176"/>
      <c r="E3" s="176"/>
      <c r="F3" s="177"/>
    </row>
    <row r="4" spans="1:6">
      <c r="A4" s="3" t="s">
        <v>7</v>
      </c>
      <c r="B4" s="4" t="s">
        <v>8</v>
      </c>
      <c r="C4" s="179"/>
      <c r="D4" s="180"/>
      <c r="E4" s="180"/>
      <c r="F4" s="181"/>
    </row>
    <row r="5" spans="1:6" s="9" customFormat="1" ht="96.6">
      <c r="A5" s="10">
        <v>1</v>
      </c>
      <c r="B5" s="5" t="s">
        <v>9</v>
      </c>
      <c r="C5" s="6" t="s">
        <v>10</v>
      </c>
      <c r="D5" s="7">
        <v>850</v>
      </c>
      <c r="E5" s="88">
        <f>'A.P.U CIVIL'!I23</f>
        <v>14427</v>
      </c>
      <c r="F5" s="79">
        <f>+D5*E5</f>
        <v>12262950</v>
      </c>
    </row>
    <row r="6" spans="1:6">
      <c r="A6" s="3" t="s">
        <v>11</v>
      </c>
      <c r="B6" s="54" t="s">
        <v>12</v>
      </c>
      <c r="C6" s="182"/>
      <c r="D6" s="182"/>
      <c r="E6" s="182"/>
      <c r="F6" s="183"/>
    </row>
    <row r="7" spans="1:6" ht="66" customHeight="1">
      <c r="A7" s="91">
        <v>1</v>
      </c>
      <c r="B7" s="5" t="s">
        <v>13</v>
      </c>
      <c r="C7" s="95" t="s">
        <v>14</v>
      </c>
      <c r="D7" s="7">
        <v>30</v>
      </c>
      <c r="E7" s="58">
        <f>'A.P.U CIVIL'!I46</f>
        <v>45583</v>
      </c>
      <c r="F7" s="79">
        <f>+D7*E7</f>
        <v>1367490</v>
      </c>
    </row>
    <row r="8" spans="1:6" ht="55.15">
      <c r="A8" s="91">
        <v>2</v>
      </c>
      <c r="B8" s="5" t="s">
        <v>15</v>
      </c>
      <c r="C8" s="6" t="s">
        <v>14</v>
      </c>
      <c r="D8" s="7">
        <v>21</v>
      </c>
      <c r="E8" s="58">
        <f>'A.P.U CIVIL'!I92</f>
        <v>161013</v>
      </c>
      <c r="F8" s="79">
        <f>+D8*E8</f>
        <v>3381273</v>
      </c>
    </row>
    <row r="9" spans="1:6" ht="96.6">
      <c r="A9" s="91">
        <v>3</v>
      </c>
      <c r="B9" s="5" t="s">
        <v>16</v>
      </c>
      <c r="C9" s="6" t="s">
        <v>17</v>
      </c>
      <c r="D9" s="7">
        <v>3</v>
      </c>
      <c r="E9" s="58">
        <f>'A.P.U CIVIL'!I113</f>
        <v>673000</v>
      </c>
      <c r="F9" s="79">
        <f>+D9*E9</f>
        <v>2019000</v>
      </c>
    </row>
    <row r="10" spans="1:6" ht="46.9" customHeight="1">
      <c r="A10" s="91">
        <v>4</v>
      </c>
      <c r="B10" s="5" t="s">
        <v>18</v>
      </c>
      <c r="C10" s="6" t="s">
        <v>14</v>
      </c>
      <c r="D10" s="7">
        <v>21</v>
      </c>
      <c r="E10" s="58">
        <f>'A.P.U CIVIL'!I69</f>
        <v>45825</v>
      </c>
      <c r="F10" s="79">
        <f>+D10*E10</f>
        <v>962325</v>
      </c>
    </row>
    <row r="11" spans="1:6" ht="55.15">
      <c r="A11" s="91">
        <v>5</v>
      </c>
      <c r="B11" s="5" t="s">
        <v>19</v>
      </c>
      <c r="C11" s="6" t="s">
        <v>17</v>
      </c>
      <c r="D11" s="7">
        <v>2</v>
      </c>
      <c r="E11" s="58">
        <f>'A.P.U CIVIL'!I136</f>
        <v>739000</v>
      </c>
      <c r="F11" s="79">
        <f t="shared" ref="F11:F13" si="0">+D11*E11</f>
        <v>1478000</v>
      </c>
    </row>
    <row r="12" spans="1:6" ht="55.15">
      <c r="A12" s="91">
        <v>6</v>
      </c>
      <c r="B12" s="5" t="s">
        <v>20</v>
      </c>
      <c r="C12" s="6" t="s">
        <v>17</v>
      </c>
      <c r="D12" s="7">
        <v>2</v>
      </c>
      <c r="E12" s="58">
        <f>'A.P.U CIVIL'!I158</f>
        <v>999800</v>
      </c>
      <c r="F12" s="79">
        <f t="shared" si="0"/>
        <v>1999600</v>
      </c>
    </row>
    <row r="13" spans="1:6" ht="69">
      <c r="A13" s="91">
        <v>7</v>
      </c>
      <c r="B13" s="5" t="s">
        <v>21</v>
      </c>
      <c r="C13" s="6" t="s">
        <v>17</v>
      </c>
      <c r="D13" s="7">
        <v>2</v>
      </c>
      <c r="E13" s="58">
        <f>'A.P.U CIVIL'!I183</f>
        <v>349500</v>
      </c>
      <c r="F13" s="79">
        <f t="shared" si="0"/>
        <v>699000</v>
      </c>
    </row>
    <row r="14" spans="1:6">
      <c r="A14" s="156" t="s">
        <v>22</v>
      </c>
      <c r="B14" s="4" t="s">
        <v>23</v>
      </c>
      <c r="C14" s="52"/>
      <c r="D14" s="76"/>
      <c r="E14" s="77"/>
      <c r="F14" s="96"/>
    </row>
    <row r="15" spans="1:6" ht="69">
      <c r="A15" s="10">
        <v>1</v>
      </c>
      <c r="B15" s="5" t="s">
        <v>24</v>
      </c>
      <c r="C15" s="6" t="s">
        <v>17</v>
      </c>
      <c r="D15" s="7">
        <v>2</v>
      </c>
      <c r="E15" s="58">
        <f>'A.P.U PUERTAS'!I21</f>
        <v>1476563</v>
      </c>
      <c r="F15" s="79">
        <f t="shared" ref="F15:F17" si="1">D15*E15</f>
        <v>2953126</v>
      </c>
    </row>
    <row r="16" spans="1:6" ht="55.15">
      <c r="A16" s="10">
        <v>2</v>
      </c>
      <c r="B16" s="5" t="s">
        <v>25</v>
      </c>
      <c r="C16" s="6" t="s">
        <v>26</v>
      </c>
      <c r="D16" s="7">
        <v>6</v>
      </c>
      <c r="E16" s="58">
        <f>'A.P.U PUERTAS'!I43</f>
        <v>84625</v>
      </c>
      <c r="F16" s="79">
        <f t="shared" si="1"/>
        <v>507750</v>
      </c>
    </row>
    <row r="17" spans="1:9" ht="69">
      <c r="A17" s="10">
        <v>3</v>
      </c>
      <c r="B17" s="5" t="s">
        <v>27</v>
      </c>
      <c r="C17" s="6" t="s">
        <v>17</v>
      </c>
      <c r="D17" s="7">
        <v>2</v>
      </c>
      <c r="E17" s="58">
        <f>'A.P.U PUERTAS'!I65</f>
        <v>1070417</v>
      </c>
      <c r="F17" s="79">
        <f t="shared" si="1"/>
        <v>2140834</v>
      </c>
    </row>
    <row r="18" spans="1:9">
      <c r="A18" s="156" t="s">
        <v>28</v>
      </c>
      <c r="B18" s="4" t="s">
        <v>29</v>
      </c>
      <c r="C18" s="52"/>
      <c r="D18" s="76"/>
      <c r="E18" s="77"/>
      <c r="F18" s="96"/>
    </row>
    <row r="19" spans="1:9" ht="43.15">
      <c r="A19" s="10">
        <v>1</v>
      </c>
      <c r="B19" s="99" t="s">
        <v>30</v>
      </c>
      <c r="C19" s="6" t="s">
        <v>17</v>
      </c>
      <c r="D19" s="7">
        <v>50</v>
      </c>
      <c r="E19" s="58">
        <f>'A.P.U ELECTRICO'!I21</f>
        <v>52560</v>
      </c>
      <c r="F19" s="79">
        <f t="shared" ref="F19:F24" si="2">D19*E19</f>
        <v>2628000</v>
      </c>
    </row>
    <row r="20" spans="1:9" ht="43.15">
      <c r="A20" s="10">
        <v>2</v>
      </c>
      <c r="B20" s="99" t="s">
        <v>31</v>
      </c>
      <c r="C20" s="6" t="s">
        <v>17</v>
      </c>
      <c r="D20" s="7">
        <v>6</v>
      </c>
      <c r="E20" s="58">
        <f>'A.P.U ELECTRICO'!I43</f>
        <v>69700</v>
      </c>
      <c r="F20" s="79">
        <f t="shared" si="2"/>
        <v>418200</v>
      </c>
    </row>
    <row r="21" spans="1:9" ht="57.6">
      <c r="A21" s="10">
        <v>3</v>
      </c>
      <c r="B21" s="99" t="s">
        <v>32</v>
      </c>
      <c r="C21" s="6" t="s">
        <v>17</v>
      </c>
      <c r="D21" s="7">
        <v>5</v>
      </c>
      <c r="E21" s="58">
        <f>'A.P.U ELECTRICO'!I64</f>
        <v>670400</v>
      </c>
      <c r="F21" s="79">
        <f t="shared" si="2"/>
        <v>3352000</v>
      </c>
    </row>
    <row r="22" spans="1:9" ht="28.9">
      <c r="A22" s="10">
        <v>4</v>
      </c>
      <c r="B22" s="99" t="s">
        <v>33</v>
      </c>
      <c r="C22" s="6" t="s">
        <v>17</v>
      </c>
      <c r="D22" s="7">
        <v>22</v>
      </c>
      <c r="E22" s="58">
        <f>'A.P.U ELECTRICO'!I85</f>
        <v>39850</v>
      </c>
      <c r="F22" s="79">
        <f t="shared" si="2"/>
        <v>876700</v>
      </c>
    </row>
    <row r="23" spans="1:9" ht="43.15">
      <c r="A23" s="10">
        <v>5</v>
      </c>
      <c r="B23" s="99" t="s">
        <v>34</v>
      </c>
      <c r="C23" s="6" t="s">
        <v>17</v>
      </c>
      <c r="D23" s="7">
        <v>17</v>
      </c>
      <c r="E23" s="58">
        <f>'A.P.U ELECTRICO'!I107</f>
        <v>58400</v>
      </c>
      <c r="F23" s="79">
        <f t="shared" si="2"/>
        <v>992800</v>
      </c>
    </row>
    <row r="24" spans="1:9" ht="72">
      <c r="A24" s="10">
        <v>6</v>
      </c>
      <c r="B24" s="99" t="s">
        <v>35</v>
      </c>
      <c r="C24" s="6" t="s">
        <v>17</v>
      </c>
      <c r="D24" s="7">
        <v>3</v>
      </c>
      <c r="E24" s="58">
        <f>'A.P.U ELECTRICO'!I129</f>
        <v>485700</v>
      </c>
      <c r="F24" s="79">
        <f t="shared" si="2"/>
        <v>1457100</v>
      </c>
    </row>
    <row r="25" spans="1:9">
      <c r="A25" s="10"/>
      <c r="B25" s="5"/>
      <c r="C25" s="6"/>
      <c r="D25" s="7"/>
      <c r="E25" s="58"/>
      <c r="F25" s="79"/>
    </row>
    <row r="26" spans="1:9">
      <c r="A26" s="97"/>
      <c r="B26" s="8"/>
      <c r="C26" s="178" t="s">
        <v>36</v>
      </c>
      <c r="D26" s="178"/>
      <c r="E26" s="178"/>
      <c r="F26" s="98">
        <f>SUM(F4:F24)</f>
        <v>39496148</v>
      </c>
    </row>
    <row r="27" spans="1:9" ht="15" customHeight="1" thickBot="1">
      <c r="A27" s="172"/>
      <c r="B27" s="173"/>
      <c r="C27" s="173"/>
      <c r="D27" s="173"/>
      <c r="E27" s="173"/>
      <c r="F27" s="174"/>
    </row>
    <row r="28" spans="1:9" ht="15" customHeight="1">
      <c r="A28" s="1"/>
      <c r="B28" s="184" t="s">
        <v>37</v>
      </c>
      <c r="C28" s="184"/>
      <c r="D28" s="184"/>
      <c r="E28" s="184"/>
      <c r="F28" s="92">
        <f>F26</f>
        <v>39496148</v>
      </c>
    </row>
    <row r="29" spans="1:9" ht="15" customHeight="1">
      <c r="A29" s="89"/>
      <c r="B29" s="185" t="s">
        <v>38</v>
      </c>
      <c r="C29" s="185"/>
      <c r="D29" s="185"/>
      <c r="E29" s="185"/>
      <c r="F29" s="90"/>
    </row>
    <row r="30" spans="1:9" ht="15" customHeight="1">
      <c r="A30" s="91"/>
      <c r="B30" s="186" t="s">
        <v>39</v>
      </c>
      <c r="C30" s="186"/>
      <c r="D30" s="186"/>
      <c r="E30" s="186"/>
      <c r="F30" s="90">
        <f>F28*0.2</f>
        <v>7899229.6000000006</v>
      </c>
    </row>
    <row r="31" spans="1:9" ht="15" customHeight="1">
      <c r="A31" s="91"/>
      <c r="B31" s="186" t="s">
        <v>40</v>
      </c>
      <c r="C31" s="186"/>
      <c r="D31" s="186"/>
      <c r="E31" s="186"/>
      <c r="F31" s="90">
        <f>F28*0.05</f>
        <v>1974807.4000000001</v>
      </c>
    </row>
    <row r="32" spans="1:9" ht="16.149999999999999" thickBot="1">
      <c r="A32" s="93"/>
      <c r="B32" s="158" t="s">
        <v>41</v>
      </c>
      <c r="C32" s="158"/>
      <c r="D32" s="158"/>
      <c r="E32" s="158"/>
      <c r="F32" s="94">
        <f>SUM(F28:F31)</f>
        <v>49370185</v>
      </c>
      <c r="I32" s="157"/>
    </row>
    <row r="33" spans="1:8" ht="15.6" customHeight="1" thickBot="1">
      <c r="A33" s="159"/>
      <c r="B33" s="159"/>
      <c r="C33" s="159"/>
      <c r="D33" s="159"/>
      <c r="E33" s="159"/>
      <c r="F33" s="159"/>
    </row>
    <row r="34" spans="1:8">
      <c r="A34" s="163" t="s">
        <v>42</v>
      </c>
      <c r="B34" s="164"/>
      <c r="C34" s="164"/>
      <c r="D34" s="164"/>
      <c r="E34" s="164"/>
      <c r="F34" s="165"/>
      <c r="G34" s="59"/>
    </row>
    <row r="35" spans="1:8">
      <c r="A35" s="166"/>
      <c r="B35" s="167"/>
      <c r="C35" s="167"/>
      <c r="D35" s="167"/>
      <c r="E35" s="167"/>
      <c r="F35" s="168"/>
      <c r="H35" s="59"/>
    </row>
    <row r="36" spans="1:8">
      <c r="A36" s="166"/>
      <c r="B36" s="167"/>
      <c r="C36" s="167"/>
      <c r="D36" s="167"/>
      <c r="E36" s="167"/>
      <c r="F36" s="168"/>
    </row>
    <row r="37" spans="1:8" ht="24" customHeight="1" thickBot="1">
      <c r="A37" s="169"/>
      <c r="B37" s="170"/>
      <c r="C37" s="170"/>
      <c r="D37" s="170"/>
      <c r="E37" s="170"/>
      <c r="F37" s="171"/>
    </row>
  </sheetData>
  <mergeCells count="13">
    <mergeCell ref="B32:E32"/>
    <mergeCell ref="A33:F33"/>
    <mergeCell ref="A1:F1"/>
    <mergeCell ref="A34:F37"/>
    <mergeCell ref="A27:F27"/>
    <mergeCell ref="A3:F3"/>
    <mergeCell ref="C26:E26"/>
    <mergeCell ref="C4:F4"/>
    <mergeCell ref="C6:F6"/>
    <mergeCell ref="B28:E28"/>
    <mergeCell ref="B29:E29"/>
    <mergeCell ref="B30:E30"/>
    <mergeCell ref="B31:E31"/>
  </mergeCells>
  <phoneticPr fontId="20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77396-DEA6-4E0B-9C72-D1F3F6DC77B1}">
  <dimension ref="A1:I129"/>
  <sheetViews>
    <sheetView topLeftCell="A40" workbookViewId="0">
      <selection activeCell="A63" sqref="A63:D63"/>
    </sheetView>
  </sheetViews>
  <sheetFormatPr defaultColWidth="11.42578125" defaultRowHeight="14.45"/>
  <sheetData>
    <row r="1" spans="1:9">
      <c r="A1" s="12" t="s">
        <v>43</v>
      </c>
      <c r="B1" s="192" t="str">
        <f>PRESUPUESTO!B19</f>
        <v>Suministro e instalacion de Lamparas de sobreponer led  8",  18W, 1500 lm,120VAC 50/60hz, luz blanca, proteccion ip20,</v>
      </c>
      <c r="C1" s="193"/>
      <c r="D1" s="193"/>
      <c r="E1" s="193"/>
      <c r="F1" s="193"/>
      <c r="G1" s="193"/>
      <c r="H1" s="193"/>
      <c r="I1" s="194"/>
    </row>
    <row r="2" spans="1:9">
      <c r="A2" s="13" t="s">
        <v>44</v>
      </c>
      <c r="B2" s="195"/>
      <c r="C2" s="195"/>
      <c r="D2" s="195"/>
      <c r="E2" s="195"/>
      <c r="F2" s="195"/>
      <c r="G2" s="195"/>
      <c r="H2" s="14" t="s">
        <v>45</v>
      </c>
      <c r="I2" s="15" t="s">
        <v>46</v>
      </c>
    </row>
    <row r="3" spans="1:9">
      <c r="A3" s="188" t="s">
        <v>47</v>
      </c>
      <c r="B3" s="188"/>
      <c r="C3" s="188"/>
      <c r="D3" s="188"/>
      <c r="E3" s="188"/>
      <c r="F3" s="16" t="s">
        <v>4</v>
      </c>
      <c r="G3" s="16" t="s">
        <v>48</v>
      </c>
      <c r="H3" s="16" t="s">
        <v>49</v>
      </c>
      <c r="I3" s="17" t="s">
        <v>50</v>
      </c>
    </row>
    <row r="4" spans="1:9">
      <c r="A4" s="246" t="s">
        <v>51</v>
      </c>
      <c r="B4" s="246"/>
      <c r="C4" s="246"/>
      <c r="D4" s="246"/>
      <c r="E4" s="246"/>
      <c r="F4" s="18"/>
      <c r="G4" s="18"/>
      <c r="H4" s="19"/>
      <c r="I4" s="20">
        <f>ROUND((SUM(I19:I20)*0.05),0)</f>
        <v>1360</v>
      </c>
    </row>
    <row r="5" spans="1:9">
      <c r="A5" s="246"/>
      <c r="B5" s="246"/>
      <c r="C5" s="246"/>
      <c r="D5" s="246"/>
      <c r="E5" s="246"/>
      <c r="F5" s="18"/>
      <c r="G5" s="18"/>
      <c r="H5" s="21"/>
      <c r="I5" s="20"/>
    </row>
    <row r="6" spans="1:9">
      <c r="A6" s="246"/>
      <c r="B6" s="246"/>
      <c r="C6" s="246"/>
      <c r="D6" s="246"/>
      <c r="E6" s="246"/>
      <c r="F6" s="18"/>
      <c r="G6" s="18"/>
      <c r="H6" s="21"/>
      <c r="I6" s="20"/>
    </row>
    <row r="7" spans="1:9">
      <c r="A7" s="188" t="s">
        <v>52</v>
      </c>
      <c r="B7" s="188"/>
      <c r="C7" s="188"/>
      <c r="D7" s="188"/>
      <c r="E7" s="188"/>
      <c r="F7" s="16" t="s">
        <v>53</v>
      </c>
      <c r="G7" s="22" t="s">
        <v>54</v>
      </c>
      <c r="H7" s="22" t="s">
        <v>55</v>
      </c>
      <c r="I7" s="17" t="s">
        <v>56</v>
      </c>
    </row>
    <row r="8" spans="1:9">
      <c r="A8" s="246" t="s">
        <v>57</v>
      </c>
      <c r="B8" s="246"/>
      <c r="C8" s="246"/>
      <c r="D8" s="246"/>
      <c r="E8" s="246"/>
      <c r="F8" s="23" t="s">
        <v>17</v>
      </c>
      <c r="G8" s="24">
        <v>24000</v>
      </c>
      <c r="H8" s="19">
        <v>1</v>
      </c>
      <c r="I8" s="24">
        <f>+H8*G8</f>
        <v>24000</v>
      </c>
    </row>
    <row r="9" spans="1:9">
      <c r="A9" s="246"/>
      <c r="B9" s="246"/>
      <c r="C9" s="246"/>
      <c r="D9" s="246"/>
      <c r="E9" s="246"/>
      <c r="F9" s="23"/>
      <c r="G9" s="24"/>
      <c r="H9" s="19"/>
      <c r="I9" s="24"/>
    </row>
    <row r="10" spans="1:9">
      <c r="A10" s="246"/>
      <c r="B10" s="246"/>
      <c r="C10" s="246"/>
      <c r="D10" s="246"/>
      <c r="E10" s="246"/>
      <c r="F10" s="23"/>
      <c r="G10" s="19"/>
      <c r="H10" s="19"/>
      <c r="I10" s="24"/>
    </row>
    <row r="11" spans="1:9">
      <c r="A11" s="246"/>
      <c r="B11" s="246"/>
      <c r="C11" s="246"/>
      <c r="D11" s="246"/>
      <c r="E11" s="246"/>
      <c r="F11" s="23"/>
      <c r="G11" s="19"/>
      <c r="H11" s="19"/>
      <c r="I11" s="24"/>
    </row>
    <row r="12" spans="1:9">
      <c r="A12" s="246"/>
      <c r="B12" s="246"/>
      <c r="C12" s="246"/>
      <c r="D12" s="246"/>
      <c r="E12" s="246"/>
      <c r="F12" s="23"/>
      <c r="G12" s="19"/>
      <c r="H12" s="19"/>
      <c r="I12" s="24"/>
    </row>
    <row r="13" spans="1:9">
      <c r="A13" s="246"/>
      <c r="B13" s="246"/>
      <c r="C13" s="246"/>
      <c r="D13" s="246"/>
      <c r="E13" s="246"/>
      <c r="F13" s="23"/>
      <c r="G13" s="19"/>
      <c r="H13" s="19"/>
      <c r="I13" s="24"/>
    </row>
    <row r="14" spans="1:9">
      <c r="A14" s="246"/>
      <c r="B14" s="246"/>
      <c r="C14" s="246"/>
      <c r="D14" s="246"/>
      <c r="E14" s="246"/>
      <c r="F14" s="23"/>
      <c r="G14" s="19"/>
      <c r="H14" s="19"/>
      <c r="I14" s="24">
        <f t="shared" ref="I14" si="0">+G14*H14</f>
        <v>0</v>
      </c>
    </row>
    <row r="15" spans="1:9">
      <c r="A15" s="188" t="s">
        <v>58</v>
      </c>
      <c r="B15" s="188"/>
      <c r="C15" s="188"/>
      <c r="D15" s="188"/>
      <c r="E15" s="25" t="s">
        <v>59</v>
      </c>
      <c r="F15" s="16" t="s">
        <v>60</v>
      </c>
      <c r="G15" s="16" t="s">
        <v>61</v>
      </c>
      <c r="H15" s="16" t="s">
        <v>62</v>
      </c>
      <c r="I15" s="17" t="s">
        <v>56</v>
      </c>
    </row>
    <row r="16" spans="1:9">
      <c r="A16" s="246" t="s">
        <v>63</v>
      </c>
      <c r="B16" s="246"/>
      <c r="C16" s="246"/>
      <c r="D16" s="246"/>
      <c r="E16" s="26"/>
      <c r="F16" s="26">
        <v>6</v>
      </c>
      <c r="G16" s="26">
        <f>35000/F16</f>
        <v>5833.333333333333</v>
      </c>
      <c r="H16" s="26">
        <f>+G16*6</f>
        <v>35000</v>
      </c>
      <c r="I16" s="19">
        <f>+E16*G16</f>
        <v>0</v>
      </c>
    </row>
    <row r="17" spans="1:9">
      <c r="A17" s="246" t="s">
        <v>64</v>
      </c>
      <c r="B17" s="246"/>
      <c r="C17" s="246"/>
      <c r="D17" s="246"/>
      <c r="E17" s="26"/>
      <c r="F17" s="26"/>
      <c r="G17" s="26"/>
      <c r="H17" s="26"/>
      <c r="I17" s="19">
        <f>+E17*G17</f>
        <v>0</v>
      </c>
    </row>
    <row r="18" spans="1:9">
      <c r="A18" s="188" t="s">
        <v>65</v>
      </c>
      <c r="B18" s="188"/>
      <c r="C18" s="188"/>
      <c r="D18" s="188"/>
      <c r="E18" s="16" t="s">
        <v>55</v>
      </c>
      <c r="F18" s="189" t="s">
        <v>66</v>
      </c>
      <c r="G18" s="190"/>
      <c r="H18" s="27" t="s">
        <v>49</v>
      </c>
      <c r="I18" s="28" t="s">
        <v>56</v>
      </c>
    </row>
    <row r="19" spans="1:9">
      <c r="A19" s="187" t="str">
        <f>CUADRILLAS!A19</f>
        <v>OFICIAL ELECTRICO</v>
      </c>
      <c r="B19" s="187"/>
      <c r="C19" s="187"/>
      <c r="D19" s="187"/>
      <c r="E19" s="19">
        <v>1</v>
      </c>
      <c r="F19" s="196">
        <f>1.7*CUADRILLAS!B19</f>
        <v>136000</v>
      </c>
      <c r="G19" s="196"/>
      <c r="H19" s="21">
        <v>5</v>
      </c>
      <c r="I19" s="24">
        <f>+(E19*F19)/H19</f>
        <v>27200</v>
      </c>
    </row>
    <row r="20" spans="1:9">
      <c r="A20" s="187"/>
      <c r="B20" s="187"/>
      <c r="C20" s="187"/>
      <c r="D20" s="187"/>
      <c r="E20" s="19"/>
      <c r="F20" s="196"/>
      <c r="G20" s="196"/>
      <c r="H20" s="21"/>
      <c r="I20" s="24"/>
    </row>
    <row r="21" spans="1:9">
      <c r="A21" s="197"/>
      <c r="B21" s="198"/>
      <c r="C21" s="198"/>
      <c r="D21" s="198"/>
      <c r="E21" s="199"/>
      <c r="F21" s="29" t="s">
        <v>36</v>
      </c>
      <c r="G21" s="30"/>
      <c r="H21" s="31"/>
      <c r="I21" s="32">
        <f>ROUND((SUM(I4:I20)),0)</f>
        <v>52560</v>
      </c>
    </row>
    <row r="22" spans="1:9">
      <c r="A22" s="197"/>
      <c r="B22" s="198"/>
      <c r="C22" s="198"/>
      <c r="D22" s="198"/>
      <c r="E22" s="198"/>
      <c r="F22" s="198"/>
      <c r="G22" s="198"/>
      <c r="H22" s="198"/>
      <c r="I22" s="199"/>
    </row>
    <row r="23" spans="1:9">
      <c r="A23" s="12" t="s">
        <v>43</v>
      </c>
      <c r="B23" s="192" t="str">
        <f>PRESUPUESTO!B20</f>
        <v>Suministro e instalacion de Sensores de movimiento tipo techo, con Voltaje 120VAC 50/60 Hz, Ángulo de detección 180°.</v>
      </c>
      <c r="C23" s="193"/>
      <c r="D23" s="193"/>
      <c r="E23" s="193"/>
      <c r="F23" s="193"/>
      <c r="G23" s="193"/>
      <c r="H23" s="193"/>
      <c r="I23" s="194"/>
    </row>
    <row r="24" spans="1:9">
      <c r="A24" s="13" t="s">
        <v>67</v>
      </c>
      <c r="B24" s="195"/>
      <c r="C24" s="195"/>
      <c r="D24" s="195"/>
      <c r="E24" s="195"/>
      <c r="F24" s="195"/>
      <c r="G24" s="195"/>
      <c r="H24" s="14" t="s">
        <v>45</v>
      </c>
      <c r="I24" s="15" t="s">
        <v>46</v>
      </c>
    </row>
    <row r="25" spans="1:9">
      <c r="A25" s="188" t="s">
        <v>47</v>
      </c>
      <c r="B25" s="188"/>
      <c r="C25" s="188"/>
      <c r="D25" s="188"/>
      <c r="E25" s="188"/>
      <c r="F25" s="16" t="s">
        <v>4</v>
      </c>
      <c r="G25" s="16" t="s">
        <v>48</v>
      </c>
      <c r="H25" s="16" t="s">
        <v>49</v>
      </c>
      <c r="I25" s="17" t="s">
        <v>50</v>
      </c>
    </row>
    <row r="26" spans="1:9">
      <c r="A26" s="246" t="s">
        <v>51</v>
      </c>
      <c r="B26" s="246"/>
      <c r="C26" s="246"/>
      <c r="D26" s="246"/>
      <c r="E26" s="246"/>
      <c r="F26" s="18"/>
      <c r="G26" s="18"/>
      <c r="H26" s="19"/>
      <c r="I26" s="20">
        <f>ROUND((SUM(I41:I42)*0.05),0)</f>
        <v>1700</v>
      </c>
    </row>
    <row r="27" spans="1:9">
      <c r="A27" s="246"/>
      <c r="B27" s="246"/>
      <c r="C27" s="246"/>
      <c r="D27" s="246"/>
      <c r="E27" s="246"/>
      <c r="F27" s="18"/>
      <c r="G27" s="18"/>
      <c r="H27" s="21"/>
      <c r="I27" s="20"/>
    </row>
    <row r="28" spans="1:9">
      <c r="A28" s="246"/>
      <c r="B28" s="246"/>
      <c r="C28" s="246"/>
      <c r="D28" s="246"/>
      <c r="E28" s="246"/>
      <c r="F28" s="18"/>
      <c r="G28" s="18"/>
      <c r="H28" s="21"/>
      <c r="I28" s="20"/>
    </row>
    <row r="29" spans="1:9">
      <c r="A29" s="188" t="s">
        <v>52</v>
      </c>
      <c r="B29" s="188"/>
      <c r="C29" s="188"/>
      <c r="D29" s="188"/>
      <c r="E29" s="188"/>
      <c r="F29" s="16" t="s">
        <v>53</v>
      </c>
      <c r="G29" s="22" t="s">
        <v>54</v>
      </c>
      <c r="H29" s="22" t="s">
        <v>55</v>
      </c>
      <c r="I29" s="17" t="s">
        <v>56</v>
      </c>
    </row>
    <row r="30" spans="1:9">
      <c r="A30" s="246" t="s">
        <v>68</v>
      </c>
      <c r="B30" s="246"/>
      <c r="C30" s="246"/>
      <c r="D30" s="246"/>
      <c r="E30" s="246"/>
      <c r="F30" s="23" t="s">
        <v>17</v>
      </c>
      <c r="G30" s="24">
        <v>34000</v>
      </c>
      <c r="H30" s="19">
        <v>1</v>
      </c>
      <c r="I30" s="24">
        <f>+H30*G30</f>
        <v>34000</v>
      </c>
    </row>
    <row r="31" spans="1:9">
      <c r="A31" s="246"/>
      <c r="B31" s="246"/>
      <c r="C31" s="246"/>
      <c r="D31" s="246"/>
      <c r="E31" s="246"/>
      <c r="F31" s="23"/>
      <c r="G31" s="24"/>
      <c r="H31" s="19"/>
      <c r="I31" s="24"/>
    </row>
    <row r="32" spans="1:9">
      <c r="A32" s="246"/>
      <c r="B32" s="246"/>
      <c r="C32" s="246"/>
      <c r="D32" s="246"/>
      <c r="E32" s="246"/>
      <c r="F32" s="23"/>
      <c r="G32" s="19"/>
      <c r="H32" s="19"/>
      <c r="I32" s="24"/>
    </row>
    <row r="33" spans="1:9">
      <c r="A33" s="246"/>
      <c r="B33" s="246"/>
      <c r="C33" s="246"/>
      <c r="D33" s="246"/>
      <c r="E33" s="246"/>
      <c r="F33" s="23"/>
      <c r="G33" s="19"/>
      <c r="H33" s="19"/>
      <c r="I33" s="24"/>
    </row>
    <row r="34" spans="1:9">
      <c r="A34" s="246"/>
      <c r="B34" s="246"/>
      <c r="C34" s="246"/>
      <c r="D34" s="246"/>
      <c r="E34" s="246"/>
      <c r="F34" s="23"/>
      <c r="G34" s="19"/>
      <c r="H34" s="19"/>
      <c r="I34" s="24"/>
    </row>
    <row r="35" spans="1:9">
      <c r="A35" s="246"/>
      <c r="B35" s="246"/>
      <c r="C35" s="246"/>
      <c r="D35" s="246"/>
      <c r="E35" s="246"/>
      <c r="F35" s="23"/>
      <c r="G35" s="19"/>
      <c r="H35" s="19"/>
      <c r="I35" s="24"/>
    </row>
    <row r="36" spans="1:9">
      <c r="A36" s="246"/>
      <c r="B36" s="246"/>
      <c r="C36" s="246"/>
      <c r="D36" s="246"/>
      <c r="E36" s="246"/>
      <c r="F36" s="23"/>
      <c r="G36" s="19"/>
      <c r="H36" s="19"/>
      <c r="I36" s="24">
        <f t="shared" ref="I36" si="1">+G36*H36</f>
        <v>0</v>
      </c>
    </row>
    <row r="37" spans="1:9">
      <c r="A37" s="188" t="s">
        <v>58</v>
      </c>
      <c r="B37" s="188"/>
      <c r="C37" s="188"/>
      <c r="D37" s="188"/>
      <c r="E37" s="25" t="s">
        <v>59</v>
      </c>
      <c r="F37" s="16" t="s">
        <v>60</v>
      </c>
      <c r="G37" s="16" t="s">
        <v>61</v>
      </c>
      <c r="H37" s="16" t="s">
        <v>62</v>
      </c>
      <c r="I37" s="17" t="s">
        <v>56</v>
      </c>
    </row>
    <row r="38" spans="1:9">
      <c r="A38" s="246" t="s">
        <v>63</v>
      </c>
      <c r="B38" s="246"/>
      <c r="C38" s="246"/>
      <c r="D38" s="246"/>
      <c r="E38" s="26"/>
      <c r="F38" s="26">
        <v>6</v>
      </c>
      <c r="G38" s="26">
        <f>35000/F38</f>
        <v>5833.333333333333</v>
      </c>
      <c r="H38" s="26">
        <f>+G38*6</f>
        <v>35000</v>
      </c>
      <c r="I38" s="19">
        <f>+E38*G38</f>
        <v>0</v>
      </c>
    </row>
    <row r="39" spans="1:9">
      <c r="A39" s="246" t="s">
        <v>64</v>
      </c>
      <c r="B39" s="246"/>
      <c r="C39" s="246"/>
      <c r="D39" s="246"/>
      <c r="E39" s="26"/>
      <c r="F39" s="26"/>
      <c r="G39" s="26"/>
      <c r="H39" s="26"/>
      <c r="I39" s="19">
        <f>+E39*G39</f>
        <v>0</v>
      </c>
    </row>
    <row r="40" spans="1:9">
      <c r="A40" s="188" t="s">
        <v>65</v>
      </c>
      <c r="B40" s="188"/>
      <c r="C40" s="188"/>
      <c r="D40" s="188"/>
      <c r="E40" s="16" t="s">
        <v>55</v>
      </c>
      <c r="F40" s="189" t="s">
        <v>66</v>
      </c>
      <c r="G40" s="190"/>
      <c r="H40" s="27" t="s">
        <v>49</v>
      </c>
      <c r="I40" s="28" t="s">
        <v>56</v>
      </c>
    </row>
    <row r="41" spans="1:9">
      <c r="A41" s="187" t="s">
        <v>69</v>
      </c>
      <c r="B41" s="187"/>
      <c r="C41" s="187"/>
      <c r="D41" s="187"/>
      <c r="E41" s="19">
        <v>1</v>
      </c>
      <c r="F41" s="191">
        <f>F19</f>
        <v>136000</v>
      </c>
      <c r="G41" s="191"/>
      <c r="H41" s="21">
        <v>4</v>
      </c>
      <c r="I41" s="24">
        <f>+(E41*F41)/H41</f>
        <v>34000</v>
      </c>
    </row>
    <row r="42" spans="1:9">
      <c r="A42" s="187"/>
      <c r="B42" s="187"/>
      <c r="C42" s="187"/>
      <c r="D42" s="187"/>
      <c r="E42" s="19"/>
      <c r="F42" s="247"/>
      <c r="G42" s="247"/>
      <c r="H42" s="21"/>
      <c r="I42" s="24"/>
    </row>
    <row r="43" spans="1:9">
      <c r="F43" s="29" t="s">
        <v>36</v>
      </c>
      <c r="G43" s="30"/>
      <c r="H43" s="31"/>
      <c r="I43" s="32">
        <f>ROUND((SUM(I26:I42)),0)</f>
        <v>69700</v>
      </c>
    </row>
    <row r="45" spans="1:9">
      <c r="A45" s="12" t="s">
        <v>43</v>
      </c>
      <c r="B45" s="192" t="str">
        <f>PRESUPUESTO!B21</f>
        <v>Suministro e instalacion de Reflectores perimetrales  led 200w 120/240 VAC 50/60 Hz,ip 65 incluye instalacion, cableado, breaker de proteccion y/o tablero electrico</v>
      </c>
      <c r="C45" s="193"/>
      <c r="D45" s="193"/>
      <c r="E45" s="193"/>
      <c r="F45" s="193"/>
      <c r="G45" s="193"/>
      <c r="H45" s="193"/>
      <c r="I45" s="194"/>
    </row>
    <row r="46" spans="1:9">
      <c r="A46" s="13" t="s">
        <v>67</v>
      </c>
      <c r="B46" s="195"/>
      <c r="C46" s="195"/>
      <c r="D46" s="195"/>
      <c r="E46" s="195"/>
      <c r="F46" s="195"/>
      <c r="G46" s="195"/>
      <c r="H46" s="14" t="s">
        <v>45</v>
      </c>
      <c r="I46" s="15" t="s">
        <v>46</v>
      </c>
    </row>
    <row r="47" spans="1:9">
      <c r="A47" s="188" t="s">
        <v>47</v>
      </c>
      <c r="B47" s="188"/>
      <c r="C47" s="188"/>
      <c r="D47" s="188"/>
      <c r="E47" s="188"/>
      <c r="F47" s="16" t="s">
        <v>4</v>
      </c>
      <c r="G47" s="16" t="s">
        <v>48</v>
      </c>
      <c r="H47" s="16" t="s">
        <v>49</v>
      </c>
      <c r="I47" s="17" t="s">
        <v>50</v>
      </c>
    </row>
    <row r="48" spans="1:9">
      <c r="A48" s="246" t="s">
        <v>51</v>
      </c>
      <c r="B48" s="246"/>
      <c r="C48" s="246"/>
      <c r="D48" s="246"/>
      <c r="E48" s="246"/>
      <c r="F48" s="18"/>
      <c r="G48" s="18"/>
      <c r="H48" s="19"/>
      <c r="I48" s="20">
        <f>ROUND((SUM(I62:I63)*0.05),0)</f>
        <v>3400</v>
      </c>
    </row>
    <row r="49" spans="1:9">
      <c r="A49" s="246"/>
      <c r="B49" s="246"/>
      <c r="C49" s="246"/>
      <c r="D49" s="246"/>
      <c r="E49" s="246"/>
      <c r="F49" s="18"/>
      <c r="G49" s="18"/>
      <c r="H49" s="21"/>
      <c r="I49" s="20"/>
    </row>
    <row r="50" spans="1:9">
      <c r="A50" s="246"/>
      <c r="B50" s="246"/>
      <c r="C50" s="246"/>
      <c r="D50" s="246"/>
      <c r="E50" s="246"/>
      <c r="F50" s="18"/>
      <c r="G50" s="18"/>
      <c r="H50" s="21"/>
      <c r="I50" s="20"/>
    </row>
    <row r="51" spans="1:9">
      <c r="A51" s="188" t="s">
        <v>52</v>
      </c>
      <c r="B51" s="188"/>
      <c r="C51" s="188"/>
      <c r="D51" s="188"/>
      <c r="E51" s="188"/>
      <c r="F51" s="16" t="s">
        <v>53</v>
      </c>
      <c r="G51" s="22" t="s">
        <v>54</v>
      </c>
      <c r="H51" s="22" t="s">
        <v>55</v>
      </c>
      <c r="I51" s="17" t="s">
        <v>56</v>
      </c>
    </row>
    <row r="52" spans="1:9">
      <c r="A52" s="246" t="s">
        <v>70</v>
      </c>
      <c r="B52" s="246"/>
      <c r="C52" s="246"/>
      <c r="D52" s="246"/>
      <c r="E52" s="246"/>
      <c r="F52" s="23" t="s">
        <v>17</v>
      </c>
      <c r="G52" s="24">
        <v>470000</v>
      </c>
      <c r="H52" s="19">
        <v>1</v>
      </c>
      <c r="I52" s="24">
        <f>+H52*G52</f>
        <v>470000</v>
      </c>
    </row>
    <row r="53" spans="1:9">
      <c r="A53" s="246" t="s">
        <v>71</v>
      </c>
      <c r="B53" s="246"/>
      <c r="C53" s="246"/>
      <c r="D53" s="246"/>
      <c r="E53" s="246"/>
      <c r="F53" s="23" t="s">
        <v>17</v>
      </c>
      <c r="G53" s="24">
        <v>5200</v>
      </c>
      <c r="H53" s="19">
        <v>20</v>
      </c>
      <c r="I53" s="24">
        <f>G53*H53</f>
        <v>104000</v>
      </c>
    </row>
    <row r="54" spans="1:9">
      <c r="A54" s="246" t="s">
        <v>72</v>
      </c>
      <c r="B54" s="246"/>
      <c r="C54" s="246"/>
      <c r="D54" s="246"/>
      <c r="E54" s="246"/>
      <c r="F54" s="23" t="s">
        <v>17</v>
      </c>
      <c r="G54" s="19">
        <v>1</v>
      </c>
      <c r="H54" s="19">
        <v>25000</v>
      </c>
      <c r="I54" s="24">
        <f>G54*H54</f>
        <v>25000</v>
      </c>
    </row>
    <row r="55" spans="1:9">
      <c r="A55" s="246"/>
      <c r="B55" s="246"/>
      <c r="C55" s="246"/>
      <c r="D55" s="246"/>
      <c r="E55" s="246"/>
      <c r="F55" s="23"/>
      <c r="G55" s="19"/>
      <c r="H55" s="19"/>
      <c r="I55" s="24"/>
    </row>
    <row r="56" spans="1:9">
      <c r="A56" s="246"/>
      <c r="B56" s="246"/>
      <c r="C56" s="246"/>
      <c r="D56" s="246"/>
      <c r="E56" s="246"/>
      <c r="F56" s="23"/>
      <c r="G56" s="19"/>
      <c r="H56" s="19"/>
      <c r="I56" s="24"/>
    </row>
    <row r="57" spans="1:9">
      <c r="A57" s="246"/>
      <c r="B57" s="246"/>
      <c r="C57" s="246"/>
      <c r="D57" s="246"/>
      <c r="E57" s="246"/>
      <c r="F57" s="23"/>
      <c r="G57" s="19"/>
      <c r="H57" s="19"/>
      <c r="I57" s="24">
        <f t="shared" ref="I57" si="2">+G57*H57</f>
        <v>0</v>
      </c>
    </row>
    <row r="58" spans="1:9">
      <c r="A58" s="188" t="s">
        <v>58</v>
      </c>
      <c r="B58" s="188"/>
      <c r="C58" s="188"/>
      <c r="D58" s="188"/>
      <c r="E58" s="25" t="s">
        <v>59</v>
      </c>
      <c r="F58" s="16" t="s">
        <v>60</v>
      </c>
      <c r="G58" s="16" t="s">
        <v>61</v>
      </c>
      <c r="H58" s="16" t="s">
        <v>62</v>
      </c>
      <c r="I58" s="17" t="s">
        <v>56</v>
      </c>
    </row>
    <row r="59" spans="1:9">
      <c r="A59" s="246" t="s">
        <v>63</v>
      </c>
      <c r="B59" s="246"/>
      <c r="C59" s="246"/>
      <c r="D59" s="246"/>
      <c r="E59" s="26"/>
      <c r="F59" s="26">
        <v>6</v>
      </c>
      <c r="G59" s="26">
        <f>35000/F59</f>
        <v>5833.333333333333</v>
      </c>
      <c r="H59" s="26">
        <f>+G59*6</f>
        <v>35000</v>
      </c>
      <c r="I59" s="19">
        <f>+E59*G59</f>
        <v>0</v>
      </c>
    </row>
    <row r="60" spans="1:9">
      <c r="A60" s="246" t="s">
        <v>64</v>
      </c>
      <c r="B60" s="246"/>
      <c r="C60" s="246"/>
      <c r="D60" s="246"/>
      <c r="E60" s="26"/>
      <c r="F60" s="26"/>
      <c r="G60" s="26"/>
      <c r="H60" s="26"/>
      <c r="I60" s="19">
        <f>+E60*G60</f>
        <v>0</v>
      </c>
    </row>
    <row r="61" spans="1:9">
      <c r="A61" s="188" t="s">
        <v>65</v>
      </c>
      <c r="B61" s="188"/>
      <c r="C61" s="188"/>
      <c r="D61" s="188"/>
      <c r="E61" s="16" t="s">
        <v>55</v>
      </c>
      <c r="F61" s="189" t="s">
        <v>66</v>
      </c>
      <c r="G61" s="190"/>
      <c r="H61" s="27" t="s">
        <v>49</v>
      </c>
      <c r="I61" s="28" t="s">
        <v>56</v>
      </c>
    </row>
    <row r="62" spans="1:9">
      <c r="A62" s="187" t="s">
        <v>69</v>
      </c>
      <c r="B62" s="187"/>
      <c r="C62" s="187"/>
      <c r="D62" s="187"/>
      <c r="E62" s="19">
        <v>1</v>
      </c>
      <c r="F62" s="191">
        <f>F41</f>
        <v>136000</v>
      </c>
      <c r="G62" s="191"/>
      <c r="H62" s="21">
        <v>2</v>
      </c>
      <c r="I62" s="24">
        <f>+(E62*F62)/H62</f>
        <v>68000</v>
      </c>
    </row>
    <row r="63" spans="1:9">
      <c r="A63" s="187"/>
      <c r="B63" s="187"/>
      <c r="C63" s="187"/>
      <c r="D63" s="187"/>
      <c r="E63" s="19"/>
      <c r="F63" s="247"/>
      <c r="G63" s="247"/>
      <c r="H63" s="21"/>
      <c r="I63" s="24"/>
    </row>
    <row r="64" spans="1:9">
      <c r="F64" s="29" t="s">
        <v>36</v>
      </c>
      <c r="G64" s="30"/>
      <c r="H64" s="31"/>
      <c r="I64" s="32">
        <f>ROUND((SUM(I48:I63)),0)</f>
        <v>670400</v>
      </c>
    </row>
    <row r="66" spans="1:9">
      <c r="A66" s="12" t="s">
        <v>43</v>
      </c>
      <c r="B66" s="192" t="str">
        <f>PRESUPUESTO!B22</f>
        <v>Suministro e instalacion de Tubos led t8 luz blanca, 18w, G13, 110/220v, 6500k</v>
      </c>
      <c r="C66" s="193"/>
      <c r="D66" s="193"/>
      <c r="E66" s="193"/>
      <c r="F66" s="193"/>
      <c r="G66" s="193"/>
      <c r="H66" s="193"/>
      <c r="I66" s="194"/>
    </row>
    <row r="67" spans="1:9">
      <c r="A67" s="13" t="s">
        <v>67</v>
      </c>
      <c r="B67" s="195"/>
      <c r="C67" s="195"/>
      <c r="D67" s="195"/>
      <c r="E67" s="195"/>
      <c r="F67" s="195"/>
      <c r="G67" s="195"/>
      <c r="H67" s="14" t="s">
        <v>45</v>
      </c>
      <c r="I67" s="15" t="s">
        <v>46</v>
      </c>
    </row>
    <row r="68" spans="1:9">
      <c r="A68" s="188" t="s">
        <v>47</v>
      </c>
      <c r="B68" s="188"/>
      <c r="C68" s="188"/>
      <c r="D68" s="188"/>
      <c r="E68" s="188"/>
      <c r="F68" s="16" t="s">
        <v>4</v>
      </c>
      <c r="G68" s="16" t="s">
        <v>48</v>
      </c>
      <c r="H68" s="16" t="s">
        <v>49</v>
      </c>
      <c r="I68" s="17" t="s">
        <v>50</v>
      </c>
    </row>
    <row r="69" spans="1:9">
      <c r="A69" s="246" t="s">
        <v>51</v>
      </c>
      <c r="B69" s="246"/>
      <c r="C69" s="246"/>
      <c r="D69" s="246"/>
      <c r="E69" s="246"/>
      <c r="F69" s="18"/>
      <c r="G69" s="18"/>
      <c r="H69" s="19"/>
      <c r="I69" s="20">
        <f>ROUND((SUM(I83:I84)*0.05),0)</f>
        <v>850</v>
      </c>
    </row>
    <row r="70" spans="1:9">
      <c r="A70" s="246"/>
      <c r="B70" s="246"/>
      <c r="C70" s="246"/>
      <c r="D70" s="246"/>
      <c r="E70" s="246"/>
      <c r="F70" s="18"/>
      <c r="G70" s="18"/>
      <c r="H70" s="21"/>
      <c r="I70" s="20"/>
    </row>
    <row r="71" spans="1:9">
      <c r="A71" s="246"/>
      <c r="B71" s="246"/>
      <c r="C71" s="246"/>
      <c r="D71" s="246"/>
      <c r="E71" s="246"/>
      <c r="F71" s="18"/>
      <c r="G71" s="18"/>
      <c r="H71" s="21"/>
      <c r="I71" s="20"/>
    </row>
    <row r="72" spans="1:9">
      <c r="A72" s="188" t="s">
        <v>52</v>
      </c>
      <c r="B72" s="188"/>
      <c r="C72" s="188"/>
      <c r="D72" s="188"/>
      <c r="E72" s="188"/>
      <c r="F72" s="16" t="s">
        <v>53</v>
      </c>
      <c r="G72" s="22" t="s">
        <v>54</v>
      </c>
      <c r="H72" s="22" t="s">
        <v>55</v>
      </c>
      <c r="I72" s="17" t="s">
        <v>56</v>
      </c>
    </row>
    <row r="73" spans="1:9">
      <c r="A73" s="246" t="s">
        <v>73</v>
      </c>
      <c r="B73" s="246"/>
      <c r="C73" s="246"/>
      <c r="D73" s="246"/>
      <c r="E73" s="246"/>
      <c r="F73" s="23" t="s">
        <v>17</v>
      </c>
      <c r="G73" s="24">
        <v>22000</v>
      </c>
      <c r="H73" s="19">
        <v>1</v>
      </c>
      <c r="I73" s="24">
        <f>+H73*G73</f>
        <v>22000</v>
      </c>
    </row>
    <row r="74" spans="1:9">
      <c r="A74" s="246"/>
      <c r="B74" s="246"/>
      <c r="C74" s="246"/>
      <c r="D74" s="246"/>
      <c r="E74" s="246"/>
      <c r="F74" s="23"/>
      <c r="G74" s="24"/>
      <c r="H74" s="19"/>
      <c r="I74" s="24"/>
    </row>
    <row r="75" spans="1:9">
      <c r="A75" s="246"/>
      <c r="B75" s="246"/>
      <c r="C75" s="246"/>
      <c r="D75" s="246"/>
      <c r="E75" s="246"/>
      <c r="F75" s="23"/>
      <c r="G75" s="19"/>
      <c r="H75" s="19"/>
      <c r="I75" s="24"/>
    </row>
    <row r="76" spans="1:9">
      <c r="A76" s="246"/>
      <c r="B76" s="246"/>
      <c r="C76" s="246"/>
      <c r="D76" s="246"/>
      <c r="E76" s="246"/>
      <c r="F76" s="23"/>
      <c r="G76" s="19"/>
      <c r="H76" s="19"/>
      <c r="I76" s="24"/>
    </row>
    <row r="77" spans="1:9">
      <c r="A77" s="246"/>
      <c r="B77" s="246"/>
      <c r="C77" s="246"/>
      <c r="D77" s="246"/>
      <c r="E77" s="246"/>
      <c r="F77" s="23"/>
      <c r="G77" s="19"/>
      <c r="H77" s="19"/>
      <c r="I77" s="24"/>
    </row>
    <row r="78" spans="1:9">
      <c r="A78" s="246"/>
      <c r="B78" s="246"/>
      <c r="C78" s="246"/>
      <c r="D78" s="246"/>
      <c r="E78" s="246"/>
      <c r="F78" s="23"/>
      <c r="G78" s="19"/>
      <c r="H78" s="19"/>
      <c r="I78" s="24">
        <f t="shared" ref="I78" si="3">+G78*H78</f>
        <v>0</v>
      </c>
    </row>
    <row r="79" spans="1:9">
      <c r="A79" s="188" t="s">
        <v>58</v>
      </c>
      <c r="B79" s="188"/>
      <c r="C79" s="188"/>
      <c r="D79" s="188"/>
      <c r="E79" s="25" t="s">
        <v>59</v>
      </c>
      <c r="F79" s="16" t="s">
        <v>60</v>
      </c>
      <c r="G79" s="16" t="s">
        <v>61</v>
      </c>
      <c r="H79" s="16" t="s">
        <v>62</v>
      </c>
      <c r="I79" s="17" t="s">
        <v>56</v>
      </c>
    </row>
    <row r="80" spans="1:9">
      <c r="A80" s="246" t="s">
        <v>63</v>
      </c>
      <c r="B80" s="246"/>
      <c r="C80" s="246"/>
      <c r="D80" s="246"/>
      <c r="E80" s="26"/>
      <c r="F80" s="26">
        <v>6</v>
      </c>
      <c r="G80" s="26">
        <f>35000/F80</f>
        <v>5833.333333333333</v>
      </c>
      <c r="H80" s="26">
        <f>+G80*6</f>
        <v>35000</v>
      </c>
      <c r="I80" s="19">
        <f>+E80*G80</f>
        <v>0</v>
      </c>
    </row>
    <row r="81" spans="1:9">
      <c r="A81" s="246" t="s">
        <v>64</v>
      </c>
      <c r="B81" s="246"/>
      <c r="C81" s="246"/>
      <c r="D81" s="246"/>
      <c r="E81" s="26"/>
      <c r="F81" s="26"/>
      <c r="G81" s="26"/>
      <c r="H81" s="26"/>
      <c r="I81" s="19">
        <f>+E81*G81</f>
        <v>0</v>
      </c>
    </row>
    <row r="82" spans="1:9">
      <c r="A82" s="188" t="s">
        <v>65</v>
      </c>
      <c r="B82" s="188"/>
      <c r="C82" s="188"/>
      <c r="D82" s="188"/>
      <c r="E82" s="16" t="s">
        <v>55</v>
      </c>
      <c r="F82" s="189" t="s">
        <v>66</v>
      </c>
      <c r="G82" s="190"/>
      <c r="H82" s="27" t="s">
        <v>49</v>
      </c>
      <c r="I82" s="28" t="s">
        <v>56</v>
      </c>
    </row>
    <row r="83" spans="1:9">
      <c r="A83" s="187" t="s">
        <v>69</v>
      </c>
      <c r="B83" s="187"/>
      <c r="C83" s="187"/>
      <c r="D83" s="187"/>
      <c r="E83" s="19">
        <v>1</v>
      </c>
      <c r="F83" s="191">
        <f>F62</f>
        <v>136000</v>
      </c>
      <c r="G83" s="191"/>
      <c r="H83" s="21">
        <v>8</v>
      </c>
      <c r="I83" s="24">
        <f>+(E83*F83)/H83</f>
        <v>17000</v>
      </c>
    </row>
    <row r="84" spans="1:9">
      <c r="A84" s="187"/>
      <c r="B84" s="187"/>
      <c r="C84" s="187"/>
      <c r="D84" s="187"/>
      <c r="E84" s="19"/>
      <c r="F84" s="247"/>
      <c r="G84" s="247"/>
      <c r="H84" s="21"/>
      <c r="I84" s="24"/>
    </row>
    <row r="85" spans="1:9">
      <c r="F85" s="29" t="s">
        <v>36</v>
      </c>
      <c r="G85" s="30"/>
      <c r="H85" s="31"/>
      <c r="I85" s="32">
        <f>ROUND((SUM(I69:I84)),0)</f>
        <v>39850</v>
      </c>
    </row>
    <row r="88" spans="1:9">
      <c r="A88" s="12" t="s">
        <v>43</v>
      </c>
      <c r="B88" s="192" t="str">
        <f>PRESUPUESTO!B22</f>
        <v>Suministro e instalacion de Tubos led t8 luz blanca, 18w, G13, 110/220v, 6500k</v>
      </c>
      <c r="C88" s="193"/>
      <c r="D88" s="193"/>
      <c r="E88" s="193"/>
      <c r="F88" s="193"/>
      <c r="G88" s="193"/>
      <c r="H88" s="193"/>
      <c r="I88" s="194"/>
    </row>
    <row r="89" spans="1:9">
      <c r="A89" s="13" t="s">
        <v>67</v>
      </c>
      <c r="B89" s="195"/>
      <c r="C89" s="195"/>
      <c r="D89" s="195"/>
      <c r="E89" s="195"/>
      <c r="F89" s="195"/>
      <c r="G89" s="195"/>
      <c r="H89" s="14" t="s">
        <v>45</v>
      </c>
      <c r="I89" s="15" t="s">
        <v>46</v>
      </c>
    </row>
    <row r="90" spans="1:9">
      <c r="A90" s="188" t="s">
        <v>47</v>
      </c>
      <c r="B90" s="188"/>
      <c r="C90" s="188"/>
      <c r="D90" s="188"/>
      <c r="E90" s="188"/>
      <c r="F90" s="16" t="s">
        <v>4</v>
      </c>
      <c r="G90" s="16" t="s">
        <v>48</v>
      </c>
      <c r="H90" s="16" t="s">
        <v>49</v>
      </c>
      <c r="I90" s="17" t="s">
        <v>50</v>
      </c>
    </row>
    <row r="91" spans="1:9">
      <c r="A91" s="246" t="s">
        <v>51</v>
      </c>
      <c r="B91" s="246"/>
      <c r="C91" s="246"/>
      <c r="D91" s="246"/>
      <c r="E91" s="246"/>
      <c r="F91" s="18"/>
      <c r="G91" s="18"/>
      <c r="H91" s="19"/>
      <c r="I91" s="20">
        <f>ROUND((SUM(I105:I106)*0.05),0)</f>
        <v>567</v>
      </c>
    </row>
    <row r="92" spans="1:9">
      <c r="A92" s="246"/>
      <c r="B92" s="246"/>
      <c r="C92" s="246"/>
      <c r="D92" s="246"/>
      <c r="E92" s="246"/>
      <c r="F92" s="18"/>
      <c r="G92" s="18"/>
      <c r="H92" s="21"/>
      <c r="I92" s="20"/>
    </row>
    <row r="93" spans="1:9">
      <c r="A93" s="246"/>
      <c r="B93" s="246"/>
      <c r="C93" s="246"/>
      <c r="D93" s="246"/>
      <c r="E93" s="246"/>
      <c r="F93" s="18"/>
      <c r="G93" s="18"/>
      <c r="H93" s="21"/>
      <c r="I93" s="20"/>
    </row>
    <row r="94" spans="1:9">
      <c r="A94" s="188" t="s">
        <v>52</v>
      </c>
      <c r="B94" s="188"/>
      <c r="C94" s="188"/>
      <c r="D94" s="188"/>
      <c r="E94" s="188"/>
      <c r="F94" s="16" t="s">
        <v>53</v>
      </c>
      <c r="G94" s="22" t="s">
        <v>54</v>
      </c>
      <c r="H94" s="22" t="s">
        <v>55</v>
      </c>
      <c r="I94" s="17" t="s">
        <v>56</v>
      </c>
    </row>
    <row r="95" spans="1:9">
      <c r="A95" s="246" t="s">
        <v>74</v>
      </c>
      <c r="B95" s="246"/>
      <c r="C95" s="246"/>
      <c r="D95" s="246"/>
      <c r="E95" s="246"/>
      <c r="F95" s="23" t="s">
        <v>17</v>
      </c>
      <c r="G95" s="24">
        <v>19000</v>
      </c>
      <c r="H95" s="19">
        <v>1</v>
      </c>
      <c r="I95" s="24">
        <f>+H95*G95</f>
        <v>19000</v>
      </c>
    </row>
    <row r="96" spans="1:9">
      <c r="A96" s="246" t="s">
        <v>75</v>
      </c>
      <c r="B96" s="246"/>
      <c r="C96" s="246"/>
      <c r="D96" s="246"/>
      <c r="E96" s="246"/>
      <c r="F96" s="23" t="s">
        <v>14</v>
      </c>
      <c r="G96" s="24">
        <v>5500</v>
      </c>
      <c r="H96" s="19">
        <v>5</v>
      </c>
      <c r="I96" s="24">
        <f>+H96*G96</f>
        <v>27500</v>
      </c>
    </row>
    <row r="97" spans="1:9">
      <c r="A97" s="246"/>
      <c r="B97" s="246"/>
      <c r="C97" s="246"/>
      <c r="D97" s="246"/>
      <c r="E97" s="246"/>
      <c r="F97" s="23"/>
      <c r="G97" s="19"/>
      <c r="H97" s="19"/>
      <c r="I97" s="24"/>
    </row>
    <row r="98" spans="1:9">
      <c r="A98" s="246"/>
      <c r="B98" s="246"/>
      <c r="C98" s="246"/>
      <c r="D98" s="246"/>
      <c r="E98" s="246"/>
      <c r="F98" s="23"/>
      <c r="G98" s="19"/>
      <c r="H98" s="19"/>
      <c r="I98" s="24"/>
    </row>
    <row r="99" spans="1:9">
      <c r="A99" s="246"/>
      <c r="B99" s="246"/>
      <c r="C99" s="246"/>
      <c r="D99" s="246"/>
      <c r="E99" s="246"/>
      <c r="F99" s="23"/>
      <c r="G99" s="19"/>
      <c r="H99" s="19"/>
      <c r="I99" s="24"/>
    </row>
    <row r="100" spans="1:9">
      <c r="A100" s="246"/>
      <c r="B100" s="246"/>
      <c r="C100" s="246"/>
      <c r="D100" s="246"/>
      <c r="E100" s="246"/>
      <c r="F100" s="23"/>
      <c r="G100" s="19"/>
      <c r="H100" s="19"/>
      <c r="I100" s="24">
        <f t="shared" ref="I100" si="4">+G100*H100</f>
        <v>0</v>
      </c>
    </row>
    <row r="101" spans="1:9">
      <c r="A101" s="188" t="s">
        <v>58</v>
      </c>
      <c r="B101" s="188"/>
      <c r="C101" s="188"/>
      <c r="D101" s="188"/>
      <c r="E101" s="25" t="s">
        <v>59</v>
      </c>
      <c r="F101" s="16" t="s">
        <v>60</v>
      </c>
      <c r="G101" s="16" t="s">
        <v>61</v>
      </c>
      <c r="H101" s="16" t="s">
        <v>62</v>
      </c>
      <c r="I101" s="17" t="s">
        <v>56</v>
      </c>
    </row>
    <row r="102" spans="1:9">
      <c r="A102" s="246" t="s">
        <v>63</v>
      </c>
      <c r="B102" s="246"/>
      <c r="C102" s="246"/>
      <c r="D102" s="246"/>
      <c r="E102" s="26"/>
      <c r="F102" s="26">
        <v>6</v>
      </c>
      <c r="G102" s="26">
        <f>35000/F102</f>
        <v>5833.333333333333</v>
      </c>
      <c r="H102" s="26">
        <f>+G102*6</f>
        <v>35000</v>
      </c>
      <c r="I102" s="19">
        <f>+E102*G102</f>
        <v>0</v>
      </c>
    </row>
    <row r="103" spans="1:9">
      <c r="A103" s="246" t="s">
        <v>64</v>
      </c>
      <c r="B103" s="246"/>
      <c r="C103" s="246"/>
      <c r="D103" s="246"/>
      <c r="E103" s="26"/>
      <c r="F103" s="26"/>
      <c r="G103" s="26"/>
      <c r="H103" s="26"/>
      <c r="I103" s="19">
        <f>+E103*G103</f>
        <v>0</v>
      </c>
    </row>
    <row r="104" spans="1:9">
      <c r="A104" s="188" t="s">
        <v>65</v>
      </c>
      <c r="B104" s="188"/>
      <c r="C104" s="188"/>
      <c r="D104" s="188"/>
      <c r="E104" s="16" t="s">
        <v>55</v>
      </c>
      <c r="F104" s="189" t="s">
        <v>66</v>
      </c>
      <c r="G104" s="190"/>
      <c r="H104" s="27" t="s">
        <v>49</v>
      </c>
      <c r="I104" s="28" t="s">
        <v>56</v>
      </c>
    </row>
    <row r="105" spans="1:9">
      <c r="A105" s="187" t="s">
        <v>69</v>
      </c>
      <c r="B105" s="187"/>
      <c r="C105" s="187"/>
      <c r="D105" s="187"/>
      <c r="E105" s="19">
        <v>1</v>
      </c>
      <c r="F105" s="191">
        <f>F83</f>
        <v>136000</v>
      </c>
      <c r="G105" s="191"/>
      <c r="H105" s="21">
        <v>12</v>
      </c>
      <c r="I105" s="24">
        <f>+(E105*F105)/H105</f>
        <v>11333.333333333334</v>
      </c>
    </row>
    <row r="106" spans="1:9">
      <c r="A106" s="187"/>
      <c r="B106" s="187"/>
      <c r="C106" s="187"/>
      <c r="D106" s="187"/>
      <c r="E106" s="19"/>
      <c r="F106" s="247"/>
      <c r="G106" s="247"/>
      <c r="H106" s="21"/>
      <c r="I106" s="24"/>
    </row>
    <row r="107" spans="1:9">
      <c r="F107" s="29" t="s">
        <v>36</v>
      </c>
      <c r="G107" s="30"/>
      <c r="H107" s="31"/>
      <c r="I107" s="32">
        <f>ROUND((SUM(I91:I106)),0)</f>
        <v>58400</v>
      </c>
    </row>
    <row r="110" spans="1:9">
      <c r="A110" s="12" t="s">
        <v>43</v>
      </c>
      <c r="B110" s="192" t="str">
        <f>PRESUPUESTO!B24</f>
        <v>Suministro e instalacion de ventiladores de techo con rodamiento, Cantidad De Aspas 3 Color De La Estructura Blanco Color De Las Aspas Blanco Diámetro 56 Frecuencia 80w Material De Las Aspas Metal 110v</v>
      </c>
      <c r="C110" s="193"/>
      <c r="D110" s="193"/>
      <c r="E110" s="193"/>
      <c r="F110" s="193"/>
      <c r="G110" s="193"/>
      <c r="H110" s="193"/>
      <c r="I110" s="194"/>
    </row>
    <row r="111" spans="1:9">
      <c r="A111" s="13" t="s">
        <v>67</v>
      </c>
      <c r="B111" s="195"/>
      <c r="C111" s="195"/>
      <c r="D111" s="195"/>
      <c r="E111" s="195"/>
      <c r="F111" s="195"/>
      <c r="G111" s="195"/>
      <c r="H111" s="14" t="s">
        <v>45</v>
      </c>
      <c r="I111" s="15" t="s">
        <v>46</v>
      </c>
    </row>
    <row r="112" spans="1:9">
      <c r="A112" s="188" t="s">
        <v>47</v>
      </c>
      <c r="B112" s="188"/>
      <c r="C112" s="188"/>
      <c r="D112" s="188"/>
      <c r="E112" s="188"/>
      <c r="F112" s="16" t="s">
        <v>4</v>
      </c>
      <c r="G112" s="16" t="s">
        <v>48</v>
      </c>
      <c r="H112" s="16" t="s">
        <v>49</v>
      </c>
      <c r="I112" s="17" t="s">
        <v>50</v>
      </c>
    </row>
    <row r="113" spans="1:9">
      <c r="A113" s="246" t="s">
        <v>51</v>
      </c>
      <c r="B113" s="246"/>
      <c r="C113" s="246"/>
      <c r="D113" s="246"/>
      <c r="E113" s="246"/>
      <c r="F113" s="18"/>
      <c r="G113" s="18"/>
      <c r="H113" s="19"/>
      <c r="I113" s="20">
        <f>ROUND((SUM(I127:I128)*0.05),0)</f>
        <v>1700</v>
      </c>
    </row>
    <row r="114" spans="1:9">
      <c r="A114" s="246"/>
      <c r="B114" s="246"/>
      <c r="C114" s="246"/>
      <c r="D114" s="246"/>
      <c r="E114" s="246"/>
      <c r="F114" s="18"/>
      <c r="G114" s="18"/>
      <c r="H114" s="21"/>
      <c r="I114" s="20"/>
    </row>
    <row r="115" spans="1:9">
      <c r="A115" s="246"/>
      <c r="B115" s="246"/>
      <c r="C115" s="246"/>
      <c r="D115" s="246"/>
      <c r="E115" s="246"/>
      <c r="F115" s="18"/>
      <c r="G115" s="18"/>
      <c r="H115" s="21"/>
      <c r="I115" s="20"/>
    </row>
    <row r="116" spans="1:9">
      <c r="A116" s="188" t="s">
        <v>52</v>
      </c>
      <c r="B116" s="188"/>
      <c r="C116" s="188"/>
      <c r="D116" s="188"/>
      <c r="E116" s="188"/>
      <c r="F116" s="16" t="s">
        <v>53</v>
      </c>
      <c r="G116" s="22" t="s">
        <v>54</v>
      </c>
      <c r="H116" s="22" t="s">
        <v>55</v>
      </c>
      <c r="I116" s="17" t="s">
        <v>56</v>
      </c>
    </row>
    <row r="117" spans="1:9">
      <c r="A117" s="246" t="s">
        <v>76</v>
      </c>
      <c r="B117" s="246"/>
      <c r="C117" s="246"/>
      <c r="D117" s="246"/>
      <c r="E117" s="246"/>
      <c r="F117" s="23" t="s">
        <v>17</v>
      </c>
      <c r="G117" s="24">
        <v>450000</v>
      </c>
      <c r="H117" s="19">
        <v>1</v>
      </c>
      <c r="I117" s="24">
        <f>+H117*G117</f>
        <v>450000</v>
      </c>
    </row>
    <row r="118" spans="1:9">
      <c r="A118" s="246"/>
      <c r="B118" s="246"/>
      <c r="C118" s="246"/>
      <c r="D118" s="246"/>
      <c r="E118" s="246"/>
      <c r="F118" s="23"/>
      <c r="G118" s="24"/>
      <c r="H118" s="19"/>
      <c r="I118" s="24"/>
    </row>
    <row r="119" spans="1:9">
      <c r="A119" s="246"/>
      <c r="B119" s="246"/>
      <c r="C119" s="246"/>
      <c r="D119" s="246"/>
      <c r="E119" s="246"/>
      <c r="F119" s="23"/>
      <c r="G119" s="19"/>
      <c r="H119" s="19"/>
      <c r="I119" s="24"/>
    </row>
    <row r="120" spans="1:9">
      <c r="A120" s="246"/>
      <c r="B120" s="246"/>
      <c r="C120" s="246"/>
      <c r="D120" s="246"/>
      <c r="E120" s="246"/>
      <c r="F120" s="23"/>
      <c r="G120" s="19"/>
      <c r="H120" s="19"/>
      <c r="I120" s="24"/>
    </row>
    <row r="121" spans="1:9">
      <c r="A121" s="246"/>
      <c r="B121" s="246"/>
      <c r="C121" s="246"/>
      <c r="D121" s="246"/>
      <c r="E121" s="246"/>
      <c r="F121" s="23"/>
      <c r="G121" s="19"/>
      <c r="H121" s="19"/>
      <c r="I121" s="24"/>
    </row>
    <row r="122" spans="1:9">
      <c r="A122" s="246"/>
      <c r="B122" s="246"/>
      <c r="C122" s="246"/>
      <c r="D122" s="246"/>
      <c r="E122" s="246"/>
      <c r="F122" s="23"/>
      <c r="G122" s="19"/>
      <c r="H122" s="19"/>
      <c r="I122" s="24">
        <f t="shared" ref="I122" si="5">+G122*H122</f>
        <v>0</v>
      </c>
    </row>
    <row r="123" spans="1:9">
      <c r="A123" s="188" t="s">
        <v>58</v>
      </c>
      <c r="B123" s="188"/>
      <c r="C123" s="188"/>
      <c r="D123" s="188"/>
      <c r="E123" s="25" t="s">
        <v>59</v>
      </c>
      <c r="F123" s="16" t="s">
        <v>60</v>
      </c>
      <c r="G123" s="16" t="s">
        <v>61</v>
      </c>
      <c r="H123" s="16" t="s">
        <v>62</v>
      </c>
      <c r="I123" s="17" t="s">
        <v>56</v>
      </c>
    </row>
    <row r="124" spans="1:9">
      <c r="A124" s="246" t="s">
        <v>63</v>
      </c>
      <c r="B124" s="246"/>
      <c r="C124" s="246"/>
      <c r="D124" s="246"/>
      <c r="E124" s="26"/>
      <c r="F124" s="26">
        <v>6</v>
      </c>
      <c r="G124" s="26">
        <f>35000/F124</f>
        <v>5833.333333333333</v>
      </c>
      <c r="H124" s="26">
        <f>+G124*6</f>
        <v>35000</v>
      </c>
      <c r="I124" s="19">
        <f>+E124*G124</f>
        <v>0</v>
      </c>
    </row>
    <row r="125" spans="1:9">
      <c r="A125" s="246" t="s">
        <v>64</v>
      </c>
      <c r="B125" s="246"/>
      <c r="C125" s="246"/>
      <c r="D125" s="246"/>
      <c r="E125" s="26"/>
      <c r="F125" s="26"/>
      <c r="G125" s="26"/>
      <c r="H125" s="26"/>
      <c r="I125" s="19">
        <f>+E125*G125</f>
        <v>0</v>
      </c>
    </row>
    <row r="126" spans="1:9">
      <c r="A126" s="188" t="s">
        <v>65</v>
      </c>
      <c r="B126" s="188"/>
      <c r="C126" s="188"/>
      <c r="D126" s="188"/>
      <c r="E126" s="16" t="s">
        <v>55</v>
      </c>
      <c r="F126" s="189" t="s">
        <v>66</v>
      </c>
      <c r="G126" s="190"/>
      <c r="H126" s="27" t="s">
        <v>49</v>
      </c>
      <c r="I126" s="28" t="s">
        <v>56</v>
      </c>
    </row>
    <row r="127" spans="1:9">
      <c r="A127" s="187" t="s">
        <v>69</v>
      </c>
      <c r="B127" s="187"/>
      <c r="C127" s="187"/>
      <c r="D127" s="187"/>
      <c r="E127" s="19">
        <v>1</v>
      </c>
      <c r="F127" s="191">
        <f>F105</f>
        <v>136000</v>
      </c>
      <c r="G127" s="191"/>
      <c r="H127" s="21">
        <v>4</v>
      </c>
      <c r="I127" s="24">
        <f>+(E127*F127)/H127</f>
        <v>34000</v>
      </c>
    </row>
    <row r="128" spans="1:9">
      <c r="A128" s="187"/>
      <c r="B128" s="187"/>
      <c r="C128" s="187"/>
      <c r="D128" s="187"/>
      <c r="E128" s="19"/>
      <c r="F128" s="247"/>
      <c r="G128" s="247"/>
      <c r="H128" s="21"/>
      <c r="I128" s="24"/>
    </row>
    <row r="129" spans="6:9">
      <c r="F129" s="29" t="s">
        <v>36</v>
      </c>
      <c r="G129" s="30"/>
      <c r="H129" s="31"/>
      <c r="I129" s="32">
        <f>ROUND((SUM(I113:I128)),0)</f>
        <v>485700</v>
      </c>
    </row>
  </sheetData>
  <mergeCells count="136">
    <mergeCell ref="A126:D126"/>
    <mergeCell ref="F126:G126"/>
    <mergeCell ref="A127:D127"/>
    <mergeCell ref="F127:G127"/>
    <mergeCell ref="A128:D128"/>
    <mergeCell ref="F128:G128"/>
    <mergeCell ref="A121:E121"/>
    <mergeCell ref="A122:E122"/>
    <mergeCell ref="A123:D123"/>
    <mergeCell ref="A124:D124"/>
    <mergeCell ref="A125:D125"/>
    <mergeCell ref="A116:E116"/>
    <mergeCell ref="A117:E117"/>
    <mergeCell ref="A118:E118"/>
    <mergeCell ref="A119:E119"/>
    <mergeCell ref="A120:E120"/>
    <mergeCell ref="B111:G111"/>
    <mergeCell ref="A112:E112"/>
    <mergeCell ref="A113:E113"/>
    <mergeCell ref="A114:E114"/>
    <mergeCell ref="A115:E115"/>
    <mergeCell ref="A105:D105"/>
    <mergeCell ref="F105:G105"/>
    <mergeCell ref="A106:D106"/>
    <mergeCell ref="F106:G106"/>
    <mergeCell ref="B110:I110"/>
    <mergeCell ref="A101:D101"/>
    <mergeCell ref="A102:D102"/>
    <mergeCell ref="A103:D103"/>
    <mergeCell ref="A104:D104"/>
    <mergeCell ref="F104:G104"/>
    <mergeCell ref="A96:E96"/>
    <mergeCell ref="A97:E97"/>
    <mergeCell ref="A98:E98"/>
    <mergeCell ref="A99:E99"/>
    <mergeCell ref="A100:E100"/>
    <mergeCell ref="A91:E91"/>
    <mergeCell ref="A92:E92"/>
    <mergeCell ref="A93:E93"/>
    <mergeCell ref="A94:E94"/>
    <mergeCell ref="A95:E95"/>
    <mergeCell ref="A84:D84"/>
    <mergeCell ref="F84:G84"/>
    <mergeCell ref="B88:I88"/>
    <mergeCell ref="B89:G89"/>
    <mergeCell ref="A90:E90"/>
    <mergeCell ref="A81:D81"/>
    <mergeCell ref="A82:D82"/>
    <mergeCell ref="F82:G82"/>
    <mergeCell ref="A83:D83"/>
    <mergeCell ref="F83:G83"/>
    <mergeCell ref="A76:E76"/>
    <mergeCell ref="A77:E77"/>
    <mergeCell ref="A78:E78"/>
    <mergeCell ref="A79:D79"/>
    <mergeCell ref="A80:D80"/>
    <mergeCell ref="A71:E71"/>
    <mergeCell ref="A72:E72"/>
    <mergeCell ref="A73:E73"/>
    <mergeCell ref="A74:E74"/>
    <mergeCell ref="A75:E75"/>
    <mergeCell ref="B66:I66"/>
    <mergeCell ref="B67:G67"/>
    <mergeCell ref="A68:E68"/>
    <mergeCell ref="A69:E69"/>
    <mergeCell ref="A70:E70"/>
    <mergeCell ref="A6:E6"/>
    <mergeCell ref="B1:I1"/>
    <mergeCell ref="B2:G2"/>
    <mergeCell ref="A3:E3"/>
    <mergeCell ref="A4:E4"/>
    <mergeCell ref="A5:E5"/>
    <mergeCell ref="A17:D17"/>
    <mergeCell ref="A7:E7"/>
    <mergeCell ref="A8:E8"/>
    <mergeCell ref="A9:E9"/>
    <mergeCell ref="A10:E10"/>
    <mergeCell ref="A11:E11"/>
    <mergeCell ref="A12:E12"/>
    <mergeCell ref="A13:E13"/>
    <mergeCell ref="A14:E14"/>
    <mergeCell ref="A15:D15"/>
    <mergeCell ref="A16:D16"/>
    <mergeCell ref="A26:E26"/>
    <mergeCell ref="A18:D18"/>
    <mergeCell ref="F18:G18"/>
    <mergeCell ref="A19:D19"/>
    <mergeCell ref="F19:G19"/>
    <mergeCell ref="A20:D20"/>
    <mergeCell ref="F20:G20"/>
    <mergeCell ref="A21:E21"/>
    <mergeCell ref="A22:I22"/>
    <mergeCell ref="B23:I23"/>
    <mergeCell ref="B24:G24"/>
    <mergeCell ref="A25:E25"/>
    <mergeCell ref="A37:D37"/>
    <mergeCell ref="A27:E27"/>
    <mergeCell ref="A28:E28"/>
    <mergeCell ref="A29:E29"/>
    <mergeCell ref="A30:E30"/>
    <mergeCell ref="A31:E31"/>
    <mergeCell ref="A32:E32"/>
    <mergeCell ref="A33:E33"/>
    <mergeCell ref="A34:E34"/>
    <mergeCell ref="A35:E35"/>
    <mergeCell ref="A36:E36"/>
    <mergeCell ref="A38:D38"/>
    <mergeCell ref="A39:D39"/>
    <mergeCell ref="A40:D40"/>
    <mergeCell ref="F40:G40"/>
    <mergeCell ref="A41:D41"/>
    <mergeCell ref="F41:G41"/>
    <mergeCell ref="A54:E54"/>
    <mergeCell ref="A42:D42"/>
    <mergeCell ref="F42:G42"/>
    <mergeCell ref="B45:I45"/>
    <mergeCell ref="B46:G46"/>
    <mergeCell ref="A47:E47"/>
    <mergeCell ref="A48:E48"/>
    <mergeCell ref="A49:E49"/>
    <mergeCell ref="A50:E50"/>
    <mergeCell ref="A51:E51"/>
    <mergeCell ref="A52:E52"/>
    <mergeCell ref="A53:E53"/>
    <mergeCell ref="A63:D63"/>
    <mergeCell ref="F63:G63"/>
    <mergeCell ref="A55:E55"/>
    <mergeCell ref="A56:E56"/>
    <mergeCell ref="A57:E57"/>
    <mergeCell ref="A58:D58"/>
    <mergeCell ref="A59:D59"/>
    <mergeCell ref="A60:D60"/>
    <mergeCell ref="A61:D61"/>
    <mergeCell ref="F61:G61"/>
    <mergeCell ref="A62:D62"/>
    <mergeCell ref="F62:G6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90BFA-4561-41AC-B867-06D78A59270A}">
  <dimension ref="A1:I112"/>
  <sheetViews>
    <sheetView topLeftCell="A47" zoomScaleNormal="100" workbookViewId="0">
      <selection activeCell="H57" sqref="H57"/>
    </sheetView>
  </sheetViews>
  <sheetFormatPr defaultColWidth="11.42578125" defaultRowHeight="14.45"/>
  <sheetData>
    <row r="1" spans="1:9">
      <c r="A1" s="12" t="s">
        <v>43</v>
      </c>
      <c r="B1" s="192" t="e">
        <f>PRESUPUESTO!#REF!</f>
        <v>#REF!</v>
      </c>
      <c r="C1" s="193"/>
      <c r="D1" s="193"/>
      <c r="E1" s="193"/>
      <c r="F1" s="193"/>
      <c r="G1" s="193"/>
      <c r="H1" s="193"/>
      <c r="I1" s="194"/>
    </row>
    <row r="2" spans="1:9">
      <c r="A2" s="13" t="s">
        <v>77</v>
      </c>
      <c r="B2" s="195"/>
      <c r="C2" s="195"/>
      <c r="D2" s="195"/>
      <c r="E2" s="195"/>
      <c r="F2" s="195"/>
      <c r="G2" s="195"/>
      <c r="H2" s="14" t="s">
        <v>45</v>
      </c>
      <c r="I2" s="15" t="s">
        <v>46</v>
      </c>
    </row>
    <row r="3" spans="1:9">
      <c r="A3" s="188" t="s">
        <v>47</v>
      </c>
      <c r="B3" s="188"/>
      <c r="C3" s="188"/>
      <c r="D3" s="188"/>
      <c r="E3" s="188"/>
      <c r="F3" s="16" t="s">
        <v>4</v>
      </c>
      <c r="G3" s="16" t="s">
        <v>48</v>
      </c>
      <c r="H3" s="16" t="s">
        <v>49</v>
      </c>
      <c r="I3" s="17" t="s">
        <v>50</v>
      </c>
    </row>
    <row r="4" spans="1:9">
      <c r="A4" s="246" t="s">
        <v>51</v>
      </c>
      <c r="B4" s="246"/>
      <c r="C4" s="246"/>
      <c r="D4" s="246"/>
      <c r="E4" s="246"/>
      <c r="F4" s="18"/>
      <c r="G4" s="18"/>
      <c r="H4" s="19"/>
      <c r="I4" s="20">
        <f>ROUND((SUM(I20:I21)*0.05),0)</f>
        <v>3400</v>
      </c>
    </row>
    <row r="5" spans="1:9">
      <c r="A5" s="246"/>
      <c r="B5" s="246"/>
      <c r="C5" s="246"/>
      <c r="D5" s="246"/>
      <c r="E5" s="246"/>
      <c r="F5" s="18"/>
      <c r="G5" s="18"/>
      <c r="H5" s="21"/>
      <c r="I5" s="20"/>
    </row>
    <row r="6" spans="1:9">
      <c r="A6" s="246"/>
      <c r="B6" s="246"/>
      <c r="C6" s="246"/>
      <c r="D6" s="246"/>
      <c r="E6" s="246"/>
      <c r="F6" s="18"/>
      <c r="G6" s="18"/>
      <c r="H6" s="21"/>
      <c r="I6" s="20"/>
    </row>
    <row r="7" spans="1:9">
      <c r="A7" s="188" t="s">
        <v>52</v>
      </c>
      <c r="B7" s="188"/>
      <c r="C7" s="188"/>
      <c r="D7" s="188"/>
      <c r="E7" s="188"/>
      <c r="F7" s="16" t="s">
        <v>53</v>
      </c>
      <c r="G7" s="22" t="s">
        <v>54</v>
      </c>
      <c r="H7" s="22" t="s">
        <v>55</v>
      </c>
      <c r="I7" s="17" t="s">
        <v>56</v>
      </c>
    </row>
    <row r="8" spans="1:9">
      <c r="A8" s="200" t="s">
        <v>78</v>
      </c>
      <c r="B8" s="201"/>
      <c r="C8" s="201"/>
      <c r="D8" s="201"/>
      <c r="E8" s="202"/>
      <c r="F8" s="71" t="s">
        <v>46</v>
      </c>
      <c r="G8" s="72">
        <v>405000</v>
      </c>
      <c r="H8" s="73">
        <v>1</v>
      </c>
      <c r="I8" s="72">
        <f>+H8*G8</f>
        <v>405000</v>
      </c>
    </row>
    <row r="9" spans="1:9">
      <c r="A9" s="246" t="s">
        <v>79</v>
      </c>
      <c r="B9" s="246"/>
      <c r="C9" s="246"/>
      <c r="D9" s="246"/>
      <c r="E9" s="246"/>
      <c r="F9" s="23" t="s">
        <v>80</v>
      </c>
      <c r="G9" s="24">
        <v>1200</v>
      </c>
      <c r="H9" s="19">
        <v>2</v>
      </c>
      <c r="I9" s="24">
        <f>+H9*G9</f>
        <v>2400</v>
      </c>
    </row>
    <row r="10" spans="1:9">
      <c r="A10" s="246" t="s">
        <v>81</v>
      </c>
      <c r="B10" s="246"/>
      <c r="C10" s="246"/>
      <c r="D10" s="246"/>
      <c r="E10" s="246"/>
      <c r="F10" s="23" t="s">
        <v>46</v>
      </c>
      <c r="G10" s="24">
        <v>27000</v>
      </c>
      <c r="H10" s="19">
        <v>1</v>
      </c>
      <c r="I10" s="24">
        <f>+H10*G10</f>
        <v>27000</v>
      </c>
    </row>
    <row r="11" spans="1:9">
      <c r="A11" s="246"/>
      <c r="B11" s="246"/>
      <c r="C11" s="246"/>
      <c r="D11" s="246"/>
      <c r="E11" s="246"/>
      <c r="F11" s="23"/>
      <c r="G11" s="24"/>
      <c r="H11" s="74"/>
      <c r="I11" s="24">
        <f t="shared" ref="I11:I13" si="0">+H11*G11</f>
        <v>0</v>
      </c>
    </row>
    <row r="12" spans="1:9">
      <c r="A12" s="246"/>
      <c r="B12" s="246"/>
      <c r="C12" s="246"/>
      <c r="D12" s="246"/>
      <c r="E12" s="246"/>
      <c r="F12" s="23"/>
      <c r="G12" s="24"/>
      <c r="H12" s="74"/>
      <c r="I12" s="24">
        <f t="shared" si="0"/>
        <v>0</v>
      </c>
    </row>
    <row r="13" spans="1:9">
      <c r="A13" s="246"/>
      <c r="B13" s="246"/>
      <c r="C13" s="246"/>
      <c r="D13" s="246"/>
      <c r="E13" s="246"/>
      <c r="F13" s="23"/>
      <c r="G13" s="24"/>
      <c r="H13" s="74"/>
      <c r="I13" s="24">
        <f t="shared" si="0"/>
        <v>0</v>
      </c>
    </row>
    <row r="14" spans="1:9">
      <c r="A14" s="246"/>
      <c r="B14" s="246"/>
      <c r="C14" s="246"/>
      <c r="D14" s="246"/>
      <c r="E14" s="246"/>
      <c r="F14" s="23"/>
      <c r="G14" s="19"/>
      <c r="H14" s="19"/>
      <c r="I14" s="24">
        <f t="shared" ref="I14:I15" si="1">+G14*H14</f>
        <v>0</v>
      </c>
    </row>
    <row r="15" spans="1:9">
      <c r="A15" s="246"/>
      <c r="B15" s="246"/>
      <c r="C15" s="246"/>
      <c r="D15" s="246"/>
      <c r="E15" s="246"/>
      <c r="F15" s="23"/>
      <c r="G15" s="19"/>
      <c r="H15" s="19"/>
      <c r="I15" s="24">
        <f t="shared" si="1"/>
        <v>0</v>
      </c>
    </row>
    <row r="16" spans="1:9">
      <c r="A16" s="188" t="s">
        <v>58</v>
      </c>
      <c r="B16" s="188"/>
      <c r="C16" s="188"/>
      <c r="D16" s="188"/>
      <c r="E16" s="25" t="s">
        <v>59</v>
      </c>
      <c r="F16" s="16" t="s">
        <v>60</v>
      </c>
      <c r="G16" s="16" t="s">
        <v>61</v>
      </c>
      <c r="H16" s="16" t="s">
        <v>62</v>
      </c>
      <c r="I16" s="17" t="s">
        <v>56</v>
      </c>
    </row>
    <row r="17" spans="1:9">
      <c r="A17" s="246" t="s">
        <v>63</v>
      </c>
      <c r="B17" s="246"/>
      <c r="C17" s="246"/>
      <c r="D17" s="246"/>
      <c r="E17" s="26">
        <v>0.3</v>
      </c>
      <c r="F17" s="26">
        <v>6</v>
      </c>
      <c r="G17" s="26">
        <f>35000/F17</f>
        <v>5833.333333333333</v>
      </c>
      <c r="H17" s="26">
        <f>+G17*6</f>
        <v>35000</v>
      </c>
      <c r="I17" s="19">
        <f>+E17*G17</f>
        <v>1749.9999999999998</v>
      </c>
    </row>
    <row r="18" spans="1:9">
      <c r="A18" s="246" t="s">
        <v>64</v>
      </c>
      <c r="B18" s="246"/>
      <c r="C18" s="246"/>
      <c r="D18" s="246"/>
      <c r="E18" s="26"/>
      <c r="F18" s="26"/>
      <c r="G18" s="26"/>
      <c r="H18" s="26"/>
      <c r="I18" s="19">
        <f>+E18*G18</f>
        <v>0</v>
      </c>
    </row>
    <row r="19" spans="1:9">
      <c r="A19" s="188" t="s">
        <v>65</v>
      </c>
      <c r="B19" s="188"/>
      <c r="C19" s="188"/>
      <c r="D19" s="188"/>
      <c r="E19" s="16" t="s">
        <v>55</v>
      </c>
      <c r="F19" s="189" t="s">
        <v>66</v>
      </c>
      <c r="G19" s="190"/>
      <c r="H19" s="27" t="s">
        <v>49</v>
      </c>
      <c r="I19" s="28" t="s">
        <v>56</v>
      </c>
    </row>
    <row r="20" spans="1:9">
      <c r="A20" s="187" t="str">
        <f>CUADRILLAS!A18</f>
        <v>OFICIAL PLOMERIA</v>
      </c>
      <c r="B20" s="187"/>
      <c r="C20" s="187"/>
      <c r="D20" s="187"/>
      <c r="E20" s="19">
        <v>1</v>
      </c>
      <c r="F20" s="196">
        <f>CUADRILLAS!B18*1.7</f>
        <v>136000</v>
      </c>
      <c r="G20" s="196"/>
      <c r="H20" s="21">
        <v>2</v>
      </c>
      <c r="I20" s="24">
        <f>+(E20*F20)/H20</f>
        <v>68000</v>
      </c>
    </row>
    <row r="21" spans="1:9">
      <c r="A21" s="187"/>
      <c r="B21" s="187"/>
      <c r="C21" s="187"/>
      <c r="D21" s="187"/>
      <c r="E21" s="19"/>
      <c r="F21" s="196"/>
      <c r="G21" s="196"/>
      <c r="H21" s="21"/>
      <c r="I21" s="24"/>
    </row>
    <row r="22" spans="1:9">
      <c r="A22" s="197"/>
      <c r="B22" s="198"/>
      <c r="C22" s="198"/>
      <c r="D22" s="198"/>
      <c r="E22" s="199"/>
      <c r="F22" s="29" t="s">
        <v>36</v>
      </c>
      <c r="G22" s="30"/>
      <c r="H22" s="31"/>
      <c r="I22" s="32">
        <f>ROUND((SUM(I4:I21)),0)</f>
        <v>507550</v>
      </c>
    </row>
    <row r="23" spans="1:9">
      <c r="A23" s="55"/>
      <c r="B23" s="56"/>
      <c r="C23" s="56"/>
      <c r="D23" s="56"/>
      <c r="E23" s="56"/>
      <c r="F23" s="60"/>
      <c r="G23" s="61"/>
      <c r="H23" s="62"/>
      <c r="I23" s="75"/>
    </row>
    <row r="25" spans="1:9">
      <c r="A25" s="12" t="s">
        <v>43</v>
      </c>
      <c r="B25" s="192" t="e">
        <f>PRESUPUESTO!#REF!</f>
        <v>#REF!</v>
      </c>
      <c r="C25" s="193"/>
      <c r="D25" s="193"/>
      <c r="E25" s="193"/>
      <c r="F25" s="193"/>
      <c r="G25" s="193"/>
      <c r="H25" s="193"/>
      <c r="I25" s="194"/>
    </row>
    <row r="26" spans="1:9">
      <c r="A26" s="13" t="s">
        <v>77</v>
      </c>
      <c r="B26" s="195"/>
      <c r="C26" s="195"/>
      <c r="D26" s="195"/>
      <c r="E26" s="195"/>
      <c r="F26" s="195"/>
      <c r="G26" s="195"/>
      <c r="H26" s="14" t="s">
        <v>45</v>
      </c>
      <c r="I26" s="15" t="s">
        <v>46</v>
      </c>
    </row>
    <row r="27" spans="1:9">
      <c r="A27" s="188" t="s">
        <v>47</v>
      </c>
      <c r="B27" s="188"/>
      <c r="C27" s="188"/>
      <c r="D27" s="188"/>
      <c r="E27" s="188"/>
      <c r="F27" s="16" t="s">
        <v>4</v>
      </c>
      <c r="G27" s="16" t="s">
        <v>48</v>
      </c>
      <c r="H27" s="16" t="s">
        <v>49</v>
      </c>
      <c r="I27" s="17" t="s">
        <v>50</v>
      </c>
    </row>
    <row r="28" spans="1:9">
      <c r="A28" s="246" t="s">
        <v>51</v>
      </c>
      <c r="B28" s="246"/>
      <c r="C28" s="246"/>
      <c r="D28" s="246"/>
      <c r="E28" s="246"/>
      <c r="F28" s="18"/>
      <c r="G28" s="18"/>
      <c r="H28" s="19"/>
      <c r="I28" s="20">
        <f>ROUND((SUM(I43:I44)*0.05),0)</f>
        <v>2550</v>
      </c>
    </row>
    <row r="29" spans="1:9">
      <c r="A29" s="246"/>
      <c r="B29" s="246"/>
      <c r="C29" s="246"/>
      <c r="D29" s="246"/>
      <c r="E29" s="246"/>
      <c r="F29" s="18"/>
      <c r="G29" s="18"/>
      <c r="H29" s="21"/>
      <c r="I29" s="20"/>
    </row>
    <row r="30" spans="1:9">
      <c r="A30" s="246"/>
      <c r="B30" s="246"/>
      <c r="C30" s="246"/>
      <c r="D30" s="246"/>
      <c r="E30" s="246"/>
      <c r="F30" s="18"/>
      <c r="G30" s="18"/>
      <c r="H30" s="21"/>
      <c r="I30" s="20"/>
    </row>
    <row r="31" spans="1:9">
      <c r="A31" s="188" t="s">
        <v>52</v>
      </c>
      <c r="B31" s="188"/>
      <c r="C31" s="188"/>
      <c r="D31" s="188"/>
      <c r="E31" s="188"/>
      <c r="F31" s="16" t="s">
        <v>53</v>
      </c>
      <c r="G31" s="22" t="s">
        <v>54</v>
      </c>
      <c r="H31" s="22" t="s">
        <v>55</v>
      </c>
      <c r="I31" s="17" t="s">
        <v>56</v>
      </c>
    </row>
    <row r="32" spans="1:9">
      <c r="A32" s="200" t="s">
        <v>82</v>
      </c>
      <c r="B32" s="201"/>
      <c r="C32" s="201"/>
      <c r="D32" s="201"/>
      <c r="E32" s="202"/>
      <c r="F32" s="71" t="s">
        <v>46</v>
      </c>
      <c r="G32" s="72">
        <v>195000</v>
      </c>
      <c r="H32" s="73">
        <v>1</v>
      </c>
      <c r="I32" s="72">
        <f>+H32*G32</f>
        <v>195000</v>
      </c>
    </row>
    <row r="33" spans="1:9">
      <c r="A33" s="246" t="s">
        <v>81</v>
      </c>
      <c r="B33" s="246"/>
      <c r="C33" s="246"/>
      <c r="D33" s="246"/>
      <c r="E33" s="246"/>
      <c r="F33" s="23" t="s">
        <v>46</v>
      </c>
      <c r="G33" s="24">
        <v>27000</v>
      </c>
      <c r="H33" s="19">
        <v>1</v>
      </c>
      <c r="I33" s="24">
        <f>+H33*G33</f>
        <v>27000</v>
      </c>
    </row>
    <row r="34" spans="1:9">
      <c r="A34" s="246" t="s">
        <v>83</v>
      </c>
      <c r="B34" s="246"/>
      <c r="C34" s="246"/>
      <c r="D34" s="246"/>
      <c r="E34" s="246"/>
      <c r="F34" s="23" t="s">
        <v>84</v>
      </c>
      <c r="G34" s="24">
        <v>300000</v>
      </c>
      <c r="H34" s="74">
        <v>1</v>
      </c>
      <c r="I34" s="24">
        <f t="shared" ref="I34:I36" si="2">+H34*G34</f>
        <v>300000</v>
      </c>
    </row>
    <row r="35" spans="1:9">
      <c r="A35" s="246"/>
      <c r="B35" s="246"/>
      <c r="C35" s="246"/>
      <c r="D35" s="246"/>
      <c r="E35" s="246"/>
      <c r="F35" s="23"/>
      <c r="G35" s="24"/>
      <c r="H35" s="74"/>
      <c r="I35" s="24">
        <f t="shared" si="2"/>
        <v>0</v>
      </c>
    </row>
    <row r="36" spans="1:9">
      <c r="A36" s="246"/>
      <c r="B36" s="246"/>
      <c r="C36" s="246"/>
      <c r="D36" s="246"/>
      <c r="E36" s="246"/>
      <c r="F36" s="23"/>
      <c r="G36" s="24"/>
      <c r="H36" s="74"/>
      <c r="I36" s="24">
        <f t="shared" si="2"/>
        <v>0</v>
      </c>
    </row>
    <row r="37" spans="1:9">
      <c r="A37" s="246"/>
      <c r="B37" s="246"/>
      <c r="C37" s="246"/>
      <c r="D37" s="246"/>
      <c r="E37" s="246"/>
      <c r="F37" s="23"/>
      <c r="G37" s="19"/>
      <c r="H37" s="19"/>
      <c r="I37" s="24">
        <f t="shared" ref="I37:I38" si="3">+G37*H37</f>
        <v>0</v>
      </c>
    </row>
    <row r="38" spans="1:9">
      <c r="A38" s="246"/>
      <c r="B38" s="246"/>
      <c r="C38" s="246"/>
      <c r="D38" s="246"/>
      <c r="E38" s="246"/>
      <c r="F38" s="23"/>
      <c r="G38" s="19"/>
      <c r="H38" s="19"/>
      <c r="I38" s="24">
        <f t="shared" si="3"/>
        <v>0</v>
      </c>
    </row>
    <row r="39" spans="1:9">
      <c r="A39" s="188" t="s">
        <v>58</v>
      </c>
      <c r="B39" s="188"/>
      <c r="C39" s="188"/>
      <c r="D39" s="188"/>
      <c r="E39" s="25" t="s">
        <v>59</v>
      </c>
      <c r="F39" s="16" t="s">
        <v>60</v>
      </c>
      <c r="G39" s="16" t="s">
        <v>61</v>
      </c>
      <c r="H39" s="16" t="s">
        <v>62</v>
      </c>
      <c r="I39" s="17" t="s">
        <v>56</v>
      </c>
    </row>
    <row r="40" spans="1:9">
      <c r="A40" s="246" t="s">
        <v>63</v>
      </c>
      <c r="B40" s="246"/>
      <c r="C40" s="246"/>
      <c r="D40" s="246"/>
      <c r="E40" s="26">
        <v>0.3</v>
      </c>
      <c r="F40" s="26">
        <v>6</v>
      </c>
      <c r="G40" s="26">
        <f>35000/F40</f>
        <v>5833.333333333333</v>
      </c>
      <c r="H40" s="26">
        <f>+G40*6</f>
        <v>35000</v>
      </c>
      <c r="I40" s="19">
        <f>+E40*G40</f>
        <v>1749.9999999999998</v>
      </c>
    </row>
    <row r="41" spans="1:9">
      <c r="A41" s="246" t="s">
        <v>64</v>
      </c>
      <c r="B41" s="246"/>
      <c r="C41" s="246"/>
      <c r="D41" s="246"/>
      <c r="E41" s="26"/>
      <c r="F41" s="26"/>
      <c r="G41" s="26"/>
      <c r="H41" s="26"/>
      <c r="I41" s="19">
        <f>+E41*G41</f>
        <v>0</v>
      </c>
    </row>
    <row r="42" spans="1:9">
      <c r="A42" s="188" t="s">
        <v>65</v>
      </c>
      <c r="B42" s="188"/>
      <c r="C42" s="188"/>
      <c r="D42" s="188"/>
      <c r="E42" s="16" t="s">
        <v>55</v>
      </c>
      <c r="F42" s="189" t="s">
        <v>66</v>
      </c>
      <c r="G42" s="190"/>
      <c r="H42" s="27" t="s">
        <v>49</v>
      </c>
      <c r="I42" s="28" t="s">
        <v>56</v>
      </c>
    </row>
    <row r="43" spans="1:9">
      <c r="A43" s="187" t="s">
        <v>85</v>
      </c>
      <c r="B43" s="187"/>
      <c r="C43" s="187"/>
      <c r="D43" s="187"/>
      <c r="E43" s="19">
        <v>1</v>
      </c>
      <c r="F43" s="196">
        <f>60000*1.7</f>
        <v>102000</v>
      </c>
      <c r="G43" s="196"/>
      <c r="H43" s="21">
        <v>2</v>
      </c>
      <c r="I43" s="24">
        <f>+(E43*F43)/H43</f>
        <v>51000</v>
      </c>
    </row>
    <row r="44" spans="1:9">
      <c r="A44" s="187"/>
      <c r="B44" s="187"/>
      <c r="C44" s="187"/>
      <c r="D44" s="187"/>
      <c r="E44" s="19"/>
      <c r="F44" s="196"/>
      <c r="G44" s="196"/>
      <c r="H44" s="21"/>
      <c r="I44" s="24"/>
    </row>
    <row r="45" spans="1:9">
      <c r="A45" s="197"/>
      <c r="B45" s="198"/>
      <c r="C45" s="198"/>
      <c r="D45" s="198"/>
      <c r="E45" s="199"/>
      <c r="F45" s="29" t="s">
        <v>36</v>
      </c>
      <c r="G45" s="30"/>
      <c r="H45" s="31"/>
      <c r="I45" s="32">
        <f>ROUND((SUM(I28:I44)),0)</f>
        <v>577300</v>
      </c>
    </row>
    <row r="48" spans="1:9">
      <c r="A48" s="12" t="s">
        <v>43</v>
      </c>
      <c r="B48" s="192" t="e">
        <f>PRESUPUESTO!#REF!</f>
        <v>#REF!</v>
      </c>
      <c r="C48" s="193"/>
      <c r="D48" s="193"/>
      <c r="E48" s="193"/>
      <c r="F48" s="193"/>
      <c r="G48" s="193"/>
      <c r="H48" s="193"/>
      <c r="I48" s="194"/>
    </row>
    <row r="49" spans="1:9">
      <c r="A49" s="13" t="s">
        <v>86</v>
      </c>
      <c r="B49" s="195"/>
      <c r="C49" s="195"/>
      <c r="D49" s="195"/>
      <c r="E49" s="195"/>
      <c r="F49" s="195"/>
      <c r="G49" s="195"/>
      <c r="H49" s="14" t="s">
        <v>45</v>
      </c>
      <c r="I49" s="15" t="s">
        <v>46</v>
      </c>
    </row>
    <row r="50" spans="1:9">
      <c r="A50" s="188" t="s">
        <v>47</v>
      </c>
      <c r="B50" s="188"/>
      <c r="C50" s="188"/>
      <c r="D50" s="188"/>
      <c r="E50" s="188"/>
      <c r="F50" s="16" t="s">
        <v>4</v>
      </c>
      <c r="G50" s="16" t="s">
        <v>48</v>
      </c>
      <c r="H50" s="16" t="s">
        <v>49</v>
      </c>
      <c r="I50" s="17" t="s">
        <v>50</v>
      </c>
    </row>
    <row r="51" spans="1:9">
      <c r="A51" s="246" t="s">
        <v>51</v>
      </c>
      <c r="B51" s="246"/>
      <c r="C51" s="246"/>
      <c r="D51" s="246"/>
      <c r="E51" s="246"/>
      <c r="F51" s="18"/>
      <c r="G51" s="18"/>
      <c r="H51" s="19"/>
      <c r="I51" s="20">
        <f>ROUND((SUM(I65:I66)*0.05),0)</f>
        <v>1530</v>
      </c>
    </row>
    <row r="52" spans="1:9">
      <c r="A52" s="246"/>
      <c r="B52" s="246"/>
      <c r="C52" s="246"/>
      <c r="D52" s="246"/>
      <c r="E52" s="246"/>
      <c r="F52" s="18"/>
      <c r="G52" s="18"/>
      <c r="H52" s="21"/>
      <c r="I52" s="20"/>
    </row>
    <row r="53" spans="1:9">
      <c r="A53" s="246"/>
      <c r="B53" s="246"/>
      <c r="C53" s="246"/>
      <c r="D53" s="246"/>
      <c r="E53" s="246"/>
      <c r="F53" s="18"/>
      <c r="G53" s="18"/>
      <c r="H53" s="21"/>
      <c r="I53" s="20"/>
    </row>
    <row r="54" spans="1:9">
      <c r="A54" s="188" t="s">
        <v>52</v>
      </c>
      <c r="B54" s="188"/>
      <c r="C54" s="188"/>
      <c r="D54" s="188"/>
      <c r="E54" s="188"/>
      <c r="F54" s="16" t="s">
        <v>53</v>
      </c>
      <c r="G54" s="22" t="s">
        <v>54</v>
      </c>
      <c r="H54" s="22" t="s">
        <v>55</v>
      </c>
      <c r="I54" s="17" t="s">
        <v>56</v>
      </c>
    </row>
    <row r="55" spans="1:9">
      <c r="A55" s="246" t="s">
        <v>87</v>
      </c>
      <c r="B55" s="246"/>
      <c r="C55" s="246"/>
      <c r="D55" s="246"/>
      <c r="E55" s="246"/>
      <c r="F55" s="23" t="s">
        <v>88</v>
      </c>
      <c r="G55" s="24">
        <v>3000</v>
      </c>
      <c r="H55" s="19">
        <v>1</v>
      </c>
      <c r="I55" s="24">
        <f>+H55*G55</f>
        <v>3000</v>
      </c>
    </row>
    <row r="56" spans="1:9">
      <c r="A56" s="246" t="s">
        <v>89</v>
      </c>
      <c r="B56" s="246"/>
      <c r="C56" s="246"/>
      <c r="D56" s="246"/>
      <c r="E56" s="246"/>
      <c r="F56" s="23" t="s">
        <v>90</v>
      </c>
      <c r="G56" s="24">
        <v>3000</v>
      </c>
      <c r="H56" s="19">
        <v>4</v>
      </c>
      <c r="I56" s="24">
        <f>+H56*G56</f>
        <v>12000</v>
      </c>
    </row>
    <row r="57" spans="1:9">
      <c r="A57" s="246" t="s">
        <v>91</v>
      </c>
      <c r="B57" s="246"/>
      <c r="C57" s="246"/>
      <c r="D57" s="246"/>
      <c r="E57" s="246"/>
      <c r="F57" s="23" t="s">
        <v>92</v>
      </c>
      <c r="G57" s="24">
        <v>70000</v>
      </c>
      <c r="H57" s="19">
        <v>5.0000000000000001E-3</v>
      </c>
      <c r="I57" s="24">
        <f>+H57*G57</f>
        <v>350</v>
      </c>
    </row>
    <row r="58" spans="1:9">
      <c r="A58" s="246" t="s">
        <v>93</v>
      </c>
      <c r="B58" s="246"/>
      <c r="C58" s="246"/>
      <c r="D58" s="246"/>
      <c r="E58" s="246"/>
      <c r="F58" s="23" t="s">
        <v>92</v>
      </c>
      <c r="G58" s="19">
        <v>30000</v>
      </c>
      <c r="H58" s="19">
        <v>0.01</v>
      </c>
      <c r="I58" s="24">
        <f>+G58*H58</f>
        <v>300</v>
      </c>
    </row>
    <row r="59" spans="1:9">
      <c r="A59" s="246"/>
      <c r="B59" s="246"/>
      <c r="C59" s="246"/>
      <c r="D59" s="246"/>
      <c r="E59" s="246"/>
      <c r="F59" s="23"/>
      <c r="G59" s="19"/>
      <c r="H59" s="19"/>
      <c r="I59" s="24">
        <f t="shared" ref="I59:I60" si="4">+G59*H59</f>
        <v>0</v>
      </c>
    </row>
    <row r="60" spans="1:9">
      <c r="A60" s="246"/>
      <c r="B60" s="246"/>
      <c r="C60" s="246"/>
      <c r="D60" s="246"/>
      <c r="E60" s="246"/>
      <c r="F60" s="23"/>
      <c r="G60" s="19"/>
      <c r="H60" s="19"/>
      <c r="I60" s="24">
        <f t="shared" si="4"/>
        <v>0</v>
      </c>
    </row>
    <row r="61" spans="1:9">
      <c r="A61" s="188" t="s">
        <v>58</v>
      </c>
      <c r="B61" s="188"/>
      <c r="C61" s="188"/>
      <c r="D61" s="188"/>
      <c r="E61" s="25" t="s">
        <v>59</v>
      </c>
      <c r="F61" s="16" t="s">
        <v>60</v>
      </c>
      <c r="G61" s="16" t="s">
        <v>61</v>
      </c>
      <c r="H61" s="16" t="s">
        <v>62</v>
      </c>
      <c r="I61" s="17" t="s">
        <v>56</v>
      </c>
    </row>
    <row r="62" spans="1:9">
      <c r="A62" s="246" t="s">
        <v>63</v>
      </c>
      <c r="B62" s="246"/>
      <c r="C62" s="246"/>
      <c r="D62" s="246"/>
      <c r="E62" s="26"/>
      <c r="F62" s="26">
        <v>6</v>
      </c>
      <c r="G62" s="26">
        <f>35000/F62</f>
        <v>5833.333333333333</v>
      </c>
      <c r="H62" s="26">
        <f>+G62*6</f>
        <v>35000</v>
      </c>
      <c r="I62" s="19">
        <f>+E62*G62</f>
        <v>0</v>
      </c>
    </row>
    <row r="63" spans="1:9">
      <c r="A63" s="246" t="s">
        <v>64</v>
      </c>
      <c r="B63" s="246"/>
      <c r="C63" s="246"/>
      <c r="D63" s="246"/>
      <c r="E63" s="26"/>
      <c r="F63" s="26"/>
      <c r="G63" s="26"/>
      <c r="H63" s="26"/>
      <c r="I63" s="19">
        <f>+E63*G63</f>
        <v>0</v>
      </c>
    </row>
    <row r="64" spans="1:9">
      <c r="A64" s="188" t="s">
        <v>65</v>
      </c>
      <c r="B64" s="188"/>
      <c r="C64" s="188"/>
      <c r="D64" s="188"/>
      <c r="E64" s="16" t="s">
        <v>55</v>
      </c>
      <c r="F64" s="189" t="s">
        <v>66</v>
      </c>
      <c r="G64" s="190"/>
      <c r="H64" s="27" t="s">
        <v>49</v>
      </c>
      <c r="I64" s="28" t="s">
        <v>56</v>
      </c>
    </row>
    <row r="65" spans="1:9">
      <c r="A65" s="187" t="s">
        <v>85</v>
      </c>
      <c r="B65" s="187"/>
      <c r="C65" s="187"/>
      <c r="D65" s="187"/>
      <c r="E65" s="19">
        <v>1</v>
      </c>
      <c r="F65" s="196">
        <f>60000*1.7</f>
        <v>102000</v>
      </c>
      <c r="G65" s="196"/>
      <c r="H65" s="21">
        <v>5</v>
      </c>
      <c r="I65" s="24">
        <f>+(E65*F65)/H65</f>
        <v>20400</v>
      </c>
    </row>
    <row r="66" spans="1:9">
      <c r="A66" s="187" t="s">
        <v>94</v>
      </c>
      <c r="B66" s="187"/>
      <c r="C66" s="187"/>
      <c r="D66" s="187"/>
      <c r="E66" s="19">
        <v>1</v>
      </c>
      <c r="F66" s="196">
        <f>30000*1.7</f>
        <v>51000</v>
      </c>
      <c r="G66" s="196"/>
      <c r="H66" s="21">
        <v>5</v>
      </c>
      <c r="I66" s="24">
        <f>+(E66*F66)/H66</f>
        <v>10200</v>
      </c>
    </row>
    <row r="67" spans="1:9">
      <c r="A67" s="197"/>
      <c r="B67" s="198"/>
      <c r="C67" s="198"/>
      <c r="D67" s="198"/>
      <c r="E67" s="199"/>
      <c r="F67" s="29" t="s">
        <v>36</v>
      </c>
      <c r="G67" s="30"/>
      <c r="H67" s="31"/>
      <c r="I67" s="32">
        <f>ROUND((SUM(I51:I66)),0)</f>
        <v>47780</v>
      </c>
    </row>
    <row r="69" spans="1:9">
      <c r="A69" s="12" t="s">
        <v>43</v>
      </c>
      <c r="B69" s="192" t="e">
        <f>PRESUPUESTO!#REF!</f>
        <v>#REF!</v>
      </c>
      <c r="C69" s="193"/>
      <c r="D69" s="193"/>
      <c r="E69" s="193"/>
      <c r="F69" s="193"/>
      <c r="G69" s="193"/>
      <c r="H69" s="193"/>
      <c r="I69" s="194"/>
    </row>
    <row r="70" spans="1:9">
      <c r="A70" s="13" t="s">
        <v>95</v>
      </c>
      <c r="B70" s="195"/>
      <c r="C70" s="195"/>
      <c r="D70" s="195"/>
      <c r="E70" s="195"/>
      <c r="F70" s="195"/>
      <c r="G70" s="195"/>
      <c r="H70" s="14" t="s">
        <v>45</v>
      </c>
      <c r="I70" s="15" t="s">
        <v>46</v>
      </c>
    </row>
    <row r="71" spans="1:9">
      <c r="A71" s="188" t="s">
        <v>47</v>
      </c>
      <c r="B71" s="188"/>
      <c r="C71" s="188"/>
      <c r="D71" s="188"/>
      <c r="E71" s="188"/>
      <c r="F71" s="16" t="s">
        <v>4</v>
      </c>
      <c r="G71" s="16" t="s">
        <v>48</v>
      </c>
      <c r="H71" s="16" t="s">
        <v>49</v>
      </c>
      <c r="I71" s="17" t="s">
        <v>50</v>
      </c>
    </row>
    <row r="72" spans="1:9">
      <c r="A72" s="246" t="s">
        <v>51</v>
      </c>
      <c r="B72" s="246"/>
      <c r="C72" s="246"/>
      <c r="D72" s="246"/>
      <c r="E72" s="246"/>
      <c r="F72" s="18"/>
      <c r="G72" s="18"/>
      <c r="H72" s="19"/>
      <c r="I72" s="20">
        <f>ROUND((SUM(I88:I89)*0.05),0)</f>
        <v>1530</v>
      </c>
    </row>
    <row r="73" spans="1:9">
      <c r="A73" s="246"/>
      <c r="B73" s="246"/>
      <c r="C73" s="246"/>
      <c r="D73" s="246"/>
      <c r="E73" s="246"/>
      <c r="F73" s="18"/>
      <c r="G73" s="18"/>
      <c r="H73" s="21"/>
      <c r="I73" s="20"/>
    </row>
    <row r="74" spans="1:9">
      <c r="A74" s="246"/>
      <c r="B74" s="246"/>
      <c r="C74" s="246"/>
      <c r="D74" s="246"/>
      <c r="E74" s="246"/>
      <c r="F74" s="18"/>
      <c r="G74" s="18"/>
      <c r="H74" s="21"/>
      <c r="I74" s="20"/>
    </row>
    <row r="75" spans="1:9">
      <c r="A75" s="188" t="s">
        <v>52</v>
      </c>
      <c r="B75" s="188"/>
      <c r="C75" s="188"/>
      <c r="D75" s="188"/>
      <c r="E75" s="188"/>
      <c r="F75" s="16" t="s">
        <v>53</v>
      </c>
      <c r="G75" s="22" t="s">
        <v>54</v>
      </c>
      <c r="H75" s="22" t="s">
        <v>55</v>
      </c>
      <c r="I75" s="17" t="s">
        <v>56</v>
      </c>
    </row>
    <row r="76" spans="1:9">
      <c r="A76" s="246" t="s">
        <v>96</v>
      </c>
      <c r="B76" s="246"/>
      <c r="C76" s="246"/>
      <c r="D76" s="246"/>
      <c r="E76" s="246"/>
      <c r="F76" s="23" t="s">
        <v>46</v>
      </c>
      <c r="G76" s="24">
        <v>20000</v>
      </c>
      <c r="H76" s="19">
        <v>1</v>
      </c>
      <c r="I76" s="24">
        <f>+H76*G76</f>
        <v>20000</v>
      </c>
    </row>
    <row r="77" spans="1:9">
      <c r="A77" s="246" t="s">
        <v>97</v>
      </c>
      <c r="B77" s="246"/>
      <c r="C77" s="246"/>
      <c r="D77" s="246"/>
      <c r="E77" s="246"/>
      <c r="F77" s="23" t="s">
        <v>46</v>
      </c>
      <c r="G77" s="24">
        <v>14000</v>
      </c>
      <c r="H77" s="19">
        <v>4</v>
      </c>
      <c r="I77" s="24">
        <f>+H77*G77</f>
        <v>56000</v>
      </c>
    </row>
    <row r="78" spans="1:9">
      <c r="A78" s="246" t="s">
        <v>98</v>
      </c>
      <c r="B78" s="246"/>
      <c r="C78" s="246"/>
      <c r="D78" s="246"/>
      <c r="E78" s="246"/>
      <c r="F78" s="23" t="s">
        <v>46</v>
      </c>
      <c r="G78" s="24">
        <v>5000</v>
      </c>
      <c r="H78" s="74">
        <v>1</v>
      </c>
      <c r="I78" s="24">
        <f>+H78*G78</f>
        <v>5000</v>
      </c>
    </row>
    <row r="79" spans="1:9">
      <c r="A79" s="246" t="s">
        <v>99</v>
      </c>
      <c r="B79" s="246"/>
      <c r="C79" s="246"/>
      <c r="D79" s="246"/>
      <c r="E79" s="246"/>
      <c r="F79" s="23" t="s">
        <v>100</v>
      </c>
      <c r="G79" s="24">
        <f>16650</f>
        <v>16650</v>
      </c>
      <c r="H79" s="74">
        <v>1</v>
      </c>
      <c r="I79" s="24">
        <f t="shared" ref="I79:I81" si="5">+H79*G79</f>
        <v>16650</v>
      </c>
    </row>
    <row r="80" spans="1:9">
      <c r="A80" s="246" t="s">
        <v>91</v>
      </c>
      <c r="B80" s="246"/>
      <c r="C80" s="246"/>
      <c r="D80" s="246"/>
      <c r="E80" s="246"/>
      <c r="F80" s="23" t="s">
        <v>92</v>
      </c>
      <c r="G80" s="24">
        <v>60000</v>
      </c>
      <c r="H80" s="74">
        <f>0.013*1.03</f>
        <v>1.3389999999999999E-2</v>
      </c>
      <c r="I80" s="24">
        <f t="shared" si="5"/>
        <v>803.4</v>
      </c>
    </row>
    <row r="81" spans="1:9">
      <c r="A81" s="246" t="s">
        <v>93</v>
      </c>
      <c r="B81" s="246"/>
      <c r="C81" s="246"/>
      <c r="D81" s="246"/>
      <c r="E81" s="246"/>
      <c r="F81" s="23" t="s">
        <v>92</v>
      </c>
      <c r="G81" s="24">
        <v>30000</v>
      </c>
      <c r="H81" s="74">
        <f>0.013*1.03</f>
        <v>1.3389999999999999E-2</v>
      </c>
      <c r="I81" s="24">
        <f t="shared" si="5"/>
        <v>401.7</v>
      </c>
    </row>
    <row r="82" spans="1:9">
      <c r="A82" s="246"/>
      <c r="B82" s="246"/>
      <c r="C82" s="246"/>
      <c r="D82" s="246"/>
      <c r="E82" s="246"/>
      <c r="F82" s="23"/>
      <c r="G82" s="19"/>
      <c r="H82" s="19"/>
      <c r="I82" s="24">
        <f t="shared" ref="I82:I83" si="6">+G82*H82</f>
        <v>0</v>
      </c>
    </row>
    <row r="83" spans="1:9">
      <c r="A83" s="246"/>
      <c r="B83" s="246"/>
      <c r="C83" s="246"/>
      <c r="D83" s="246"/>
      <c r="E83" s="246"/>
      <c r="F83" s="23"/>
      <c r="G83" s="19"/>
      <c r="H83" s="19"/>
      <c r="I83" s="24">
        <f t="shared" si="6"/>
        <v>0</v>
      </c>
    </row>
    <row r="84" spans="1:9">
      <c r="A84" s="188" t="s">
        <v>58</v>
      </c>
      <c r="B84" s="188"/>
      <c r="C84" s="188"/>
      <c r="D84" s="188"/>
      <c r="E84" s="25" t="s">
        <v>59</v>
      </c>
      <c r="F84" s="16" t="s">
        <v>60</v>
      </c>
      <c r="G84" s="16" t="s">
        <v>61</v>
      </c>
      <c r="H84" s="16" t="s">
        <v>62</v>
      </c>
      <c r="I84" s="17" t="s">
        <v>56</v>
      </c>
    </row>
    <row r="85" spans="1:9">
      <c r="A85" s="246" t="s">
        <v>63</v>
      </c>
      <c r="B85" s="246"/>
      <c r="C85" s="246"/>
      <c r="D85" s="246"/>
      <c r="E85" s="26"/>
      <c r="F85" s="26">
        <v>6</v>
      </c>
      <c r="G85" s="26">
        <f>35000/F85</f>
        <v>5833.333333333333</v>
      </c>
      <c r="H85" s="26">
        <f>+G85*6</f>
        <v>35000</v>
      </c>
      <c r="I85" s="19">
        <f>+E85*G85</f>
        <v>0</v>
      </c>
    </row>
    <row r="86" spans="1:9">
      <c r="A86" s="246" t="s">
        <v>64</v>
      </c>
      <c r="B86" s="246"/>
      <c r="C86" s="246"/>
      <c r="D86" s="246"/>
      <c r="E86" s="26"/>
      <c r="F86" s="26"/>
      <c r="G86" s="26"/>
      <c r="H86" s="26"/>
      <c r="I86" s="19">
        <f>+E86*G86</f>
        <v>0</v>
      </c>
    </row>
    <row r="87" spans="1:9">
      <c r="A87" s="188" t="s">
        <v>65</v>
      </c>
      <c r="B87" s="188"/>
      <c r="C87" s="188"/>
      <c r="D87" s="188"/>
      <c r="E87" s="16" t="s">
        <v>55</v>
      </c>
      <c r="F87" s="189" t="s">
        <v>66</v>
      </c>
      <c r="G87" s="190"/>
      <c r="H87" s="27" t="s">
        <v>49</v>
      </c>
      <c r="I87" s="28" t="s">
        <v>56</v>
      </c>
    </row>
    <row r="88" spans="1:9">
      <c r="A88" s="187" t="s">
        <v>85</v>
      </c>
      <c r="B88" s="187"/>
      <c r="C88" s="187"/>
      <c r="D88" s="187"/>
      <c r="E88" s="19">
        <v>1</v>
      </c>
      <c r="F88" s="196">
        <f>60000*1.7</f>
        <v>102000</v>
      </c>
      <c r="G88" s="196"/>
      <c r="H88" s="21">
        <v>5</v>
      </c>
      <c r="I88" s="24">
        <f>+(E88*F88)/H88</f>
        <v>20400</v>
      </c>
    </row>
    <row r="89" spans="1:9">
      <c r="A89" s="187" t="s">
        <v>94</v>
      </c>
      <c r="B89" s="187"/>
      <c r="C89" s="187"/>
      <c r="D89" s="187"/>
      <c r="E89" s="19">
        <v>1</v>
      </c>
      <c r="F89" s="196">
        <f>30000*1.7</f>
        <v>51000</v>
      </c>
      <c r="G89" s="196"/>
      <c r="H89" s="21">
        <v>5</v>
      </c>
      <c r="I89" s="24">
        <f>+(E89*F89)/H89</f>
        <v>10200</v>
      </c>
    </row>
    <row r="90" spans="1:9">
      <c r="A90" s="197"/>
      <c r="B90" s="198"/>
      <c r="C90" s="198"/>
      <c r="D90" s="198"/>
      <c r="E90" s="199"/>
      <c r="F90" s="29" t="s">
        <v>36</v>
      </c>
      <c r="G90" s="30"/>
      <c r="H90" s="31"/>
      <c r="I90" s="32">
        <f>ROUND((SUM(I72:I89)),0)</f>
        <v>130985</v>
      </c>
    </row>
    <row r="91" spans="1:9">
      <c r="A91" s="12" t="s">
        <v>43</v>
      </c>
      <c r="B91" s="192" t="e">
        <f>PRESUPUESTO!#REF!</f>
        <v>#REF!</v>
      </c>
      <c r="C91" s="193"/>
      <c r="D91" s="193"/>
      <c r="E91" s="193"/>
      <c r="F91" s="193"/>
      <c r="G91" s="193"/>
      <c r="H91" s="193"/>
      <c r="I91" s="194"/>
    </row>
    <row r="92" spans="1:9">
      <c r="A92" s="13" t="s">
        <v>101</v>
      </c>
      <c r="B92" s="195"/>
      <c r="C92" s="195"/>
      <c r="D92" s="195"/>
      <c r="E92" s="195"/>
      <c r="F92" s="195"/>
      <c r="G92" s="195"/>
      <c r="H92" s="14" t="s">
        <v>45</v>
      </c>
      <c r="I92" s="15" t="s">
        <v>46</v>
      </c>
    </row>
    <row r="93" spans="1:9">
      <c r="A93" s="188" t="s">
        <v>47</v>
      </c>
      <c r="B93" s="188"/>
      <c r="C93" s="188"/>
      <c r="D93" s="188"/>
      <c r="E93" s="188"/>
      <c r="F93" s="16" t="s">
        <v>4</v>
      </c>
      <c r="G93" s="16" t="s">
        <v>48</v>
      </c>
      <c r="H93" s="16" t="s">
        <v>49</v>
      </c>
      <c r="I93" s="17" t="s">
        <v>50</v>
      </c>
    </row>
    <row r="94" spans="1:9">
      <c r="A94" s="246" t="s">
        <v>51</v>
      </c>
      <c r="B94" s="246"/>
      <c r="C94" s="246"/>
      <c r="D94" s="246"/>
      <c r="E94" s="246"/>
      <c r="F94" s="18"/>
      <c r="G94" s="18"/>
      <c r="H94" s="19"/>
      <c r="I94" s="20">
        <f>ROUND((SUM(I110:I111)*0.05),0)</f>
        <v>1275</v>
      </c>
    </row>
    <row r="95" spans="1:9">
      <c r="A95" s="246"/>
      <c r="B95" s="246"/>
      <c r="C95" s="246"/>
      <c r="D95" s="246"/>
      <c r="E95" s="246"/>
      <c r="F95" s="18"/>
      <c r="G95" s="18"/>
      <c r="H95" s="21"/>
      <c r="I95" s="20"/>
    </row>
    <row r="96" spans="1:9">
      <c r="A96" s="246"/>
      <c r="B96" s="246"/>
      <c r="C96" s="246"/>
      <c r="D96" s="246"/>
      <c r="E96" s="246"/>
      <c r="F96" s="18"/>
      <c r="G96" s="18"/>
      <c r="H96" s="21"/>
      <c r="I96" s="20"/>
    </row>
    <row r="97" spans="1:9">
      <c r="A97" s="188" t="s">
        <v>52</v>
      </c>
      <c r="B97" s="188"/>
      <c r="C97" s="188"/>
      <c r="D97" s="188"/>
      <c r="E97" s="188"/>
      <c r="F97" s="16" t="s">
        <v>53</v>
      </c>
      <c r="G97" s="22" t="s">
        <v>54</v>
      </c>
      <c r="H97" s="22" t="s">
        <v>55</v>
      </c>
      <c r="I97" s="17" t="s">
        <v>56</v>
      </c>
    </row>
    <row r="98" spans="1:9">
      <c r="A98" s="246" t="s">
        <v>102</v>
      </c>
      <c r="B98" s="246"/>
      <c r="C98" s="246"/>
      <c r="D98" s="246"/>
      <c r="E98" s="246"/>
      <c r="F98" s="23" t="s">
        <v>46</v>
      </c>
      <c r="G98" s="24">
        <v>2500</v>
      </c>
      <c r="H98" s="19">
        <v>1</v>
      </c>
      <c r="I98" s="24">
        <f>+H98*G98</f>
        <v>2500</v>
      </c>
    </row>
    <row r="99" spans="1:9">
      <c r="A99" s="246" t="s">
        <v>103</v>
      </c>
      <c r="B99" s="246"/>
      <c r="C99" s="246"/>
      <c r="D99" s="246"/>
      <c r="E99" s="246"/>
      <c r="F99" s="23" t="s">
        <v>46</v>
      </c>
      <c r="G99" s="24">
        <v>6000</v>
      </c>
      <c r="H99" s="19">
        <v>4</v>
      </c>
      <c r="I99" s="24">
        <f>+H99*G99</f>
        <v>24000</v>
      </c>
    </row>
    <row r="100" spans="1:9">
      <c r="A100" s="246" t="s">
        <v>104</v>
      </c>
      <c r="B100" s="246"/>
      <c r="C100" s="246"/>
      <c r="D100" s="246"/>
      <c r="E100" s="246"/>
      <c r="F100" s="23" t="s">
        <v>46</v>
      </c>
      <c r="G100" s="24">
        <v>2500</v>
      </c>
      <c r="H100" s="74">
        <v>1</v>
      </c>
      <c r="I100" s="24">
        <f>+H100*G100</f>
        <v>2500</v>
      </c>
    </row>
    <row r="101" spans="1:9">
      <c r="A101" s="246" t="s">
        <v>105</v>
      </c>
      <c r="B101" s="246"/>
      <c r="C101" s="246"/>
      <c r="D101" s="246"/>
      <c r="E101" s="246"/>
      <c r="F101" s="23" t="s">
        <v>100</v>
      </c>
      <c r="G101" s="24">
        <v>4000</v>
      </c>
      <c r="H101" s="74">
        <v>1</v>
      </c>
      <c r="I101" s="24">
        <f t="shared" ref="I101:I103" si="7">+H101*G101</f>
        <v>4000</v>
      </c>
    </row>
    <row r="102" spans="1:9">
      <c r="A102" s="246" t="s">
        <v>91</v>
      </c>
      <c r="B102" s="246"/>
      <c r="C102" s="246"/>
      <c r="D102" s="246"/>
      <c r="E102" s="246"/>
      <c r="F102" s="23" t="s">
        <v>92</v>
      </c>
      <c r="G102" s="24">
        <v>70000</v>
      </c>
      <c r="H102" s="74">
        <f>0.008*1.03</f>
        <v>8.2400000000000008E-3</v>
      </c>
      <c r="I102" s="24">
        <f t="shared" si="7"/>
        <v>576.80000000000007</v>
      </c>
    </row>
    <row r="103" spans="1:9">
      <c r="A103" s="246" t="s">
        <v>93</v>
      </c>
      <c r="B103" s="246"/>
      <c r="C103" s="246"/>
      <c r="D103" s="246"/>
      <c r="E103" s="246"/>
      <c r="F103" s="23" t="s">
        <v>92</v>
      </c>
      <c r="G103" s="24">
        <v>30000</v>
      </c>
      <c r="H103" s="74">
        <f>0.008*1.03</f>
        <v>8.2400000000000008E-3</v>
      </c>
      <c r="I103" s="24">
        <f t="shared" si="7"/>
        <v>247.20000000000002</v>
      </c>
    </row>
    <row r="104" spans="1:9">
      <c r="A104" s="246"/>
      <c r="B104" s="246"/>
      <c r="C104" s="246"/>
      <c r="D104" s="246"/>
      <c r="E104" s="246"/>
      <c r="F104" s="23"/>
      <c r="G104" s="19"/>
      <c r="H104" s="19"/>
      <c r="I104" s="24">
        <f t="shared" ref="I104:I105" si="8">+G104*H104</f>
        <v>0</v>
      </c>
    </row>
    <row r="105" spans="1:9">
      <c r="A105" s="246"/>
      <c r="B105" s="246"/>
      <c r="C105" s="246"/>
      <c r="D105" s="246"/>
      <c r="E105" s="246"/>
      <c r="F105" s="23"/>
      <c r="G105" s="19"/>
      <c r="H105" s="19"/>
      <c r="I105" s="24">
        <f t="shared" si="8"/>
        <v>0</v>
      </c>
    </row>
    <row r="106" spans="1:9">
      <c r="A106" s="188" t="s">
        <v>58</v>
      </c>
      <c r="B106" s="188"/>
      <c r="C106" s="188"/>
      <c r="D106" s="188"/>
      <c r="E106" s="25" t="s">
        <v>59</v>
      </c>
      <c r="F106" s="16" t="s">
        <v>60</v>
      </c>
      <c r="G106" s="16" t="s">
        <v>61</v>
      </c>
      <c r="H106" s="16" t="s">
        <v>62</v>
      </c>
      <c r="I106" s="17" t="s">
        <v>56</v>
      </c>
    </row>
    <row r="107" spans="1:9">
      <c r="A107" s="246" t="s">
        <v>63</v>
      </c>
      <c r="B107" s="246"/>
      <c r="C107" s="246"/>
      <c r="D107" s="246"/>
      <c r="E107" s="26"/>
      <c r="F107" s="26">
        <v>6</v>
      </c>
      <c r="G107" s="26">
        <f>35000/F107</f>
        <v>5833.333333333333</v>
      </c>
      <c r="H107" s="26">
        <f>+G107*6</f>
        <v>35000</v>
      </c>
      <c r="I107" s="19">
        <f>+E107*G107</f>
        <v>0</v>
      </c>
    </row>
    <row r="108" spans="1:9">
      <c r="A108" s="246" t="s">
        <v>64</v>
      </c>
      <c r="B108" s="246"/>
      <c r="C108" s="246"/>
      <c r="D108" s="246"/>
      <c r="E108" s="26"/>
      <c r="F108" s="26"/>
      <c r="G108" s="26"/>
      <c r="H108" s="26"/>
      <c r="I108" s="19">
        <f>+E108*G108</f>
        <v>0</v>
      </c>
    </row>
    <row r="109" spans="1:9">
      <c r="A109" s="188" t="s">
        <v>65</v>
      </c>
      <c r="B109" s="188"/>
      <c r="C109" s="188"/>
      <c r="D109" s="188"/>
      <c r="E109" s="16" t="s">
        <v>55</v>
      </c>
      <c r="F109" s="189" t="s">
        <v>66</v>
      </c>
      <c r="G109" s="190"/>
      <c r="H109" s="27" t="s">
        <v>49</v>
      </c>
      <c r="I109" s="28" t="s">
        <v>56</v>
      </c>
    </row>
    <row r="110" spans="1:9">
      <c r="A110" s="187" t="s">
        <v>85</v>
      </c>
      <c r="B110" s="187"/>
      <c r="C110" s="187"/>
      <c r="D110" s="187"/>
      <c r="E110" s="19">
        <v>1</v>
      </c>
      <c r="F110" s="196">
        <f>60000*1.7</f>
        <v>102000</v>
      </c>
      <c r="G110" s="196"/>
      <c r="H110" s="21">
        <v>6</v>
      </c>
      <c r="I110" s="24">
        <f>+(E110*F110)/H110</f>
        <v>17000</v>
      </c>
    </row>
    <row r="111" spans="1:9">
      <c r="A111" s="187" t="s">
        <v>94</v>
      </c>
      <c r="B111" s="187"/>
      <c r="C111" s="187"/>
      <c r="D111" s="187"/>
      <c r="E111" s="19">
        <v>1</v>
      </c>
      <c r="F111" s="196">
        <f>30000*1.7</f>
        <v>51000</v>
      </c>
      <c r="G111" s="196"/>
      <c r="H111" s="21">
        <v>6</v>
      </c>
      <c r="I111" s="24">
        <f>+(E111*F111)/H111</f>
        <v>8500</v>
      </c>
    </row>
    <row r="112" spans="1:9">
      <c r="A112" s="197"/>
      <c r="B112" s="198"/>
      <c r="C112" s="198"/>
      <c r="D112" s="198"/>
      <c r="E112" s="199"/>
      <c r="F112" s="29" t="s">
        <v>36</v>
      </c>
      <c r="G112" s="30"/>
      <c r="H112" s="31"/>
      <c r="I112" s="32">
        <f>ROUND((SUM(I94:I111)),0)</f>
        <v>60599</v>
      </c>
    </row>
  </sheetData>
  <mergeCells count="122">
    <mergeCell ref="A7:E7"/>
    <mergeCell ref="A8:E8"/>
    <mergeCell ref="A9:E9"/>
    <mergeCell ref="A10:E10"/>
    <mergeCell ref="A11:E11"/>
    <mergeCell ref="A12:E12"/>
    <mergeCell ref="B1:I1"/>
    <mergeCell ref="B2:G2"/>
    <mergeCell ref="A3:E3"/>
    <mergeCell ref="A4:E4"/>
    <mergeCell ref="A5:E5"/>
    <mergeCell ref="A6:E6"/>
    <mergeCell ref="A22:E22"/>
    <mergeCell ref="A19:D19"/>
    <mergeCell ref="F19:G19"/>
    <mergeCell ref="A20:D20"/>
    <mergeCell ref="F20:G20"/>
    <mergeCell ref="A21:D21"/>
    <mergeCell ref="F21:G21"/>
    <mergeCell ref="A13:E13"/>
    <mergeCell ref="A14:E14"/>
    <mergeCell ref="A15:E15"/>
    <mergeCell ref="A16:D16"/>
    <mergeCell ref="A17:D17"/>
    <mergeCell ref="A18:D18"/>
    <mergeCell ref="F43:G43"/>
    <mergeCell ref="A34:E34"/>
    <mergeCell ref="A35:E35"/>
    <mergeCell ref="A36:E36"/>
    <mergeCell ref="A37:E37"/>
    <mergeCell ref="A39:D39"/>
    <mergeCell ref="A29:E29"/>
    <mergeCell ref="A30:E30"/>
    <mergeCell ref="A31:E31"/>
    <mergeCell ref="A32:E32"/>
    <mergeCell ref="A33:E33"/>
    <mergeCell ref="A53:E53"/>
    <mergeCell ref="A54:E54"/>
    <mergeCell ref="A55:E55"/>
    <mergeCell ref="A56:E56"/>
    <mergeCell ref="A57:E57"/>
    <mergeCell ref="A58:E58"/>
    <mergeCell ref="A51:E51"/>
    <mergeCell ref="A52:E52"/>
    <mergeCell ref="B25:I25"/>
    <mergeCell ref="B26:G26"/>
    <mergeCell ref="A27:E27"/>
    <mergeCell ref="A28:E28"/>
    <mergeCell ref="A38:E38"/>
    <mergeCell ref="A44:D44"/>
    <mergeCell ref="F44:G44"/>
    <mergeCell ref="A45:E45"/>
    <mergeCell ref="A50:E50"/>
    <mergeCell ref="B48:I48"/>
    <mergeCell ref="B49:G49"/>
    <mergeCell ref="A40:D40"/>
    <mergeCell ref="A41:D41"/>
    <mergeCell ref="A42:D42"/>
    <mergeCell ref="F42:G42"/>
    <mergeCell ref="A43:D43"/>
    <mergeCell ref="F64:G64"/>
    <mergeCell ref="A65:D65"/>
    <mergeCell ref="F65:G65"/>
    <mergeCell ref="A66:D66"/>
    <mergeCell ref="F66:G66"/>
    <mergeCell ref="A67:E67"/>
    <mergeCell ref="A59:E59"/>
    <mergeCell ref="A60:E60"/>
    <mergeCell ref="A61:D61"/>
    <mergeCell ref="A62:D62"/>
    <mergeCell ref="A63:D63"/>
    <mergeCell ref="A64:D64"/>
    <mergeCell ref="A75:E75"/>
    <mergeCell ref="A76:E76"/>
    <mergeCell ref="A77:E77"/>
    <mergeCell ref="A78:E78"/>
    <mergeCell ref="A79:E79"/>
    <mergeCell ref="A80:E80"/>
    <mergeCell ref="B69:I69"/>
    <mergeCell ref="B70:G70"/>
    <mergeCell ref="A71:E71"/>
    <mergeCell ref="A72:E72"/>
    <mergeCell ref="A73:E73"/>
    <mergeCell ref="A74:E74"/>
    <mergeCell ref="A87:D87"/>
    <mergeCell ref="F87:G87"/>
    <mergeCell ref="A88:D88"/>
    <mergeCell ref="F88:G88"/>
    <mergeCell ref="A89:D89"/>
    <mergeCell ref="F89:G89"/>
    <mergeCell ref="A81:E81"/>
    <mergeCell ref="A82:E82"/>
    <mergeCell ref="A83:E83"/>
    <mergeCell ref="A84:D84"/>
    <mergeCell ref="A85:D85"/>
    <mergeCell ref="A86:D86"/>
    <mergeCell ref="A96:E96"/>
    <mergeCell ref="A97:E97"/>
    <mergeCell ref="A98:E98"/>
    <mergeCell ref="A99:E99"/>
    <mergeCell ref="A100:E100"/>
    <mergeCell ref="A101:E101"/>
    <mergeCell ref="A90:E90"/>
    <mergeCell ref="B91:I91"/>
    <mergeCell ref="B92:G92"/>
    <mergeCell ref="A93:E93"/>
    <mergeCell ref="A94:E94"/>
    <mergeCell ref="A95:E95"/>
    <mergeCell ref="A112:E112"/>
    <mergeCell ref="A108:D108"/>
    <mergeCell ref="A109:D109"/>
    <mergeCell ref="F109:G109"/>
    <mergeCell ref="A110:D110"/>
    <mergeCell ref="F110:G110"/>
    <mergeCell ref="A111:D111"/>
    <mergeCell ref="F111:G111"/>
    <mergeCell ref="A102:E102"/>
    <mergeCell ref="A103:E103"/>
    <mergeCell ref="A104:E104"/>
    <mergeCell ref="A105:E105"/>
    <mergeCell ref="A106:D106"/>
    <mergeCell ref="A107:D10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B6970-3774-4B59-97DB-BC67745744A7}">
  <dimension ref="A1:I183"/>
  <sheetViews>
    <sheetView topLeftCell="A97" workbookViewId="0">
      <selection activeCell="J32" sqref="J32"/>
    </sheetView>
  </sheetViews>
  <sheetFormatPr defaultColWidth="11.42578125" defaultRowHeight="14.45"/>
  <cols>
    <col min="9" max="9" width="14.140625" customWidth="1"/>
    <col min="13" max="13" width="12" bestFit="1" customWidth="1"/>
  </cols>
  <sheetData>
    <row r="1" spans="1:9">
      <c r="A1" s="197"/>
      <c r="B1" s="198"/>
      <c r="C1" s="198"/>
      <c r="D1" s="198"/>
      <c r="E1" s="198"/>
      <c r="F1" s="198"/>
      <c r="G1" s="198"/>
      <c r="H1" s="198"/>
      <c r="I1" s="199"/>
    </row>
    <row r="2" spans="1:9">
      <c r="A2" s="12" t="s">
        <v>43</v>
      </c>
      <c r="B2" s="192" t="str">
        <f>PRESUPUESTO!B5</f>
        <v>Suministro  y aplicación de pintura acrilica, Vinilo Tipo 1 de primera calidad sobre muros revocados y/o estucados, tres manos o las necesarias para obtener una superficie pareja y homogénea. Incluye suministro y transporte de los materiales, tapa poros, adecuación de la superficie a intervenir hasta obtener una superficie pareja y homogénea, color a definir</v>
      </c>
      <c r="C2" s="193"/>
      <c r="D2" s="193"/>
      <c r="E2" s="193"/>
      <c r="F2" s="193"/>
      <c r="G2" s="193"/>
      <c r="H2" s="193"/>
      <c r="I2" s="194"/>
    </row>
    <row r="3" spans="1:9">
      <c r="A3" s="13" t="s">
        <v>106</v>
      </c>
      <c r="B3" s="195"/>
      <c r="C3" s="195"/>
      <c r="D3" s="195"/>
      <c r="E3" s="195"/>
      <c r="F3" s="195"/>
      <c r="G3" s="195"/>
      <c r="H3" s="14" t="s">
        <v>45</v>
      </c>
      <c r="I3" s="15" t="s">
        <v>26</v>
      </c>
    </row>
    <row r="4" spans="1:9">
      <c r="A4" s="188" t="s">
        <v>47</v>
      </c>
      <c r="B4" s="188"/>
      <c r="C4" s="188"/>
      <c r="D4" s="188"/>
      <c r="E4" s="188"/>
      <c r="F4" s="16" t="s">
        <v>4</v>
      </c>
      <c r="G4" s="16" t="s">
        <v>48</v>
      </c>
      <c r="H4" s="16" t="s">
        <v>49</v>
      </c>
      <c r="I4" s="17" t="s">
        <v>50</v>
      </c>
    </row>
    <row r="5" spans="1:9">
      <c r="A5" s="246" t="s">
        <v>51</v>
      </c>
      <c r="B5" s="246"/>
      <c r="C5" s="246"/>
      <c r="D5" s="246"/>
      <c r="E5" s="246"/>
      <c r="F5" s="18"/>
      <c r="G5" s="18"/>
      <c r="H5" s="19"/>
      <c r="I5" s="20">
        <f>ROUND((SUM(I21:I22)*0.05),0)</f>
        <v>309</v>
      </c>
    </row>
    <row r="6" spans="1:9">
      <c r="A6" s="246" t="s">
        <v>107</v>
      </c>
      <c r="B6" s="246"/>
      <c r="C6" s="246"/>
      <c r="D6" s="246"/>
      <c r="E6" s="246"/>
      <c r="F6" s="18">
        <v>2</v>
      </c>
      <c r="G6" s="18">
        <v>7000</v>
      </c>
      <c r="H6" s="21">
        <f>H21</f>
        <v>22</v>
      </c>
      <c r="I6" s="20">
        <f>F6*G6/H6</f>
        <v>636.36363636363637</v>
      </c>
    </row>
    <row r="7" spans="1:9">
      <c r="A7" s="248"/>
      <c r="B7" s="249"/>
      <c r="C7" s="249"/>
      <c r="D7" s="249"/>
      <c r="E7" s="250"/>
      <c r="F7" s="18"/>
      <c r="G7" s="18"/>
      <c r="H7" s="21"/>
      <c r="I7" s="20"/>
    </row>
    <row r="8" spans="1:9">
      <c r="A8" s="188" t="s">
        <v>52</v>
      </c>
      <c r="B8" s="188"/>
      <c r="C8" s="188"/>
      <c r="D8" s="188"/>
      <c r="E8" s="188"/>
      <c r="F8" s="16" t="s">
        <v>53</v>
      </c>
      <c r="G8" s="22" t="s">
        <v>54</v>
      </c>
      <c r="H8" s="22" t="s">
        <v>55</v>
      </c>
      <c r="I8" s="17" t="s">
        <v>56</v>
      </c>
    </row>
    <row r="9" spans="1:9">
      <c r="A9" s="246" t="s">
        <v>108</v>
      </c>
      <c r="B9" s="246"/>
      <c r="C9" s="246"/>
      <c r="D9" s="246"/>
      <c r="E9" s="246"/>
      <c r="F9" s="23" t="s">
        <v>109</v>
      </c>
      <c r="G9" s="24">
        <v>90000</v>
      </c>
      <c r="H9" s="19">
        <v>0.05</v>
      </c>
      <c r="I9" s="24">
        <f>+H9*G9</f>
        <v>4500</v>
      </c>
    </row>
    <row r="10" spans="1:9">
      <c r="A10" s="246" t="s">
        <v>110</v>
      </c>
      <c r="B10" s="246"/>
      <c r="C10" s="246"/>
      <c r="D10" s="246"/>
      <c r="E10" s="246"/>
      <c r="F10" s="23" t="s">
        <v>84</v>
      </c>
      <c r="G10" s="24">
        <v>14000</v>
      </c>
      <c r="H10" s="19">
        <v>0.1</v>
      </c>
      <c r="I10" s="24">
        <f>+H10*G10</f>
        <v>1400</v>
      </c>
    </row>
    <row r="11" spans="1:9">
      <c r="A11" s="248" t="s">
        <v>111</v>
      </c>
      <c r="B11" s="249"/>
      <c r="C11" s="249"/>
      <c r="D11" s="249"/>
      <c r="E11" s="250"/>
      <c r="F11" s="23" t="s">
        <v>84</v>
      </c>
      <c r="G11" s="19">
        <v>7000</v>
      </c>
      <c r="H11" s="19">
        <v>0.2</v>
      </c>
      <c r="I11" s="24">
        <f>+H11*G11</f>
        <v>1400</v>
      </c>
    </row>
    <row r="12" spans="1:9">
      <c r="A12" s="248"/>
      <c r="B12" s="249"/>
      <c r="C12" s="249"/>
      <c r="D12" s="249"/>
      <c r="E12" s="250"/>
      <c r="F12" s="23"/>
      <c r="G12" s="19"/>
      <c r="H12" s="19"/>
      <c r="I12" s="24">
        <f>+G12*H12</f>
        <v>0</v>
      </c>
    </row>
    <row r="13" spans="1:9">
      <c r="A13" s="246"/>
      <c r="B13" s="246"/>
      <c r="C13" s="246"/>
      <c r="D13" s="246"/>
      <c r="E13" s="246"/>
      <c r="F13" s="23"/>
      <c r="G13" s="19"/>
      <c r="H13" s="19"/>
      <c r="I13" s="24">
        <f t="shared" ref="I13:I16" si="0">+G13*H13</f>
        <v>0</v>
      </c>
    </row>
    <row r="14" spans="1:9">
      <c r="A14" s="248"/>
      <c r="B14" s="249"/>
      <c r="C14" s="249"/>
      <c r="D14" s="249"/>
      <c r="E14" s="250"/>
      <c r="F14" s="23"/>
      <c r="G14" s="19"/>
      <c r="H14" s="19"/>
      <c r="I14" s="24">
        <f t="shared" si="0"/>
        <v>0</v>
      </c>
    </row>
    <row r="15" spans="1:9">
      <c r="A15" s="246"/>
      <c r="B15" s="246"/>
      <c r="C15" s="246"/>
      <c r="D15" s="246"/>
      <c r="E15" s="246"/>
      <c r="F15" s="23"/>
      <c r="G15" s="19"/>
      <c r="H15" s="19"/>
      <c r="I15" s="24">
        <f t="shared" si="0"/>
        <v>0</v>
      </c>
    </row>
    <row r="16" spans="1:9">
      <c r="A16" s="246"/>
      <c r="B16" s="246"/>
      <c r="C16" s="246"/>
      <c r="D16" s="246"/>
      <c r="E16" s="246"/>
      <c r="F16" s="23"/>
      <c r="G16" s="19"/>
      <c r="H16" s="19"/>
      <c r="I16" s="24">
        <f t="shared" si="0"/>
        <v>0</v>
      </c>
    </row>
    <row r="17" spans="1:9">
      <c r="A17" s="188" t="s">
        <v>58</v>
      </c>
      <c r="B17" s="188"/>
      <c r="C17" s="188"/>
      <c r="D17" s="188"/>
      <c r="E17" s="25" t="s">
        <v>59</v>
      </c>
      <c r="F17" s="16" t="s">
        <v>60</v>
      </c>
      <c r="G17" s="16" t="s">
        <v>61</v>
      </c>
      <c r="H17" s="16" t="s">
        <v>62</v>
      </c>
      <c r="I17" s="17" t="s">
        <v>56</v>
      </c>
    </row>
    <row r="18" spans="1:9">
      <c r="A18" s="246" t="s">
        <v>63</v>
      </c>
      <c r="B18" s="246"/>
      <c r="C18" s="246"/>
      <c r="D18" s="246"/>
      <c r="E18" s="26"/>
      <c r="F18" s="26">
        <v>6</v>
      </c>
      <c r="G18" s="26">
        <f>35000/F18</f>
        <v>5833.333333333333</v>
      </c>
      <c r="H18" s="26">
        <f>+G18*6</f>
        <v>35000</v>
      </c>
      <c r="I18" s="19">
        <f>+E18*G18</f>
        <v>0</v>
      </c>
    </row>
    <row r="19" spans="1:9">
      <c r="A19" s="246" t="s">
        <v>64</v>
      </c>
      <c r="B19" s="246"/>
      <c r="C19" s="246"/>
      <c r="D19" s="246"/>
      <c r="E19" s="26"/>
      <c r="F19" s="26"/>
      <c r="G19" s="26"/>
      <c r="H19" s="26"/>
      <c r="I19" s="19">
        <f>+E19*G19</f>
        <v>0</v>
      </c>
    </row>
    <row r="20" spans="1:9">
      <c r="A20" s="188" t="s">
        <v>65</v>
      </c>
      <c r="B20" s="188"/>
      <c r="C20" s="188"/>
      <c r="D20" s="188"/>
      <c r="E20" s="16" t="s">
        <v>55</v>
      </c>
      <c r="F20" s="189" t="s">
        <v>66</v>
      </c>
      <c r="G20" s="190"/>
      <c r="H20" s="27" t="s">
        <v>49</v>
      </c>
      <c r="I20" s="28" t="s">
        <v>56</v>
      </c>
    </row>
    <row r="21" spans="1:9">
      <c r="A21" s="187" t="s">
        <v>112</v>
      </c>
      <c r="B21" s="187"/>
      <c r="C21" s="187"/>
      <c r="D21" s="187"/>
      <c r="E21" s="19">
        <v>1</v>
      </c>
      <c r="F21" s="196">
        <f>CUADRILLAS!B17*1.7</f>
        <v>136000</v>
      </c>
      <c r="G21" s="196"/>
      <c r="H21" s="21">
        <v>22</v>
      </c>
      <c r="I21" s="24">
        <f>+E21*F21/H21</f>
        <v>6181.818181818182</v>
      </c>
    </row>
    <row r="22" spans="1:9">
      <c r="A22" s="187"/>
      <c r="B22" s="187"/>
      <c r="C22" s="187"/>
      <c r="D22" s="187"/>
      <c r="E22" s="19"/>
      <c r="F22" s="196"/>
      <c r="G22" s="196"/>
      <c r="H22" s="21"/>
      <c r="I22" s="24"/>
    </row>
    <row r="23" spans="1:9">
      <c r="A23" s="197"/>
      <c r="B23" s="198"/>
      <c r="C23" s="198"/>
      <c r="D23" s="198"/>
      <c r="E23" s="199"/>
      <c r="F23" s="29" t="s">
        <v>36</v>
      </c>
      <c r="G23" s="30"/>
      <c r="H23" s="31"/>
      <c r="I23" s="33">
        <f>ROUND((SUM(I5:I22)),0)</f>
        <v>14427</v>
      </c>
    </row>
    <row r="25" spans="1:9">
      <c r="A25" s="12" t="s">
        <v>43</v>
      </c>
      <c r="B25" s="192" t="str">
        <f>PRESUPUESTO!B7</f>
        <v>Mantenimiento correctivo canal amazonas del ctpga, incluye cambio de accesorios como: uniones, union bajante, bajantes, tapas, soportes  y todos los elementos necesarios para su correcta instalacion y funcionamiento</v>
      </c>
      <c r="C25" s="193"/>
      <c r="D25" s="193"/>
      <c r="E25" s="193"/>
      <c r="F25" s="193"/>
      <c r="G25" s="193"/>
      <c r="H25" s="193"/>
      <c r="I25" s="194"/>
    </row>
    <row r="26" spans="1:9" ht="16.5" customHeight="1">
      <c r="A26" s="13" t="s">
        <v>113</v>
      </c>
      <c r="B26" s="195"/>
      <c r="C26" s="195"/>
      <c r="D26" s="195"/>
      <c r="E26" s="195"/>
      <c r="F26" s="195"/>
      <c r="G26" s="195"/>
      <c r="H26" s="14" t="s">
        <v>45</v>
      </c>
      <c r="I26" s="15" t="s">
        <v>26</v>
      </c>
    </row>
    <row r="27" spans="1:9">
      <c r="A27" s="188" t="s">
        <v>47</v>
      </c>
      <c r="B27" s="188"/>
      <c r="C27" s="188"/>
      <c r="D27" s="188"/>
      <c r="E27" s="188"/>
      <c r="F27" s="16" t="s">
        <v>4</v>
      </c>
      <c r="G27" s="16" t="s">
        <v>48</v>
      </c>
      <c r="H27" s="16" t="s">
        <v>49</v>
      </c>
      <c r="I27" s="17" t="s">
        <v>50</v>
      </c>
    </row>
    <row r="28" spans="1:9">
      <c r="A28" s="246" t="s">
        <v>51</v>
      </c>
      <c r="B28" s="246"/>
      <c r="C28" s="246"/>
      <c r="D28" s="246"/>
      <c r="E28" s="246"/>
      <c r="F28" s="18"/>
      <c r="G28" s="18"/>
      <c r="H28" s="19"/>
      <c r="I28" s="20">
        <f>ROUND((SUM(I44:I45)*0.05),0)</f>
        <v>885</v>
      </c>
    </row>
    <row r="29" spans="1:9">
      <c r="A29" s="246" t="s">
        <v>114</v>
      </c>
      <c r="B29" s="246"/>
      <c r="C29" s="246"/>
      <c r="D29" s="246"/>
      <c r="E29" s="246"/>
      <c r="F29" s="18">
        <v>1</v>
      </c>
      <c r="G29" s="18">
        <v>6000</v>
      </c>
      <c r="H29" s="21">
        <f>H44</f>
        <v>12</v>
      </c>
      <c r="I29" s="20">
        <f>F29*G29/H29</f>
        <v>500</v>
      </c>
    </row>
    <row r="30" spans="1:9">
      <c r="A30" s="246"/>
      <c r="B30" s="246"/>
      <c r="C30" s="246"/>
      <c r="D30" s="246"/>
      <c r="E30" s="246"/>
      <c r="F30" s="18"/>
      <c r="G30" s="18"/>
      <c r="H30" s="21"/>
      <c r="I30" s="20"/>
    </row>
    <row r="31" spans="1:9">
      <c r="A31" s="188" t="s">
        <v>52</v>
      </c>
      <c r="B31" s="188"/>
      <c r="C31" s="188"/>
      <c r="D31" s="188"/>
      <c r="E31" s="188"/>
      <c r="F31" s="16" t="s">
        <v>53</v>
      </c>
      <c r="G31" s="22" t="s">
        <v>54</v>
      </c>
      <c r="H31" s="22" t="s">
        <v>55</v>
      </c>
      <c r="I31" s="17" t="s">
        <v>56</v>
      </c>
    </row>
    <row r="32" spans="1:9">
      <c r="A32" s="246" t="s">
        <v>115</v>
      </c>
      <c r="B32" s="246"/>
      <c r="C32" s="246"/>
      <c r="D32" s="246"/>
      <c r="E32" s="246"/>
      <c r="F32" s="23" t="s">
        <v>116</v>
      </c>
      <c r="G32" s="24">
        <v>25000</v>
      </c>
      <c r="H32" s="19">
        <v>1.05</v>
      </c>
      <c r="I32" s="24">
        <f>+H32*G32</f>
        <v>26250</v>
      </c>
    </row>
    <row r="33" spans="1:9">
      <c r="A33" s="246" t="s">
        <v>117</v>
      </c>
      <c r="B33" s="246"/>
      <c r="C33" s="246"/>
      <c r="D33" s="246"/>
      <c r="E33" s="246"/>
      <c r="F33" s="23" t="s">
        <v>84</v>
      </c>
      <c r="G33" s="24">
        <v>60</v>
      </c>
      <c r="H33" s="19">
        <v>4</v>
      </c>
      <c r="I33" s="24">
        <f>+H33*G33</f>
        <v>240</v>
      </c>
    </row>
    <row r="34" spans="1:9">
      <c r="A34" s="246"/>
      <c r="B34" s="246"/>
      <c r="C34" s="246"/>
      <c r="D34" s="246"/>
      <c r="E34" s="246"/>
      <c r="F34" s="23"/>
      <c r="G34" s="19"/>
      <c r="H34" s="19"/>
      <c r="I34" s="24"/>
    </row>
    <row r="35" spans="1:9">
      <c r="A35" s="246"/>
      <c r="B35" s="246"/>
      <c r="C35" s="246"/>
      <c r="D35" s="246"/>
      <c r="E35" s="246"/>
      <c r="F35" s="23"/>
      <c r="G35" s="19"/>
      <c r="H35" s="19"/>
      <c r="I35" s="24"/>
    </row>
    <row r="36" spans="1:9">
      <c r="A36" s="246"/>
      <c r="B36" s="246"/>
      <c r="C36" s="246"/>
      <c r="D36" s="246"/>
      <c r="E36" s="246"/>
      <c r="F36" s="23"/>
      <c r="G36" s="19"/>
      <c r="H36" s="19"/>
      <c r="I36" s="24">
        <f t="shared" ref="I36:I39" si="1">+G36*H36</f>
        <v>0</v>
      </c>
    </row>
    <row r="37" spans="1:9">
      <c r="A37" s="246"/>
      <c r="B37" s="246"/>
      <c r="C37" s="246"/>
      <c r="D37" s="246"/>
      <c r="E37" s="246"/>
      <c r="F37" s="23"/>
      <c r="G37" s="19"/>
      <c r="H37" s="19"/>
      <c r="I37" s="24">
        <f t="shared" si="1"/>
        <v>0</v>
      </c>
    </row>
    <row r="38" spans="1:9">
      <c r="A38" s="246"/>
      <c r="B38" s="246"/>
      <c r="C38" s="246"/>
      <c r="D38" s="246"/>
      <c r="E38" s="246"/>
      <c r="F38" s="23"/>
      <c r="G38" s="19"/>
      <c r="H38" s="19"/>
      <c r="I38" s="24">
        <f t="shared" si="1"/>
        <v>0</v>
      </c>
    </row>
    <row r="39" spans="1:9">
      <c r="A39" s="246"/>
      <c r="B39" s="246"/>
      <c r="C39" s="246"/>
      <c r="D39" s="246"/>
      <c r="E39" s="246"/>
      <c r="F39" s="23"/>
      <c r="G39" s="19"/>
      <c r="H39" s="19"/>
      <c r="I39" s="24">
        <f t="shared" si="1"/>
        <v>0</v>
      </c>
    </row>
    <row r="40" spans="1:9">
      <c r="A40" s="188" t="s">
        <v>58</v>
      </c>
      <c r="B40" s="188"/>
      <c r="C40" s="188"/>
      <c r="D40" s="188"/>
      <c r="E40" s="25" t="s">
        <v>59</v>
      </c>
      <c r="F40" s="16" t="s">
        <v>60</v>
      </c>
      <c r="G40" s="16" t="s">
        <v>61</v>
      </c>
      <c r="H40" s="16" t="s">
        <v>62</v>
      </c>
      <c r="I40" s="17" t="s">
        <v>56</v>
      </c>
    </row>
    <row r="41" spans="1:9">
      <c r="A41" s="246" t="s">
        <v>63</v>
      </c>
      <c r="B41" s="246"/>
      <c r="C41" s="246"/>
      <c r="D41" s="246"/>
      <c r="E41" s="26"/>
      <c r="F41" s="26"/>
      <c r="G41" s="26"/>
      <c r="H41" s="26"/>
      <c r="I41" s="19">
        <f>+E41*G41</f>
        <v>0</v>
      </c>
    </row>
    <row r="42" spans="1:9">
      <c r="A42" s="246" t="s">
        <v>64</v>
      </c>
      <c r="B42" s="246"/>
      <c r="C42" s="246"/>
      <c r="D42" s="246"/>
      <c r="E42" s="26"/>
      <c r="F42" s="26"/>
      <c r="G42" s="26"/>
      <c r="H42" s="26"/>
      <c r="I42" s="19">
        <f>+E42*G42</f>
        <v>0</v>
      </c>
    </row>
    <row r="43" spans="1:9">
      <c r="A43" s="188" t="s">
        <v>65</v>
      </c>
      <c r="B43" s="188"/>
      <c r="C43" s="188"/>
      <c r="D43" s="188"/>
      <c r="E43" s="16" t="s">
        <v>55</v>
      </c>
      <c r="F43" s="189" t="s">
        <v>66</v>
      </c>
      <c r="G43" s="190"/>
      <c r="H43" s="27" t="s">
        <v>49</v>
      </c>
      <c r="I43" s="28" t="s">
        <v>56</v>
      </c>
    </row>
    <row r="44" spans="1:9">
      <c r="A44" s="187" t="str">
        <f>CUADRILLAS!B8</f>
        <v xml:space="preserve">CUADRILLA 3 </v>
      </c>
      <c r="B44" s="187"/>
      <c r="C44" s="187"/>
      <c r="D44" s="187"/>
      <c r="E44" s="19">
        <v>1</v>
      </c>
      <c r="F44" s="196">
        <f>CUADRILLAS!D8</f>
        <v>212500</v>
      </c>
      <c r="G44" s="196"/>
      <c r="H44" s="21">
        <v>12</v>
      </c>
      <c r="I44" s="24">
        <f>+(E44*F44)/H44</f>
        <v>17708.333333333332</v>
      </c>
    </row>
    <row r="45" spans="1:9">
      <c r="A45" s="187"/>
      <c r="B45" s="187"/>
      <c r="C45" s="187"/>
      <c r="D45" s="187"/>
      <c r="E45" s="19"/>
      <c r="F45" s="196"/>
      <c r="G45" s="196"/>
      <c r="H45" s="21"/>
      <c r="I45" s="24"/>
    </row>
    <row r="46" spans="1:9">
      <c r="A46" s="197"/>
      <c r="B46" s="198"/>
      <c r="C46" s="198"/>
      <c r="D46" s="198"/>
      <c r="E46" s="199"/>
      <c r="F46" s="29" t="s">
        <v>36</v>
      </c>
      <c r="G46" s="30"/>
      <c r="H46" s="31"/>
      <c r="I46" s="32">
        <f>ROUND((SUM(I28:I45)),0)</f>
        <v>45583</v>
      </c>
    </row>
    <row r="48" spans="1:9" ht="16.5" customHeight="1">
      <c r="A48" s="12" t="s">
        <v>43</v>
      </c>
      <c r="B48" s="192" t="str">
        <f>PRESUPUESTO!B10</f>
        <v>Retiro e instalacion de perfil metalico para la correcta instalacion de la canl de aguas lluvias, incluye todos los elementos para su correcta instalacionv (zona de cuarto electrico, poli 1 y 2).</v>
      </c>
      <c r="C48" s="193"/>
      <c r="D48" s="193"/>
      <c r="E48" s="193"/>
      <c r="F48" s="193"/>
      <c r="G48" s="193"/>
      <c r="H48" s="193"/>
      <c r="I48" s="194"/>
    </row>
    <row r="49" spans="1:9">
      <c r="A49" s="13" t="s">
        <v>113</v>
      </c>
      <c r="B49" s="195"/>
      <c r="C49" s="195"/>
      <c r="D49" s="195"/>
      <c r="E49" s="195"/>
      <c r="F49" s="195"/>
      <c r="G49" s="195"/>
      <c r="H49" s="14" t="s">
        <v>45</v>
      </c>
      <c r="I49" s="15" t="s">
        <v>26</v>
      </c>
    </row>
    <row r="50" spans="1:9">
      <c r="A50" s="188" t="s">
        <v>47</v>
      </c>
      <c r="B50" s="188"/>
      <c r="C50" s="188"/>
      <c r="D50" s="188"/>
      <c r="E50" s="188"/>
      <c r="F50" s="16" t="s">
        <v>4</v>
      </c>
      <c r="G50" s="16" t="s">
        <v>48</v>
      </c>
      <c r="H50" s="16" t="s">
        <v>49</v>
      </c>
      <c r="I50" s="17" t="s">
        <v>50</v>
      </c>
    </row>
    <row r="51" spans="1:9">
      <c r="A51" s="246" t="s">
        <v>51</v>
      </c>
      <c r="B51" s="246"/>
      <c r="C51" s="246"/>
      <c r="D51" s="246"/>
      <c r="E51" s="246"/>
      <c r="F51" s="18"/>
      <c r="G51" s="18"/>
      <c r="H51" s="19"/>
      <c r="I51" s="20">
        <f>ROUND((SUM(I67:I68)*0.05),0)</f>
        <v>2125</v>
      </c>
    </row>
    <row r="52" spans="1:9">
      <c r="A52" s="246" t="s">
        <v>118</v>
      </c>
      <c r="B52" s="246"/>
      <c r="C52" s="246"/>
      <c r="D52" s="246"/>
      <c r="E52" s="246"/>
      <c r="F52" s="18">
        <v>2</v>
      </c>
      <c r="G52" s="18">
        <v>6000</v>
      </c>
      <c r="H52" s="21">
        <f>H67</f>
        <v>5</v>
      </c>
      <c r="I52" s="20">
        <f>G52/H52</f>
        <v>1200</v>
      </c>
    </row>
    <row r="53" spans="1:9">
      <c r="A53" s="246"/>
      <c r="B53" s="246"/>
      <c r="C53" s="246"/>
      <c r="D53" s="246"/>
      <c r="E53" s="246"/>
      <c r="F53" s="18"/>
      <c r="G53" s="18"/>
      <c r="H53" s="21"/>
      <c r="I53" s="20"/>
    </row>
    <row r="54" spans="1:9">
      <c r="A54" s="188" t="s">
        <v>52</v>
      </c>
      <c r="B54" s="188"/>
      <c r="C54" s="188"/>
      <c r="D54" s="188"/>
      <c r="E54" s="188"/>
      <c r="F54" s="16" t="s">
        <v>53</v>
      </c>
      <c r="G54" s="22" t="s">
        <v>54</v>
      </c>
      <c r="H54" s="22" t="s">
        <v>55</v>
      </c>
      <c r="I54" s="17" t="s">
        <v>56</v>
      </c>
    </row>
    <row r="55" spans="1:9">
      <c r="A55" s="246"/>
      <c r="B55" s="246"/>
      <c r="C55" s="246"/>
      <c r="D55" s="246"/>
      <c r="E55" s="246"/>
      <c r="F55" s="23"/>
      <c r="G55" s="24"/>
      <c r="H55" s="19"/>
      <c r="I55" s="24"/>
    </row>
    <row r="56" spans="1:9">
      <c r="A56" s="246"/>
      <c r="B56" s="246"/>
      <c r="C56" s="246"/>
      <c r="D56" s="246"/>
      <c r="E56" s="246"/>
      <c r="F56" s="23"/>
      <c r="G56" s="24"/>
      <c r="H56" s="19"/>
      <c r="I56" s="24"/>
    </row>
    <row r="57" spans="1:9">
      <c r="A57" s="246"/>
      <c r="B57" s="246"/>
      <c r="C57" s="246"/>
      <c r="D57" s="246"/>
      <c r="E57" s="246"/>
      <c r="F57" s="23"/>
      <c r="G57" s="19"/>
      <c r="H57" s="19"/>
      <c r="I57" s="24"/>
    </row>
    <row r="58" spans="1:9">
      <c r="A58" s="246"/>
      <c r="B58" s="246"/>
      <c r="C58" s="246"/>
      <c r="D58" s="246"/>
      <c r="E58" s="246"/>
      <c r="F58" s="23"/>
      <c r="G58" s="19"/>
      <c r="H58" s="19"/>
      <c r="I58" s="24"/>
    </row>
    <row r="59" spans="1:9">
      <c r="A59" s="246"/>
      <c r="B59" s="246"/>
      <c r="C59" s="246"/>
      <c r="D59" s="246"/>
      <c r="E59" s="246"/>
      <c r="F59" s="23"/>
      <c r="G59" s="19"/>
      <c r="H59" s="19"/>
      <c r="I59" s="24">
        <f t="shared" ref="I59:I62" si="2">+G59*H59</f>
        <v>0</v>
      </c>
    </row>
    <row r="60" spans="1:9">
      <c r="A60" s="246"/>
      <c r="B60" s="246"/>
      <c r="C60" s="246"/>
      <c r="D60" s="246"/>
      <c r="E60" s="246"/>
      <c r="F60" s="23"/>
      <c r="G60" s="19"/>
      <c r="H60" s="19"/>
      <c r="I60" s="24">
        <f t="shared" si="2"/>
        <v>0</v>
      </c>
    </row>
    <row r="61" spans="1:9">
      <c r="A61" s="246"/>
      <c r="B61" s="246"/>
      <c r="C61" s="246"/>
      <c r="D61" s="246"/>
      <c r="E61" s="246"/>
      <c r="F61" s="23"/>
      <c r="G61" s="19"/>
      <c r="H61" s="19"/>
      <c r="I61" s="24">
        <f t="shared" si="2"/>
        <v>0</v>
      </c>
    </row>
    <row r="62" spans="1:9">
      <c r="A62" s="246"/>
      <c r="B62" s="246"/>
      <c r="C62" s="246"/>
      <c r="D62" s="246"/>
      <c r="E62" s="246"/>
      <c r="F62" s="23"/>
      <c r="G62" s="19"/>
      <c r="H62" s="19"/>
      <c r="I62" s="24">
        <f t="shared" si="2"/>
        <v>0</v>
      </c>
    </row>
    <row r="63" spans="1:9">
      <c r="A63" s="188" t="s">
        <v>58</v>
      </c>
      <c r="B63" s="188"/>
      <c r="C63" s="188"/>
      <c r="D63" s="188"/>
      <c r="E63" s="25" t="s">
        <v>59</v>
      </c>
      <c r="F63" s="16" t="s">
        <v>60</v>
      </c>
      <c r="G63" s="16" t="s">
        <v>61</v>
      </c>
      <c r="H63" s="16" t="s">
        <v>62</v>
      </c>
      <c r="I63" s="17" t="s">
        <v>56</v>
      </c>
    </row>
    <row r="64" spans="1:9">
      <c r="A64" s="246" t="s">
        <v>63</v>
      </c>
      <c r="B64" s="246"/>
      <c r="C64" s="246"/>
      <c r="D64" s="246"/>
      <c r="E64" s="26"/>
      <c r="F64" s="26">
        <v>6</v>
      </c>
      <c r="G64" s="26">
        <f>35000/F64</f>
        <v>5833.333333333333</v>
      </c>
      <c r="H64" s="26">
        <f>+G64*6</f>
        <v>35000</v>
      </c>
      <c r="I64" s="19">
        <f>+E64*G64</f>
        <v>0</v>
      </c>
    </row>
    <row r="65" spans="1:9">
      <c r="A65" s="246" t="s">
        <v>64</v>
      </c>
      <c r="B65" s="246"/>
      <c r="C65" s="246"/>
      <c r="D65" s="246"/>
      <c r="E65" s="26"/>
      <c r="F65" s="26"/>
      <c r="G65" s="26"/>
      <c r="H65" s="26"/>
      <c r="I65" s="19">
        <f>+E65*G65</f>
        <v>0</v>
      </c>
    </row>
    <row r="66" spans="1:9">
      <c r="A66" s="188" t="s">
        <v>65</v>
      </c>
      <c r="B66" s="188"/>
      <c r="C66" s="188"/>
      <c r="D66" s="188"/>
      <c r="E66" s="16" t="s">
        <v>55</v>
      </c>
      <c r="F66" s="189" t="s">
        <v>66</v>
      </c>
      <c r="G66" s="190"/>
      <c r="H66" s="27" t="s">
        <v>49</v>
      </c>
      <c r="I66" s="28" t="s">
        <v>56</v>
      </c>
    </row>
    <row r="67" spans="1:9">
      <c r="A67" s="187" t="str">
        <f>CUADRILLAS!B8</f>
        <v xml:space="preserve">CUADRILLA 3 </v>
      </c>
      <c r="B67" s="187"/>
      <c r="C67" s="187"/>
      <c r="D67" s="187"/>
      <c r="E67" s="19">
        <v>1</v>
      </c>
      <c r="F67" s="196">
        <f>CUADRILLAS!D8</f>
        <v>212500</v>
      </c>
      <c r="G67" s="196"/>
      <c r="H67" s="21">
        <v>5</v>
      </c>
      <c r="I67" s="24">
        <f>+(E67*F67)/H67</f>
        <v>42500</v>
      </c>
    </row>
    <row r="68" spans="1:9">
      <c r="A68" s="187"/>
      <c r="B68" s="187"/>
      <c r="C68" s="187"/>
      <c r="D68" s="187"/>
      <c r="E68" s="19"/>
      <c r="F68" s="196"/>
      <c r="G68" s="196"/>
      <c r="H68" s="21"/>
      <c r="I68" s="24"/>
    </row>
    <row r="69" spans="1:9">
      <c r="A69" s="197"/>
      <c r="B69" s="198"/>
      <c r="C69" s="198"/>
      <c r="D69" s="198"/>
      <c r="E69" s="199"/>
      <c r="F69" s="29" t="s">
        <v>36</v>
      </c>
      <c r="G69" s="30"/>
      <c r="H69" s="31"/>
      <c r="I69" s="32">
        <f>ROUND((SUM(I51:I68)),0)</f>
        <v>45825</v>
      </c>
    </row>
    <row r="70" spans="1:9">
      <c r="A70" s="12"/>
      <c r="B70" s="192"/>
      <c r="C70" s="193"/>
      <c r="D70" s="193"/>
      <c r="E70" s="193"/>
      <c r="F70" s="193"/>
      <c r="G70" s="193"/>
      <c r="H70" s="193"/>
      <c r="I70" s="194"/>
    </row>
    <row r="72" spans="1:9">
      <c r="A72" s="12" t="s">
        <v>43</v>
      </c>
      <c r="B72" s="192" t="str">
        <f>PRESUPUESTO!B8</f>
        <v>Retiro, Suministro e instalacion de canal interna de aguas lluvias en lamina galvanizada calibre 18, incluye primer, esmalte gris  y todos los elementos para su correcta instalacionv(zona de cuarto electrico, poli 1 y 2).</v>
      </c>
      <c r="C72" s="193"/>
      <c r="D72" s="193"/>
      <c r="E72" s="193"/>
      <c r="F72" s="193"/>
      <c r="G72" s="193"/>
      <c r="H72" s="193"/>
      <c r="I72" s="194"/>
    </row>
    <row r="73" spans="1:9">
      <c r="A73" s="13" t="s">
        <v>119</v>
      </c>
      <c r="B73" s="195"/>
      <c r="C73" s="195"/>
      <c r="D73" s="195"/>
      <c r="E73" s="195"/>
      <c r="F73" s="195"/>
      <c r="G73" s="195"/>
      <c r="H73" s="14" t="s">
        <v>45</v>
      </c>
      <c r="I73" s="15" t="s">
        <v>120</v>
      </c>
    </row>
    <row r="74" spans="1:9">
      <c r="A74" s="188" t="s">
        <v>47</v>
      </c>
      <c r="B74" s="188"/>
      <c r="C74" s="188"/>
      <c r="D74" s="188"/>
      <c r="E74" s="188"/>
      <c r="F74" s="16" t="s">
        <v>4</v>
      </c>
      <c r="G74" s="16" t="s">
        <v>48</v>
      </c>
      <c r="H74" s="16" t="s">
        <v>49</v>
      </c>
      <c r="I74" s="17" t="s">
        <v>50</v>
      </c>
    </row>
    <row r="75" spans="1:9">
      <c r="A75" s="246" t="s">
        <v>51</v>
      </c>
      <c r="B75" s="246"/>
      <c r="C75" s="246"/>
      <c r="D75" s="246"/>
      <c r="E75" s="246"/>
      <c r="F75" s="18"/>
      <c r="G75" s="18"/>
      <c r="H75" s="19"/>
      <c r="I75" s="20">
        <f>ROUND((SUM(I90:I91)*0.05),0)</f>
        <v>2763</v>
      </c>
    </row>
    <row r="76" spans="1:9">
      <c r="A76" s="246" t="s">
        <v>107</v>
      </c>
      <c r="B76" s="246"/>
      <c r="C76" s="246"/>
      <c r="D76" s="246"/>
      <c r="E76" s="246"/>
      <c r="F76" s="18">
        <v>2</v>
      </c>
      <c r="G76" s="18">
        <v>6000</v>
      </c>
      <c r="H76" s="21">
        <v>2</v>
      </c>
      <c r="I76" s="20">
        <f>+F76*G76/H76</f>
        <v>6000</v>
      </c>
    </row>
    <row r="77" spans="1:9">
      <c r="A77" s="248" t="s">
        <v>121</v>
      </c>
      <c r="B77" s="249"/>
      <c r="C77" s="249"/>
      <c r="D77" s="249"/>
      <c r="E77" s="250"/>
      <c r="F77" s="18">
        <v>1</v>
      </c>
      <c r="G77" s="18">
        <v>70000</v>
      </c>
      <c r="H77" s="21">
        <v>2</v>
      </c>
      <c r="I77" s="20">
        <f>+F77*G77/H77</f>
        <v>35000</v>
      </c>
    </row>
    <row r="78" spans="1:9">
      <c r="A78" s="188" t="s">
        <v>52</v>
      </c>
      <c r="B78" s="188"/>
      <c r="C78" s="188"/>
      <c r="D78" s="188"/>
      <c r="E78" s="188"/>
      <c r="F78" s="16" t="s">
        <v>53</v>
      </c>
      <c r="G78" s="22" t="s">
        <v>54</v>
      </c>
      <c r="H78" s="22" t="s">
        <v>55</v>
      </c>
      <c r="I78" s="17" t="s">
        <v>56</v>
      </c>
    </row>
    <row r="79" spans="1:9">
      <c r="A79" s="246" t="s">
        <v>122</v>
      </c>
      <c r="B79" s="246"/>
      <c r="C79" s="246"/>
      <c r="D79" s="246"/>
      <c r="E79" s="246"/>
      <c r="F79" s="23" t="s">
        <v>14</v>
      </c>
      <c r="G79" s="24">
        <v>40000</v>
      </c>
      <c r="H79" s="19">
        <v>1.05</v>
      </c>
      <c r="I79" s="24">
        <f>+H79*G79</f>
        <v>42000</v>
      </c>
    </row>
    <row r="80" spans="1:9">
      <c r="A80" s="248" t="s">
        <v>123</v>
      </c>
      <c r="B80" s="249"/>
      <c r="C80" s="249"/>
      <c r="D80" s="249"/>
      <c r="E80" s="250"/>
      <c r="F80" s="23" t="s">
        <v>124</v>
      </c>
      <c r="G80" s="19">
        <v>140000</v>
      </c>
      <c r="H80" s="19">
        <f>0.1</f>
        <v>0.1</v>
      </c>
      <c r="I80" s="24">
        <f>+H80*G80</f>
        <v>14000</v>
      </c>
    </row>
    <row r="81" spans="1:9">
      <c r="A81" s="248" t="s">
        <v>125</v>
      </c>
      <c r="B81" s="249"/>
      <c r="C81" s="249"/>
      <c r="D81" s="249"/>
      <c r="E81" s="250"/>
      <c r="F81" s="23" t="s">
        <v>124</v>
      </c>
      <c r="G81" s="19">
        <v>40000</v>
      </c>
      <c r="H81" s="19">
        <v>0.1</v>
      </c>
      <c r="I81" s="24">
        <f>+G81*H81</f>
        <v>4000</v>
      </c>
    </row>
    <row r="82" spans="1:9">
      <c r="A82" s="246" t="s">
        <v>126</v>
      </c>
      <c r="B82" s="246"/>
      <c r="C82" s="246"/>
      <c r="D82" s="246"/>
      <c r="E82" s="246"/>
      <c r="F82" s="23" t="s">
        <v>124</v>
      </c>
      <c r="G82" s="19">
        <v>20000</v>
      </c>
      <c r="H82" s="19">
        <v>0.1</v>
      </c>
      <c r="I82" s="24">
        <f t="shared" ref="I82:I85" si="3">+G82*H82</f>
        <v>2000</v>
      </c>
    </row>
    <row r="83" spans="1:9">
      <c r="A83" s="248"/>
      <c r="B83" s="249"/>
      <c r="C83" s="249"/>
      <c r="D83" s="249"/>
      <c r="E83" s="250"/>
      <c r="F83" s="23"/>
      <c r="G83" s="19"/>
      <c r="H83" s="19"/>
      <c r="I83" s="24">
        <f t="shared" si="3"/>
        <v>0</v>
      </c>
    </row>
    <row r="84" spans="1:9">
      <c r="A84" s="246"/>
      <c r="B84" s="246"/>
      <c r="C84" s="246"/>
      <c r="D84" s="246"/>
      <c r="E84" s="246"/>
      <c r="F84" s="23"/>
      <c r="G84" s="19"/>
      <c r="H84" s="19"/>
      <c r="I84" s="24">
        <f t="shared" si="3"/>
        <v>0</v>
      </c>
    </row>
    <row r="85" spans="1:9">
      <c r="A85" s="246"/>
      <c r="B85" s="246"/>
      <c r="C85" s="246"/>
      <c r="D85" s="246"/>
      <c r="E85" s="246"/>
      <c r="F85" s="23"/>
      <c r="G85" s="19"/>
      <c r="H85" s="19"/>
      <c r="I85" s="24">
        <f t="shared" si="3"/>
        <v>0</v>
      </c>
    </row>
    <row r="86" spans="1:9">
      <c r="A86" s="188" t="s">
        <v>58</v>
      </c>
      <c r="B86" s="188"/>
      <c r="C86" s="188"/>
      <c r="D86" s="188"/>
      <c r="E86" s="25" t="s">
        <v>59</v>
      </c>
      <c r="F86" s="16" t="s">
        <v>60</v>
      </c>
      <c r="G86" s="16" t="s">
        <v>61</v>
      </c>
      <c r="H86" s="16" t="s">
        <v>62</v>
      </c>
      <c r="I86" s="17" t="s">
        <v>56</v>
      </c>
    </row>
    <row r="87" spans="1:9">
      <c r="A87" s="246" t="s">
        <v>63</v>
      </c>
      <c r="B87" s="246"/>
      <c r="C87" s="246"/>
      <c r="D87" s="246"/>
      <c r="E87" s="26"/>
      <c r="F87" s="26">
        <v>6</v>
      </c>
      <c r="G87" s="26">
        <f>35000/F87</f>
        <v>5833.333333333333</v>
      </c>
      <c r="H87" s="26">
        <f>+G87*6</f>
        <v>35000</v>
      </c>
      <c r="I87" s="19">
        <f>+E87*G87</f>
        <v>0</v>
      </c>
    </row>
    <row r="88" spans="1:9">
      <c r="A88" s="246" t="s">
        <v>64</v>
      </c>
      <c r="B88" s="246"/>
      <c r="C88" s="246"/>
      <c r="D88" s="246"/>
      <c r="E88" s="26"/>
      <c r="F88" s="26"/>
      <c r="G88" s="26"/>
      <c r="H88" s="26"/>
      <c r="I88" s="19">
        <f>+E88*G88</f>
        <v>0</v>
      </c>
    </row>
    <row r="89" spans="1:9">
      <c r="A89" s="188" t="s">
        <v>65</v>
      </c>
      <c r="B89" s="188"/>
      <c r="C89" s="188"/>
      <c r="D89" s="188"/>
      <c r="E89" s="16" t="s">
        <v>55</v>
      </c>
      <c r="F89" s="189" t="s">
        <v>66</v>
      </c>
      <c r="G89" s="190"/>
      <c r="H89" s="27" t="s">
        <v>49</v>
      </c>
      <c r="I89" s="28" t="s">
        <v>56</v>
      </c>
    </row>
    <row r="90" spans="1:9">
      <c r="A90" s="187" t="s">
        <v>127</v>
      </c>
      <c r="B90" s="187"/>
      <c r="C90" s="187"/>
      <c r="D90" s="187"/>
      <c r="E90" s="19">
        <v>1</v>
      </c>
      <c r="F90" s="196">
        <f>80000*1.7+50000*1.7</f>
        <v>221000</v>
      </c>
      <c r="G90" s="196"/>
      <c r="H90" s="21">
        <v>4</v>
      </c>
      <c r="I90" s="24">
        <f>+E90*F90/H90</f>
        <v>55250</v>
      </c>
    </row>
    <row r="91" spans="1:9">
      <c r="A91" s="187"/>
      <c r="B91" s="187"/>
      <c r="C91" s="187"/>
      <c r="D91" s="187"/>
      <c r="E91" s="19"/>
      <c r="F91" s="196"/>
      <c r="G91" s="196"/>
      <c r="H91" s="21"/>
      <c r="I91" s="24"/>
    </row>
    <row r="92" spans="1:9">
      <c r="A92" s="197"/>
      <c r="B92" s="198"/>
      <c r="C92" s="198"/>
      <c r="D92" s="198"/>
      <c r="E92" s="199"/>
      <c r="F92" s="29" t="s">
        <v>36</v>
      </c>
      <c r="G92" s="30"/>
      <c r="H92" s="31"/>
      <c r="I92" s="33">
        <f>ROUND((SUM(I75:I91)),0)</f>
        <v>161013</v>
      </c>
    </row>
    <row r="93" spans="1:9">
      <c r="A93" s="83"/>
      <c r="B93" s="83"/>
      <c r="C93" s="83"/>
      <c r="D93" s="83"/>
      <c r="E93" s="83"/>
      <c r="F93" s="84"/>
      <c r="G93" s="85"/>
      <c r="H93" s="86"/>
      <c r="I93" s="87"/>
    </row>
    <row r="94" spans="1:9">
      <c r="A94" s="12" t="s">
        <v>43</v>
      </c>
      <c r="B94" s="192" t="str">
        <f>PRESUPUESTO!B9</f>
        <v>Suministro  y aplicación anticorrosivo y esmalte en la estructura de reforzamiento del pasillo, tres manos o las necesarias para obtener una superficie pareja y homogénea. Incluye suministro y transporte de los materiales, tapa poros, adecuación de la superficie a intervenir hasta obtener una superficie pareja y homogénea, color a definir</v>
      </c>
      <c r="C94" s="193"/>
      <c r="D94" s="193"/>
      <c r="E94" s="193"/>
      <c r="F94" s="193"/>
      <c r="G94" s="193"/>
      <c r="H94" s="193"/>
      <c r="I94" s="194"/>
    </row>
    <row r="95" spans="1:9">
      <c r="A95" s="13" t="s">
        <v>119</v>
      </c>
      <c r="B95" s="195"/>
      <c r="C95" s="195"/>
      <c r="D95" s="195"/>
      <c r="E95" s="195"/>
      <c r="F95" s="195"/>
      <c r="G95" s="195"/>
      <c r="H95" s="14" t="s">
        <v>45</v>
      </c>
      <c r="I95" s="15" t="s">
        <v>17</v>
      </c>
    </row>
    <row r="96" spans="1:9">
      <c r="A96" s="188" t="s">
        <v>47</v>
      </c>
      <c r="B96" s="188"/>
      <c r="C96" s="188"/>
      <c r="D96" s="188"/>
      <c r="E96" s="188"/>
      <c r="F96" s="16" t="s">
        <v>4</v>
      </c>
      <c r="G96" s="16" t="s">
        <v>48</v>
      </c>
      <c r="H96" s="16" t="s">
        <v>49</v>
      </c>
      <c r="I96" s="17" t="s">
        <v>50</v>
      </c>
    </row>
    <row r="97" spans="1:9">
      <c r="A97" s="246" t="s">
        <v>51</v>
      </c>
      <c r="B97" s="246"/>
      <c r="C97" s="246"/>
      <c r="D97" s="246"/>
      <c r="E97" s="246"/>
      <c r="F97" s="18"/>
      <c r="G97" s="18"/>
      <c r="H97" s="19"/>
      <c r="I97" s="20">
        <f>ROUND((SUM(I111:I112)*0.05),0)</f>
        <v>19429</v>
      </c>
    </row>
    <row r="98" spans="1:9">
      <c r="A98" s="246" t="s">
        <v>107</v>
      </c>
      <c r="B98" s="246"/>
      <c r="C98" s="246"/>
      <c r="D98" s="246"/>
      <c r="E98" s="246"/>
      <c r="F98" s="18">
        <v>2</v>
      </c>
      <c r="G98" s="18">
        <v>6000</v>
      </c>
      <c r="H98" s="21">
        <v>2</v>
      </c>
      <c r="I98" s="20">
        <f>+F98*G98/H98</f>
        <v>6000</v>
      </c>
    </row>
    <row r="99" spans="1:9">
      <c r="A99" s="248"/>
      <c r="B99" s="249"/>
      <c r="C99" s="249"/>
      <c r="D99" s="249"/>
      <c r="E99" s="250"/>
      <c r="F99" s="18"/>
      <c r="G99" s="18"/>
      <c r="H99" s="21"/>
      <c r="I99" s="20"/>
    </row>
    <row r="100" spans="1:9">
      <c r="A100" s="188" t="s">
        <v>52</v>
      </c>
      <c r="B100" s="188"/>
      <c r="C100" s="188"/>
      <c r="D100" s="188"/>
      <c r="E100" s="188"/>
      <c r="F100" s="16" t="s">
        <v>53</v>
      </c>
      <c r="G100" s="22" t="s">
        <v>54</v>
      </c>
      <c r="H100" s="22" t="s">
        <v>55</v>
      </c>
      <c r="I100" s="17" t="s">
        <v>56</v>
      </c>
    </row>
    <row r="101" spans="1:9">
      <c r="A101" s="248" t="s">
        <v>128</v>
      </c>
      <c r="B101" s="249"/>
      <c r="C101" s="249"/>
      <c r="D101" s="249"/>
      <c r="E101" s="250"/>
      <c r="F101" s="23" t="s">
        <v>124</v>
      </c>
      <c r="G101" s="19">
        <v>110000</v>
      </c>
      <c r="H101" s="19">
        <v>1</v>
      </c>
      <c r="I101" s="24">
        <f>+H101*G101</f>
        <v>110000</v>
      </c>
    </row>
    <row r="102" spans="1:9">
      <c r="A102" s="248" t="s">
        <v>125</v>
      </c>
      <c r="B102" s="249"/>
      <c r="C102" s="249"/>
      <c r="D102" s="249"/>
      <c r="E102" s="250"/>
      <c r="F102" s="23" t="s">
        <v>124</v>
      </c>
      <c r="G102" s="19">
        <v>70000</v>
      </c>
      <c r="H102" s="19">
        <v>1</v>
      </c>
      <c r="I102" s="24">
        <f>+G102*H102</f>
        <v>70000</v>
      </c>
    </row>
    <row r="103" spans="1:9">
      <c r="A103" s="246" t="s">
        <v>126</v>
      </c>
      <c r="B103" s="246"/>
      <c r="C103" s="246"/>
      <c r="D103" s="246"/>
      <c r="E103" s="246"/>
      <c r="F103" s="23" t="s">
        <v>124</v>
      </c>
      <c r="G103" s="19">
        <v>32000</v>
      </c>
      <c r="H103" s="19">
        <v>2</v>
      </c>
      <c r="I103" s="24">
        <f t="shared" ref="I103:I106" si="4">+G103*H103</f>
        <v>64000</v>
      </c>
    </row>
    <row r="104" spans="1:9">
      <c r="A104" s="248" t="s">
        <v>129</v>
      </c>
      <c r="B104" s="249"/>
      <c r="C104" s="249"/>
      <c r="D104" s="249"/>
      <c r="E104" s="250"/>
      <c r="F104" s="23" t="s">
        <v>84</v>
      </c>
      <c r="G104" s="19">
        <v>1500</v>
      </c>
      <c r="H104" s="19">
        <v>10</v>
      </c>
      <c r="I104" s="24">
        <f t="shared" si="4"/>
        <v>15000</v>
      </c>
    </row>
    <row r="105" spans="1:9">
      <c r="A105" s="246"/>
      <c r="B105" s="246"/>
      <c r="C105" s="246"/>
      <c r="D105" s="246"/>
      <c r="E105" s="246"/>
      <c r="F105" s="23"/>
      <c r="G105" s="19"/>
      <c r="H105" s="19"/>
      <c r="I105" s="24">
        <f t="shared" si="4"/>
        <v>0</v>
      </c>
    </row>
    <row r="106" spans="1:9">
      <c r="A106" s="246"/>
      <c r="B106" s="246"/>
      <c r="C106" s="246"/>
      <c r="D106" s="246"/>
      <c r="E106" s="246"/>
      <c r="F106" s="23"/>
      <c r="G106" s="19"/>
      <c r="H106" s="19"/>
      <c r="I106" s="24">
        <f t="shared" si="4"/>
        <v>0</v>
      </c>
    </row>
    <row r="107" spans="1:9">
      <c r="A107" s="188" t="s">
        <v>58</v>
      </c>
      <c r="B107" s="188"/>
      <c r="C107" s="188"/>
      <c r="D107" s="188"/>
      <c r="E107" s="25" t="s">
        <v>59</v>
      </c>
      <c r="F107" s="16" t="s">
        <v>60</v>
      </c>
      <c r="G107" s="16" t="s">
        <v>61</v>
      </c>
      <c r="H107" s="16" t="s">
        <v>62</v>
      </c>
      <c r="I107" s="17" t="s">
        <v>56</v>
      </c>
    </row>
    <row r="108" spans="1:9">
      <c r="A108" s="246" t="s">
        <v>63</v>
      </c>
      <c r="B108" s="246"/>
      <c r="C108" s="246"/>
      <c r="D108" s="246"/>
      <c r="E108" s="26"/>
      <c r="F108" s="26">
        <v>6</v>
      </c>
      <c r="G108" s="26">
        <f>35000/F108</f>
        <v>5833.333333333333</v>
      </c>
      <c r="H108" s="26">
        <f>+G108*6</f>
        <v>35000</v>
      </c>
      <c r="I108" s="19">
        <f>+E108*G108</f>
        <v>0</v>
      </c>
    </row>
    <row r="109" spans="1:9">
      <c r="A109" s="246" t="s">
        <v>64</v>
      </c>
      <c r="B109" s="246"/>
      <c r="C109" s="246"/>
      <c r="D109" s="246"/>
      <c r="E109" s="26"/>
      <c r="F109" s="26"/>
      <c r="G109" s="26"/>
      <c r="H109" s="26"/>
      <c r="I109" s="19">
        <f>+E109*G109</f>
        <v>0</v>
      </c>
    </row>
    <row r="110" spans="1:9">
      <c r="A110" s="188" t="s">
        <v>65</v>
      </c>
      <c r="B110" s="188"/>
      <c r="C110" s="188"/>
      <c r="D110" s="188"/>
      <c r="E110" s="16" t="s">
        <v>55</v>
      </c>
      <c r="F110" s="189" t="s">
        <v>66</v>
      </c>
      <c r="G110" s="190"/>
      <c r="H110" s="27" t="s">
        <v>49</v>
      </c>
      <c r="I110" s="28" t="s">
        <v>56</v>
      </c>
    </row>
    <row r="111" spans="1:9">
      <c r="A111" s="187" t="s">
        <v>130</v>
      </c>
      <c r="B111" s="187"/>
      <c r="C111" s="187"/>
      <c r="D111" s="187"/>
      <c r="E111" s="19">
        <v>1</v>
      </c>
      <c r="F111" s="196">
        <f>80000*1.7</f>
        <v>136000</v>
      </c>
      <c r="G111" s="196"/>
      <c r="H111" s="21">
        <v>0.35</v>
      </c>
      <c r="I111" s="24">
        <f>+E111*F111/H111</f>
        <v>388571.42857142858</v>
      </c>
    </row>
    <row r="112" spans="1:9">
      <c r="A112" s="187"/>
      <c r="B112" s="187"/>
      <c r="C112" s="187"/>
      <c r="D112" s="187"/>
      <c r="E112" s="19"/>
      <c r="F112" s="196"/>
      <c r="G112" s="196"/>
      <c r="H112" s="21"/>
      <c r="I112" s="24"/>
    </row>
    <row r="113" spans="1:9">
      <c r="A113" s="197"/>
      <c r="B113" s="198"/>
      <c r="C113" s="198"/>
      <c r="D113" s="198"/>
      <c r="E113" s="199"/>
      <c r="F113" s="29" t="s">
        <v>36</v>
      </c>
      <c r="G113" s="30"/>
      <c r="H113" s="31"/>
      <c r="I113" s="33">
        <f>ROUND((SUM(I97:I112)),0)</f>
        <v>673000</v>
      </c>
    </row>
    <row r="114" spans="1:9">
      <c r="A114" s="83"/>
      <c r="B114" s="83"/>
      <c r="C114" s="83"/>
      <c r="D114" s="83"/>
      <c r="E114" s="83"/>
      <c r="F114" s="84"/>
      <c r="G114" s="85"/>
      <c r="H114" s="86"/>
      <c r="I114" s="87"/>
    </row>
    <row r="115" spans="1:9">
      <c r="A115" s="53"/>
      <c r="B115" s="53"/>
      <c r="C115" s="53"/>
      <c r="D115" s="53"/>
      <c r="E115" s="53"/>
      <c r="F115" s="53"/>
      <c r="G115" s="53"/>
      <c r="H115" s="53"/>
      <c r="I115" s="53"/>
    </row>
    <row r="116" spans="1:9">
      <c r="A116" s="12" t="s">
        <v>43</v>
      </c>
      <c r="B116" s="192" t="str">
        <f>PRESUPUESTO!B11</f>
        <v>Suministro e instalacion de soportes metalicos en angulo de 2" por 1/4" para lavamanos, bateria de baños de aprendices, incluye pintura, anticorrosivo y todos los elementos para su correcta instalcion.</v>
      </c>
      <c r="C116" s="193"/>
      <c r="D116" s="193"/>
      <c r="E116" s="193"/>
      <c r="F116" s="193"/>
      <c r="G116" s="193"/>
      <c r="H116" s="193"/>
      <c r="I116" s="194"/>
    </row>
    <row r="117" spans="1:9">
      <c r="A117" s="13" t="s">
        <v>119</v>
      </c>
      <c r="B117" s="195"/>
      <c r="C117" s="195"/>
      <c r="D117" s="195"/>
      <c r="E117" s="195"/>
      <c r="F117" s="195"/>
      <c r="G117" s="195"/>
      <c r="H117" s="14" t="s">
        <v>45</v>
      </c>
      <c r="I117" s="15" t="s">
        <v>17</v>
      </c>
    </row>
    <row r="118" spans="1:9" ht="15" customHeight="1">
      <c r="A118" s="188" t="s">
        <v>47</v>
      </c>
      <c r="B118" s="188"/>
      <c r="C118" s="188"/>
      <c r="D118" s="188"/>
      <c r="E118" s="188"/>
      <c r="F118" s="16" t="s">
        <v>4</v>
      </c>
      <c r="G118" s="16" t="s">
        <v>48</v>
      </c>
      <c r="H118" s="16" t="s">
        <v>49</v>
      </c>
      <c r="I118" s="17" t="s">
        <v>50</v>
      </c>
    </row>
    <row r="119" spans="1:9" ht="16.5" customHeight="1">
      <c r="A119" s="246" t="s">
        <v>51</v>
      </c>
      <c r="B119" s="246"/>
      <c r="C119" s="246"/>
      <c r="D119" s="246"/>
      <c r="E119" s="246"/>
      <c r="F119" s="18"/>
      <c r="G119" s="18"/>
      <c r="H119" s="19"/>
      <c r="I119" s="20">
        <f>ROUND((SUM(I134:I135)*0.05),0)</f>
        <v>17000</v>
      </c>
    </row>
    <row r="120" spans="1:9">
      <c r="A120" s="246"/>
      <c r="B120" s="246"/>
      <c r="C120" s="246"/>
      <c r="D120" s="246"/>
      <c r="E120" s="246"/>
      <c r="F120" s="18"/>
      <c r="G120" s="18"/>
      <c r="H120" s="21"/>
      <c r="I120" s="20"/>
    </row>
    <row r="121" spans="1:9">
      <c r="A121" s="248"/>
      <c r="B121" s="249"/>
      <c r="C121" s="249"/>
      <c r="D121" s="249"/>
      <c r="E121" s="250"/>
      <c r="F121" s="18"/>
      <c r="G121" s="18"/>
      <c r="H121" s="21"/>
      <c r="I121" s="20"/>
    </row>
    <row r="122" spans="1:9">
      <c r="A122" s="188" t="s">
        <v>52</v>
      </c>
      <c r="B122" s="188"/>
      <c r="C122" s="188"/>
      <c r="D122" s="188"/>
      <c r="E122" s="188"/>
      <c r="F122" s="16" t="s">
        <v>53</v>
      </c>
      <c r="G122" s="22" t="s">
        <v>54</v>
      </c>
      <c r="H122" s="22" t="s">
        <v>55</v>
      </c>
      <c r="I122" s="17" t="s">
        <v>56</v>
      </c>
    </row>
    <row r="123" spans="1:9">
      <c r="A123" s="248" t="s">
        <v>131</v>
      </c>
      <c r="B123" s="249"/>
      <c r="C123" s="249"/>
      <c r="D123" s="249"/>
      <c r="E123" s="250"/>
      <c r="F123" s="23" t="s">
        <v>84</v>
      </c>
      <c r="G123" s="19">
        <v>160000</v>
      </c>
      <c r="H123" s="19">
        <v>1.5</v>
      </c>
      <c r="I123" s="24">
        <f>+H123*G123</f>
        <v>240000</v>
      </c>
    </row>
    <row r="124" spans="1:9">
      <c r="A124" s="248" t="s">
        <v>128</v>
      </c>
      <c r="B124" s="249"/>
      <c r="C124" s="249"/>
      <c r="D124" s="249"/>
      <c r="E124" s="250"/>
      <c r="F124" s="23" t="s">
        <v>124</v>
      </c>
      <c r="G124" s="19">
        <v>80000</v>
      </c>
      <c r="H124" s="19">
        <v>0.5</v>
      </c>
      <c r="I124" s="24">
        <f>+H124*G124</f>
        <v>40000</v>
      </c>
    </row>
    <row r="125" spans="1:9">
      <c r="A125" s="248" t="s">
        <v>125</v>
      </c>
      <c r="B125" s="249"/>
      <c r="C125" s="249"/>
      <c r="D125" s="249"/>
      <c r="E125" s="250"/>
      <c r="F125" s="23" t="s">
        <v>124</v>
      </c>
      <c r="G125" s="19">
        <v>70000</v>
      </c>
      <c r="H125" s="19">
        <v>0.5</v>
      </c>
      <c r="I125" s="24">
        <f>+G125*H125</f>
        <v>35000</v>
      </c>
    </row>
    <row r="126" spans="1:9" ht="15" customHeight="1">
      <c r="A126" s="246" t="s">
        <v>126</v>
      </c>
      <c r="B126" s="246"/>
      <c r="C126" s="246"/>
      <c r="D126" s="246"/>
      <c r="E126" s="246"/>
      <c r="F126" s="23" t="s">
        <v>124</v>
      </c>
      <c r="G126" s="19">
        <v>30000</v>
      </c>
      <c r="H126" s="19">
        <v>2</v>
      </c>
      <c r="I126" s="24">
        <f t="shared" ref="I126" si="5">+G126*H126</f>
        <v>60000</v>
      </c>
    </row>
    <row r="127" spans="1:9" ht="15" customHeight="1">
      <c r="A127" s="248" t="s">
        <v>132</v>
      </c>
      <c r="B127" s="249"/>
      <c r="C127" s="249"/>
      <c r="D127" s="249"/>
      <c r="E127" s="250"/>
      <c r="F127" s="23" t="s">
        <v>133</v>
      </c>
      <c r="G127" s="19">
        <v>14000</v>
      </c>
      <c r="H127" s="19">
        <v>0.5</v>
      </c>
      <c r="I127" s="24">
        <f t="shared" ref="I127:I129" si="6">+G127*H127</f>
        <v>7000</v>
      </c>
    </row>
    <row r="128" spans="1:9">
      <c r="A128" s="246"/>
      <c r="B128" s="246"/>
      <c r="C128" s="246"/>
      <c r="D128" s="246"/>
      <c r="E128" s="246"/>
      <c r="F128" s="23"/>
      <c r="G128" s="19"/>
      <c r="H128" s="19"/>
      <c r="I128" s="24">
        <f t="shared" si="6"/>
        <v>0</v>
      </c>
    </row>
    <row r="129" spans="1:9">
      <c r="A129" s="246"/>
      <c r="B129" s="246"/>
      <c r="C129" s="246"/>
      <c r="D129" s="246"/>
      <c r="E129" s="246"/>
      <c r="F129" s="23"/>
      <c r="G129" s="19"/>
      <c r="H129" s="19"/>
      <c r="I129" s="24">
        <f t="shared" si="6"/>
        <v>0</v>
      </c>
    </row>
    <row r="130" spans="1:9">
      <c r="A130" s="188" t="s">
        <v>58</v>
      </c>
      <c r="B130" s="188"/>
      <c r="C130" s="188"/>
      <c r="D130" s="188"/>
      <c r="E130" s="25" t="s">
        <v>59</v>
      </c>
      <c r="F130" s="16" t="s">
        <v>60</v>
      </c>
      <c r="G130" s="16" t="s">
        <v>61</v>
      </c>
      <c r="H130" s="16" t="s">
        <v>62</v>
      </c>
      <c r="I130" s="17" t="s">
        <v>56</v>
      </c>
    </row>
    <row r="131" spans="1:9">
      <c r="A131" s="246" t="s">
        <v>63</v>
      </c>
      <c r="B131" s="246"/>
      <c r="C131" s="246"/>
      <c r="D131" s="246"/>
      <c r="E131" s="26"/>
      <c r="F131" s="26"/>
      <c r="G131" s="26"/>
      <c r="H131" s="26"/>
      <c r="I131" s="19">
        <f>+E131*G131</f>
        <v>0</v>
      </c>
    </row>
    <row r="132" spans="1:9">
      <c r="A132" s="246" t="s">
        <v>64</v>
      </c>
      <c r="B132" s="246"/>
      <c r="C132" s="246"/>
      <c r="D132" s="246"/>
      <c r="E132" s="26"/>
      <c r="F132" s="26"/>
      <c r="G132" s="26"/>
      <c r="H132" s="26"/>
      <c r="I132" s="19">
        <f>+E132*G132</f>
        <v>0</v>
      </c>
    </row>
    <row r="133" spans="1:9">
      <c r="A133" s="188" t="s">
        <v>65</v>
      </c>
      <c r="B133" s="188"/>
      <c r="C133" s="188"/>
      <c r="D133" s="188"/>
      <c r="E133" s="16" t="s">
        <v>55</v>
      </c>
      <c r="F133" s="189" t="s">
        <v>66</v>
      </c>
      <c r="G133" s="190"/>
      <c r="H133" s="27" t="s">
        <v>49</v>
      </c>
      <c r="I133" s="28" t="s">
        <v>56</v>
      </c>
    </row>
    <row r="134" spans="1:9">
      <c r="A134" s="187" t="s">
        <v>134</v>
      </c>
      <c r="B134" s="187"/>
      <c r="C134" s="187"/>
      <c r="D134" s="187"/>
      <c r="E134" s="19">
        <v>1</v>
      </c>
      <c r="F134" s="196">
        <f>90000*1.7+50000*1.7</f>
        <v>238000</v>
      </c>
      <c r="G134" s="196"/>
      <c r="H134" s="21">
        <v>0.7</v>
      </c>
      <c r="I134" s="24">
        <f>+E134*F134/H134</f>
        <v>340000</v>
      </c>
    </row>
    <row r="135" spans="1:9">
      <c r="A135" s="187"/>
      <c r="B135" s="187"/>
      <c r="C135" s="187"/>
      <c r="D135" s="187"/>
      <c r="E135" s="19"/>
      <c r="F135" s="196"/>
      <c r="G135" s="196"/>
      <c r="H135" s="21"/>
      <c r="I135" s="24"/>
    </row>
    <row r="136" spans="1:9">
      <c r="A136" s="197"/>
      <c r="B136" s="198"/>
      <c r="C136" s="198"/>
      <c r="D136" s="198"/>
      <c r="E136" s="199"/>
      <c r="F136" s="29" t="s">
        <v>36</v>
      </c>
      <c r="G136" s="30"/>
      <c r="H136" s="31"/>
      <c r="I136" s="33">
        <f>ROUND((SUM(I119:I135)),0)</f>
        <v>739000</v>
      </c>
    </row>
    <row r="137" spans="1:9">
      <c r="A137" s="83"/>
      <c r="B137" s="83"/>
      <c r="C137" s="83"/>
      <c r="D137" s="83"/>
      <c r="E137" s="83"/>
      <c r="F137" s="84"/>
      <c r="G137" s="85"/>
      <c r="H137" s="86"/>
      <c r="I137" s="87"/>
    </row>
    <row r="138" spans="1:9">
      <c r="A138" s="12" t="s">
        <v>43</v>
      </c>
      <c r="B138" s="192" t="str">
        <f>PRESUPUESTO!B12</f>
        <v>Manteniemiento correctivo de de divisiones en aceroo inoxidable bateria de baños de aprendices, incluye cambio de bisagras, anclajes y todos los elementos necesarios para su correcta instalacion.</v>
      </c>
      <c r="C138" s="193"/>
      <c r="D138" s="193"/>
      <c r="E138" s="193"/>
      <c r="F138" s="193"/>
      <c r="G138" s="193"/>
      <c r="H138" s="193"/>
      <c r="I138" s="194"/>
    </row>
    <row r="139" spans="1:9">
      <c r="A139" s="13" t="s">
        <v>119</v>
      </c>
      <c r="B139" s="195"/>
      <c r="C139" s="195"/>
      <c r="D139" s="195"/>
      <c r="E139" s="195"/>
      <c r="F139" s="195"/>
      <c r="G139" s="195"/>
      <c r="H139" s="14" t="s">
        <v>45</v>
      </c>
      <c r="I139" s="15" t="s">
        <v>17</v>
      </c>
    </row>
    <row r="140" spans="1:9">
      <c r="A140" s="188" t="s">
        <v>47</v>
      </c>
      <c r="B140" s="188"/>
      <c r="C140" s="188"/>
      <c r="D140" s="188"/>
      <c r="E140" s="188"/>
      <c r="F140" s="16" t="s">
        <v>4</v>
      </c>
      <c r="G140" s="16" t="s">
        <v>48</v>
      </c>
      <c r="H140" s="16" t="s">
        <v>49</v>
      </c>
      <c r="I140" s="17" t="s">
        <v>50</v>
      </c>
    </row>
    <row r="141" spans="1:9">
      <c r="A141" s="246" t="s">
        <v>51</v>
      </c>
      <c r="B141" s="246"/>
      <c r="C141" s="246"/>
      <c r="D141" s="246"/>
      <c r="E141" s="246"/>
      <c r="F141" s="18"/>
      <c r="G141" s="18"/>
      <c r="H141" s="19"/>
      <c r="I141" s="20">
        <f>ROUND((SUM(I156:I157)*0.05),0)</f>
        <v>23800</v>
      </c>
    </row>
    <row r="142" spans="1:9">
      <c r="A142" s="246"/>
      <c r="B142" s="246"/>
      <c r="C142" s="246"/>
      <c r="D142" s="246"/>
      <c r="E142" s="246"/>
      <c r="F142" s="18"/>
      <c r="G142" s="18"/>
      <c r="H142" s="21"/>
      <c r="I142" s="20"/>
    </row>
    <row r="143" spans="1:9">
      <c r="A143" s="248"/>
      <c r="B143" s="249"/>
      <c r="C143" s="249"/>
      <c r="D143" s="249"/>
      <c r="E143" s="250"/>
      <c r="F143" s="18"/>
      <c r="G143" s="18"/>
      <c r="H143" s="21"/>
      <c r="I143" s="20"/>
    </row>
    <row r="144" spans="1:9">
      <c r="A144" s="188" t="s">
        <v>52</v>
      </c>
      <c r="B144" s="188"/>
      <c r="C144" s="188"/>
      <c r="D144" s="188"/>
      <c r="E144" s="188"/>
      <c r="F144" s="16" t="s">
        <v>53</v>
      </c>
      <c r="G144" s="22" t="s">
        <v>54</v>
      </c>
      <c r="H144" s="22" t="s">
        <v>55</v>
      </c>
      <c r="I144" s="17" t="s">
        <v>56</v>
      </c>
    </row>
    <row r="145" spans="1:9">
      <c r="A145" s="248" t="s">
        <v>135</v>
      </c>
      <c r="B145" s="249"/>
      <c r="C145" s="249"/>
      <c r="D145" s="249"/>
      <c r="E145" s="250"/>
      <c r="F145" s="23" t="s">
        <v>84</v>
      </c>
      <c r="G145" s="19">
        <v>500000</v>
      </c>
      <c r="H145" s="19">
        <v>1</v>
      </c>
      <c r="I145" s="24">
        <f>G145*H145</f>
        <v>500000</v>
      </c>
    </row>
    <row r="146" spans="1:9">
      <c r="A146" s="248"/>
      <c r="B146" s="249"/>
      <c r="C146" s="249"/>
      <c r="D146" s="249"/>
      <c r="E146" s="250"/>
      <c r="F146" s="23"/>
      <c r="G146" s="19"/>
      <c r="H146" s="19"/>
      <c r="I146" s="24"/>
    </row>
    <row r="147" spans="1:9">
      <c r="A147" s="248"/>
      <c r="B147" s="249"/>
      <c r="C147" s="249"/>
      <c r="D147" s="249"/>
      <c r="E147" s="250"/>
      <c r="F147" s="23"/>
      <c r="G147" s="19"/>
      <c r="H147" s="19"/>
      <c r="I147" s="24"/>
    </row>
    <row r="148" spans="1:9">
      <c r="A148" s="246"/>
      <c r="B148" s="246"/>
      <c r="C148" s="246"/>
      <c r="D148" s="246"/>
      <c r="E148" s="246"/>
      <c r="F148" s="23"/>
      <c r="G148" s="19"/>
      <c r="H148" s="19"/>
      <c r="I148" s="24"/>
    </row>
    <row r="149" spans="1:9">
      <c r="A149" s="248"/>
      <c r="B149" s="249"/>
      <c r="C149" s="249"/>
      <c r="D149" s="249"/>
      <c r="E149" s="250"/>
      <c r="F149" s="23"/>
      <c r="G149" s="19"/>
      <c r="H149" s="19"/>
      <c r="I149" s="24"/>
    </row>
    <row r="150" spans="1:9">
      <c r="A150" s="246"/>
      <c r="B150" s="246"/>
      <c r="C150" s="246"/>
      <c r="D150" s="246"/>
      <c r="E150" s="246"/>
      <c r="F150" s="23"/>
      <c r="G150" s="19"/>
      <c r="H150" s="19"/>
      <c r="I150" s="24">
        <f t="shared" ref="I150:I151" si="7">+G150*H150</f>
        <v>0</v>
      </c>
    </row>
    <row r="151" spans="1:9">
      <c r="A151" s="246"/>
      <c r="B151" s="246"/>
      <c r="C151" s="246"/>
      <c r="D151" s="246"/>
      <c r="E151" s="246"/>
      <c r="F151" s="23"/>
      <c r="G151" s="19"/>
      <c r="H151" s="19"/>
      <c r="I151" s="24">
        <f t="shared" si="7"/>
        <v>0</v>
      </c>
    </row>
    <row r="152" spans="1:9">
      <c r="A152" s="188" t="s">
        <v>58</v>
      </c>
      <c r="B152" s="188"/>
      <c r="C152" s="188"/>
      <c r="D152" s="188"/>
      <c r="E152" s="25" t="s">
        <v>59</v>
      </c>
      <c r="F152" s="16" t="s">
        <v>60</v>
      </c>
      <c r="G152" s="16" t="s">
        <v>61</v>
      </c>
      <c r="H152" s="16" t="s">
        <v>62</v>
      </c>
      <c r="I152" s="17" t="s">
        <v>56</v>
      </c>
    </row>
    <row r="153" spans="1:9">
      <c r="A153" s="246" t="s">
        <v>63</v>
      </c>
      <c r="B153" s="246"/>
      <c r="C153" s="246"/>
      <c r="D153" s="246"/>
      <c r="E153" s="26"/>
      <c r="F153" s="26"/>
      <c r="G153" s="26"/>
      <c r="H153" s="26"/>
      <c r="I153" s="19">
        <f>+E153*G153</f>
        <v>0</v>
      </c>
    </row>
    <row r="154" spans="1:9">
      <c r="A154" s="246" t="s">
        <v>64</v>
      </c>
      <c r="B154" s="246"/>
      <c r="C154" s="246"/>
      <c r="D154" s="246"/>
      <c r="E154" s="26"/>
      <c r="F154" s="26"/>
      <c r="G154" s="26"/>
      <c r="H154" s="26"/>
      <c r="I154" s="19">
        <f>+E154*G154</f>
        <v>0</v>
      </c>
    </row>
    <row r="155" spans="1:9">
      <c r="A155" s="188" t="s">
        <v>65</v>
      </c>
      <c r="B155" s="188"/>
      <c r="C155" s="188"/>
      <c r="D155" s="188"/>
      <c r="E155" s="16" t="s">
        <v>55</v>
      </c>
      <c r="F155" s="189" t="s">
        <v>66</v>
      </c>
      <c r="G155" s="190"/>
      <c r="H155" s="27" t="s">
        <v>49</v>
      </c>
      <c r="I155" s="28" t="s">
        <v>56</v>
      </c>
    </row>
    <row r="156" spans="1:9">
      <c r="A156" s="187" t="s">
        <v>134</v>
      </c>
      <c r="B156" s="187"/>
      <c r="C156" s="187"/>
      <c r="D156" s="187"/>
      <c r="E156" s="19">
        <v>1</v>
      </c>
      <c r="F156" s="196">
        <f>90000*1.7+50000*1.7</f>
        <v>238000</v>
      </c>
      <c r="G156" s="196"/>
      <c r="H156" s="21">
        <v>0.5</v>
      </c>
      <c r="I156" s="24">
        <f>+E156*F156/H156</f>
        <v>476000</v>
      </c>
    </row>
    <row r="157" spans="1:9">
      <c r="A157" s="187"/>
      <c r="B157" s="187"/>
      <c r="C157" s="187"/>
      <c r="D157" s="187"/>
      <c r="E157" s="19"/>
      <c r="F157" s="196"/>
      <c r="G157" s="196"/>
      <c r="H157" s="21"/>
      <c r="I157" s="24"/>
    </row>
    <row r="158" spans="1:9">
      <c r="A158" s="197"/>
      <c r="B158" s="198"/>
      <c r="C158" s="198"/>
      <c r="D158" s="198"/>
      <c r="E158" s="199"/>
      <c r="F158" s="29" t="s">
        <v>36</v>
      </c>
      <c r="G158" s="30"/>
      <c r="H158" s="31"/>
      <c r="I158" s="33">
        <f>ROUND((SUM(I141:I157)),0)</f>
        <v>999800</v>
      </c>
    </row>
    <row r="159" spans="1:9">
      <c r="A159" s="83"/>
      <c r="B159" s="83"/>
      <c r="C159" s="83"/>
      <c r="D159" s="83"/>
      <c r="E159" s="83"/>
      <c r="F159" s="84"/>
      <c r="G159" s="85"/>
      <c r="H159" s="86"/>
      <c r="I159" s="87"/>
    </row>
    <row r="160" spans="1:9">
      <c r="A160" s="53"/>
      <c r="B160" s="53"/>
      <c r="C160" s="53"/>
      <c r="D160" s="53"/>
      <c r="E160" s="53"/>
      <c r="F160" s="53"/>
      <c r="G160" s="53"/>
      <c r="H160" s="53"/>
      <c r="I160" s="53"/>
    </row>
    <row r="162" spans="1:9">
      <c r="A162" s="63" t="s">
        <v>43</v>
      </c>
      <c r="B162" s="209" t="str">
        <f>PRESUPUESTO!B13</f>
        <v>Manteniemiento correctivo de lavamanos en aceroo inoxidable bateria de baños aprendices, incluye instalacion de melamina, fijacion de platos y brillada, incluye todos los elementos necesarios para su correcta instalacion.</v>
      </c>
      <c r="C162" s="209"/>
      <c r="D162" s="209"/>
      <c r="E162" s="209"/>
      <c r="F162" s="209"/>
      <c r="G162" s="209"/>
      <c r="H162" s="209"/>
      <c r="I162" s="209"/>
    </row>
    <row r="163" spans="1:9">
      <c r="A163" s="63" t="s">
        <v>106</v>
      </c>
      <c r="B163" s="63"/>
      <c r="C163" s="63"/>
      <c r="D163" s="63"/>
      <c r="E163" s="63"/>
      <c r="F163" s="63"/>
      <c r="G163" s="63"/>
      <c r="H163" s="63" t="s">
        <v>45</v>
      </c>
      <c r="I163" s="64" t="s">
        <v>26</v>
      </c>
    </row>
    <row r="164" spans="1:9">
      <c r="A164" s="63" t="s">
        <v>47</v>
      </c>
      <c r="B164" s="63"/>
      <c r="C164" s="63"/>
      <c r="D164" s="63"/>
      <c r="E164" s="63"/>
      <c r="F164" s="63" t="s">
        <v>4</v>
      </c>
      <c r="G164" s="63" t="s">
        <v>48</v>
      </c>
      <c r="H164" s="63" t="s">
        <v>49</v>
      </c>
      <c r="I164" s="64" t="s">
        <v>50</v>
      </c>
    </row>
    <row r="165" spans="1:9">
      <c r="A165" s="63" t="s">
        <v>51</v>
      </c>
      <c r="B165" s="63"/>
      <c r="C165" s="63"/>
      <c r="D165" s="63"/>
      <c r="E165" s="63"/>
      <c r="F165" s="64"/>
      <c r="G165" s="64"/>
      <c r="H165" s="64"/>
      <c r="I165" s="65">
        <f>(I181+I182)*0.05</f>
        <v>10928.571428571429</v>
      </c>
    </row>
    <row r="166" spans="1:9">
      <c r="A166" s="63" t="s">
        <v>107</v>
      </c>
      <c r="B166" s="63"/>
      <c r="C166" s="63"/>
      <c r="D166" s="63"/>
      <c r="E166" s="63"/>
      <c r="F166" s="64"/>
      <c r="G166" s="64"/>
      <c r="H166" s="66"/>
      <c r="I166" s="65"/>
    </row>
    <row r="167" spans="1:9">
      <c r="A167" s="63"/>
      <c r="B167" s="63"/>
      <c r="C167" s="63"/>
      <c r="D167" s="63"/>
      <c r="E167" s="63"/>
      <c r="F167" s="64"/>
      <c r="G167" s="64"/>
      <c r="H167" s="66"/>
      <c r="I167" s="65"/>
    </row>
    <row r="168" spans="1:9">
      <c r="A168" s="63" t="s">
        <v>52</v>
      </c>
      <c r="B168" s="63"/>
      <c r="C168" s="63"/>
      <c r="D168" s="63"/>
      <c r="E168" s="63"/>
      <c r="F168" s="68" t="s">
        <v>53</v>
      </c>
      <c r="G168" s="81" t="s">
        <v>54</v>
      </c>
      <c r="H168" s="81" t="s">
        <v>55</v>
      </c>
      <c r="I168" s="82" t="s">
        <v>56</v>
      </c>
    </row>
    <row r="169" spans="1:9">
      <c r="A169" s="203" t="s">
        <v>136</v>
      </c>
      <c r="B169" s="204"/>
      <c r="C169" s="204"/>
      <c r="D169" s="204"/>
      <c r="E169" s="205"/>
      <c r="F169" s="68" t="s">
        <v>17</v>
      </c>
      <c r="G169" s="65">
        <v>120000</v>
      </c>
      <c r="H169" s="64">
        <v>1</v>
      </c>
      <c r="I169" s="65">
        <f t="shared" ref="I169" si="8">G169*H169</f>
        <v>120000</v>
      </c>
    </row>
    <row r="170" spans="1:9">
      <c r="A170" s="211"/>
      <c r="B170" s="212"/>
      <c r="C170" s="212"/>
      <c r="D170" s="212"/>
      <c r="E170" s="213"/>
      <c r="F170" s="68"/>
      <c r="G170" s="65"/>
      <c r="H170" s="64"/>
      <c r="I170" s="65"/>
    </row>
    <row r="171" spans="1:9">
      <c r="A171" s="214"/>
      <c r="B171" s="215"/>
      <c r="C171" s="215"/>
      <c r="D171" s="215"/>
      <c r="E171" s="216"/>
      <c r="F171" s="68"/>
      <c r="G171" s="64"/>
      <c r="H171" s="64"/>
      <c r="I171" s="65"/>
    </row>
    <row r="172" spans="1:9">
      <c r="A172" s="210"/>
      <c r="B172" s="210"/>
      <c r="C172" s="210"/>
      <c r="D172" s="210"/>
      <c r="E172" s="210"/>
      <c r="F172" s="68"/>
      <c r="G172" s="64"/>
      <c r="H172" s="64"/>
      <c r="I172" s="65"/>
    </row>
    <row r="173" spans="1:9">
      <c r="A173" s="203"/>
      <c r="B173" s="204"/>
      <c r="C173" s="204"/>
      <c r="D173" s="204"/>
      <c r="E173" s="205"/>
      <c r="F173" s="68"/>
      <c r="G173" s="65"/>
      <c r="H173" s="64"/>
      <c r="I173" s="65"/>
    </row>
    <row r="174" spans="1:9">
      <c r="A174" s="210"/>
      <c r="B174" s="210"/>
      <c r="C174" s="210"/>
      <c r="D174" s="210"/>
      <c r="E174" s="210"/>
      <c r="F174" s="68"/>
      <c r="G174" s="64"/>
      <c r="H174" s="64"/>
      <c r="I174" s="65"/>
    </row>
    <row r="175" spans="1:9">
      <c r="A175" s="203"/>
      <c r="B175" s="204"/>
      <c r="C175" s="204"/>
      <c r="D175" s="204"/>
      <c r="E175" s="205"/>
      <c r="F175" s="68"/>
      <c r="G175" s="64"/>
      <c r="H175" s="64"/>
      <c r="I175" s="65"/>
    </row>
    <row r="176" spans="1:9">
      <c r="A176" s="63"/>
      <c r="B176" s="63"/>
      <c r="C176" s="63"/>
      <c r="D176" s="63"/>
      <c r="E176" s="63"/>
      <c r="F176" s="63"/>
      <c r="G176" s="64"/>
      <c r="H176" s="64"/>
      <c r="I176" s="65">
        <v>0</v>
      </c>
    </row>
    <row r="177" spans="1:9">
      <c r="A177" s="63" t="s">
        <v>58</v>
      </c>
      <c r="B177" s="63"/>
      <c r="C177" s="63"/>
      <c r="D177" s="63"/>
      <c r="E177" s="63" t="s">
        <v>59</v>
      </c>
      <c r="F177" s="63" t="s">
        <v>60</v>
      </c>
      <c r="G177" s="63" t="s">
        <v>61</v>
      </c>
      <c r="H177" s="63" t="s">
        <v>62</v>
      </c>
      <c r="I177" s="64" t="s">
        <v>56</v>
      </c>
    </row>
    <row r="178" spans="1:9">
      <c r="A178" s="63" t="s">
        <v>63</v>
      </c>
      <c r="B178" s="63"/>
      <c r="C178" s="63"/>
      <c r="D178" s="63"/>
      <c r="E178" s="69"/>
      <c r="F178" s="69"/>
      <c r="G178" s="69"/>
      <c r="H178" s="69"/>
      <c r="I178" s="64"/>
    </row>
    <row r="179" spans="1:9">
      <c r="A179" s="63" t="s">
        <v>64</v>
      </c>
      <c r="B179" s="63"/>
      <c r="C179" s="63"/>
      <c r="D179" s="63"/>
      <c r="E179" s="69"/>
      <c r="F179" s="69"/>
      <c r="G179" s="69"/>
      <c r="H179" s="69"/>
      <c r="I179" s="64">
        <v>0</v>
      </c>
    </row>
    <row r="180" spans="1:9">
      <c r="A180" s="63" t="s">
        <v>65</v>
      </c>
      <c r="B180" s="63"/>
      <c r="C180" s="63"/>
      <c r="D180" s="63"/>
      <c r="E180" s="63" t="s">
        <v>55</v>
      </c>
      <c r="F180" s="206" t="s">
        <v>66</v>
      </c>
      <c r="G180" s="207"/>
      <c r="H180" s="63" t="s">
        <v>49</v>
      </c>
      <c r="I180" s="64" t="s">
        <v>56</v>
      </c>
    </row>
    <row r="181" spans="1:9">
      <c r="A181" s="206" t="s">
        <v>137</v>
      </c>
      <c r="B181" s="208"/>
      <c r="C181" s="208"/>
      <c r="D181" s="207"/>
      <c r="E181" s="64">
        <v>1</v>
      </c>
      <c r="F181" s="64">
        <f>90000*1.7</f>
        <v>153000</v>
      </c>
      <c r="G181" s="64"/>
      <c r="H181" s="66">
        <v>0.7</v>
      </c>
      <c r="I181" s="65">
        <f>F181/H181</f>
        <v>218571.42857142858</v>
      </c>
    </row>
    <row r="182" spans="1:9">
      <c r="A182" s="63" t="s">
        <v>138</v>
      </c>
      <c r="B182" s="63"/>
      <c r="C182" s="63"/>
      <c r="D182" s="63"/>
      <c r="E182" s="64"/>
      <c r="F182" s="64"/>
      <c r="G182" s="64"/>
      <c r="H182" s="66"/>
      <c r="I182" s="65"/>
    </row>
    <row r="183" spans="1:9">
      <c r="A183" s="63"/>
      <c r="B183" s="63"/>
      <c r="C183" s="63"/>
      <c r="D183" s="63"/>
      <c r="E183" s="63"/>
      <c r="F183" s="67" t="s">
        <v>36</v>
      </c>
      <c r="G183" s="63"/>
      <c r="H183" s="67"/>
      <c r="I183" s="64">
        <f>I182+I181+I174+I169+I166+I165+I170+I175+I171+I172+I173</f>
        <v>349500</v>
      </c>
    </row>
  </sheetData>
  <mergeCells count="182">
    <mergeCell ref="A7:E7"/>
    <mergeCell ref="A8:E8"/>
    <mergeCell ref="A9:E9"/>
    <mergeCell ref="A10:E10"/>
    <mergeCell ref="A11:E11"/>
    <mergeCell ref="A12:E12"/>
    <mergeCell ref="A1:I1"/>
    <mergeCell ref="B2:I2"/>
    <mergeCell ref="B3:G3"/>
    <mergeCell ref="A4:E4"/>
    <mergeCell ref="A5:E5"/>
    <mergeCell ref="A6:E6"/>
    <mergeCell ref="A19:D19"/>
    <mergeCell ref="A20:D20"/>
    <mergeCell ref="F20:G20"/>
    <mergeCell ref="A21:D21"/>
    <mergeCell ref="F21:G21"/>
    <mergeCell ref="A22:D22"/>
    <mergeCell ref="F22:G22"/>
    <mergeCell ref="A13:E13"/>
    <mergeCell ref="A14:E14"/>
    <mergeCell ref="A15:E15"/>
    <mergeCell ref="A16:E16"/>
    <mergeCell ref="A17:D17"/>
    <mergeCell ref="A18:D18"/>
    <mergeCell ref="A23:E23"/>
    <mergeCell ref="B72:I72"/>
    <mergeCell ref="B73:G73"/>
    <mergeCell ref="A74:E74"/>
    <mergeCell ref="A75:E75"/>
    <mergeCell ref="A76:E76"/>
    <mergeCell ref="B70:I70"/>
    <mergeCell ref="A33:E33"/>
    <mergeCell ref="A34:E34"/>
    <mergeCell ref="A35:E35"/>
    <mergeCell ref="A36:E36"/>
    <mergeCell ref="A37:E37"/>
    <mergeCell ref="A38:E38"/>
    <mergeCell ref="A39:E39"/>
    <mergeCell ref="A40:D40"/>
    <mergeCell ref="A41:D41"/>
    <mergeCell ref="A42:D42"/>
    <mergeCell ref="F43:G43"/>
    <mergeCell ref="A44:D44"/>
    <mergeCell ref="F44:G44"/>
    <mergeCell ref="A45:D45"/>
    <mergeCell ref="F45:G45"/>
    <mergeCell ref="A46:E46"/>
    <mergeCell ref="B25:I25"/>
    <mergeCell ref="A83:E83"/>
    <mergeCell ref="A84:E84"/>
    <mergeCell ref="A85:E85"/>
    <mergeCell ref="A86:D86"/>
    <mergeCell ref="A87:D87"/>
    <mergeCell ref="A88:D88"/>
    <mergeCell ref="A77:E77"/>
    <mergeCell ref="A78:E78"/>
    <mergeCell ref="A79:E79"/>
    <mergeCell ref="A80:E80"/>
    <mergeCell ref="A81:E81"/>
    <mergeCell ref="A82:E82"/>
    <mergeCell ref="A92:E92"/>
    <mergeCell ref="B116:I116"/>
    <mergeCell ref="B117:G117"/>
    <mergeCell ref="A118:E118"/>
    <mergeCell ref="A119:E119"/>
    <mergeCell ref="A120:E120"/>
    <mergeCell ref="A89:D89"/>
    <mergeCell ref="F89:G89"/>
    <mergeCell ref="A90:D90"/>
    <mergeCell ref="F90:G90"/>
    <mergeCell ref="A91:D91"/>
    <mergeCell ref="F91:G91"/>
    <mergeCell ref="A112:D112"/>
    <mergeCell ref="F112:G112"/>
    <mergeCell ref="A113:E113"/>
    <mergeCell ref="A127:E127"/>
    <mergeCell ref="A128:E128"/>
    <mergeCell ref="A129:E129"/>
    <mergeCell ref="A130:D130"/>
    <mergeCell ref="A131:D131"/>
    <mergeCell ref="A132:D132"/>
    <mergeCell ref="A121:E121"/>
    <mergeCell ref="A122:E122"/>
    <mergeCell ref="A123:E123"/>
    <mergeCell ref="A124:E124"/>
    <mergeCell ref="A125:E125"/>
    <mergeCell ref="A126:E126"/>
    <mergeCell ref="A172:E172"/>
    <mergeCell ref="A174:E174"/>
    <mergeCell ref="A136:E136"/>
    <mergeCell ref="A133:D133"/>
    <mergeCell ref="F133:G133"/>
    <mergeCell ref="A134:D134"/>
    <mergeCell ref="F134:G134"/>
    <mergeCell ref="A135:D135"/>
    <mergeCell ref="F135:G135"/>
    <mergeCell ref="A169:E169"/>
    <mergeCell ref="A170:E170"/>
    <mergeCell ref="A171:E171"/>
    <mergeCell ref="A173:E173"/>
    <mergeCell ref="B138:I138"/>
    <mergeCell ref="B139:G139"/>
    <mergeCell ref="A140:E140"/>
    <mergeCell ref="A141:E141"/>
    <mergeCell ref="A142:E142"/>
    <mergeCell ref="A143:E143"/>
    <mergeCell ref="A144:E144"/>
    <mergeCell ref="A145:E145"/>
    <mergeCell ref="A146:E146"/>
    <mergeCell ref="A147:E147"/>
    <mergeCell ref="A148:E148"/>
    <mergeCell ref="B26:G26"/>
    <mergeCell ref="A27:E27"/>
    <mergeCell ref="A28:E28"/>
    <mergeCell ref="A29:E29"/>
    <mergeCell ref="A30:E30"/>
    <mergeCell ref="A31:E31"/>
    <mergeCell ref="A32:E32"/>
    <mergeCell ref="A43:D43"/>
    <mergeCell ref="B48:I48"/>
    <mergeCell ref="B49:G49"/>
    <mergeCell ref="A50:E50"/>
    <mergeCell ref="A51:E51"/>
    <mergeCell ref="A52:E52"/>
    <mergeCell ref="A53:E53"/>
    <mergeCell ref="A54:E54"/>
    <mergeCell ref="A55:E55"/>
    <mergeCell ref="A56:E56"/>
    <mergeCell ref="A66:D66"/>
    <mergeCell ref="F66:G66"/>
    <mergeCell ref="A67:D67"/>
    <mergeCell ref="F67:G67"/>
    <mergeCell ref="A68:D68"/>
    <mergeCell ref="F68:G68"/>
    <mergeCell ref="A69:E69"/>
    <mergeCell ref="A57:E57"/>
    <mergeCell ref="A58:E58"/>
    <mergeCell ref="A59:E59"/>
    <mergeCell ref="A60:E60"/>
    <mergeCell ref="A61:E61"/>
    <mergeCell ref="A62:E62"/>
    <mergeCell ref="A63:D63"/>
    <mergeCell ref="A64:D64"/>
    <mergeCell ref="A65:D65"/>
    <mergeCell ref="A175:E175"/>
    <mergeCell ref="F180:G180"/>
    <mergeCell ref="A181:D181"/>
    <mergeCell ref="B94:I94"/>
    <mergeCell ref="B95:G95"/>
    <mergeCell ref="A96:E96"/>
    <mergeCell ref="A97:E97"/>
    <mergeCell ref="A98:E98"/>
    <mergeCell ref="A99:E99"/>
    <mergeCell ref="A100:E100"/>
    <mergeCell ref="A101:E101"/>
    <mergeCell ref="A102:E102"/>
    <mergeCell ref="A103:E103"/>
    <mergeCell ref="A104:E104"/>
    <mergeCell ref="A105:E105"/>
    <mergeCell ref="A106:E106"/>
    <mergeCell ref="A107:D107"/>
    <mergeCell ref="A108:D108"/>
    <mergeCell ref="A109:D109"/>
    <mergeCell ref="A110:D110"/>
    <mergeCell ref="F110:G110"/>
    <mergeCell ref="A111:D111"/>
    <mergeCell ref="F111:G111"/>
    <mergeCell ref="B162:I162"/>
    <mergeCell ref="A157:D157"/>
    <mergeCell ref="F157:G157"/>
    <mergeCell ref="A158:E158"/>
    <mergeCell ref="A149:E149"/>
    <mergeCell ref="A150:E150"/>
    <mergeCell ref="A151:E151"/>
    <mergeCell ref="A152:D152"/>
    <mergeCell ref="A153:D153"/>
    <mergeCell ref="A154:D154"/>
    <mergeCell ref="A155:D155"/>
    <mergeCell ref="F155:G155"/>
    <mergeCell ref="A156:D156"/>
    <mergeCell ref="F156:G15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FA123-1785-440C-9587-005F2313C8FA}">
  <dimension ref="A1:I65"/>
  <sheetViews>
    <sheetView topLeftCell="A54" workbookViewId="0">
      <selection activeCell="A67" sqref="A67:XFD230"/>
    </sheetView>
  </sheetViews>
  <sheetFormatPr defaultColWidth="11.42578125" defaultRowHeight="14.45"/>
  <cols>
    <col min="7" max="7" width="11.7109375" bestFit="1" customWidth="1"/>
    <col min="9" max="9" width="14.140625" customWidth="1"/>
  </cols>
  <sheetData>
    <row r="1" spans="1:9">
      <c r="A1" s="12" t="s">
        <v>43</v>
      </c>
      <c r="B1" s="192" t="str">
        <f>PRESUPUESTO!B15</f>
        <v>Suministro, transporte e instalación de PUERTA  DE ALUMNIO DE 0.9X2.7 CON VENTANA PROYECTANTE,  Incluye cerradura de seguridad, y todos los demás elementos necesarios para su correcta instalación y funcionamiento.</v>
      </c>
      <c r="C1" s="193"/>
      <c r="D1" s="193"/>
      <c r="E1" s="193"/>
      <c r="F1" s="193"/>
      <c r="G1" s="193"/>
      <c r="H1" s="193"/>
      <c r="I1" s="194"/>
    </row>
    <row r="2" spans="1:9">
      <c r="A2" s="13" t="s">
        <v>119</v>
      </c>
      <c r="B2" s="195"/>
      <c r="C2" s="195"/>
      <c r="D2" s="195"/>
      <c r="E2" s="195"/>
      <c r="F2" s="195"/>
      <c r="G2" s="195"/>
      <c r="H2" s="14" t="s">
        <v>45</v>
      </c>
      <c r="I2" s="15" t="s">
        <v>17</v>
      </c>
    </row>
    <row r="3" spans="1:9">
      <c r="A3" s="188" t="s">
        <v>47</v>
      </c>
      <c r="B3" s="188"/>
      <c r="C3" s="188"/>
      <c r="D3" s="188"/>
      <c r="E3" s="188"/>
      <c r="F3" s="16" t="s">
        <v>4</v>
      </c>
      <c r="G3" s="16" t="s">
        <v>48</v>
      </c>
      <c r="H3" s="16" t="s">
        <v>49</v>
      </c>
      <c r="I3" s="17" t="s">
        <v>50</v>
      </c>
    </row>
    <row r="4" spans="1:9">
      <c r="A4" s="246" t="s">
        <v>51</v>
      </c>
      <c r="B4" s="246"/>
      <c r="C4" s="246"/>
      <c r="D4" s="246"/>
      <c r="E4" s="246"/>
      <c r="F4" s="18"/>
      <c r="G4" s="18"/>
      <c r="H4" s="19"/>
      <c r="I4" s="20">
        <f>ROUND((SUM(I19:I20)*0.05),0)</f>
        <v>5313</v>
      </c>
    </row>
    <row r="5" spans="1:9">
      <c r="A5" s="246"/>
      <c r="B5" s="246"/>
      <c r="C5" s="246"/>
      <c r="D5" s="246"/>
      <c r="E5" s="246"/>
      <c r="F5" s="18"/>
      <c r="G5" s="18"/>
      <c r="H5" s="21"/>
      <c r="I5" s="20"/>
    </row>
    <row r="6" spans="1:9">
      <c r="A6" s="248"/>
      <c r="B6" s="249"/>
      <c r="C6" s="249"/>
      <c r="D6" s="249"/>
      <c r="E6" s="250"/>
      <c r="F6" s="18"/>
      <c r="G6" s="18"/>
      <c r="H6" s="21"/>
      <c r="I6" s="20"/>
    </row>
    <row r="7" spans="1:9">
      <c r="A7" s="188" t="s">
        <v>52</v>
      </c>
      <c r="B7" s="188"/>
      <c r="C7" s="188"/>
      <c r="D7" s="188"/>
      <c r="E7" s="188"/>
      <c r="F7" s="16" t="s">
        <v>53</v>
      </c>
      <c r="G7" s="22" t="s">
        <v>54</v>
      </c>
      <c r="H7" s="22" t="s">
        <v>55</v>
      </c>
      <c r="I7" s="17" t="s">
        <v>56</v>
      </c>
    </row>
    <row r="8" spans="1:9">
      <c r="A8" s="217" t="s">
        <v>139</v>
      </c>
      <c r="B8" s="246"/>
      <c r="C8" s="246"/>
      <c r="D8" s="246"/>
      <c r="E8" s="246"/>
      <c r="F8" s="23" t="s">
        <v>84</v>
      </c>
      <c r="G8" s="24">
        <v>1300000</v>
      </c>
      <c r="H8" s="19">
        <v>1.05</v>
      </c>
      <c r="I8" s="24">
        <f>+H8*G8</f>
        <v>1365000</v>
      </c>
    </row>
    <row r="9" spans="1:9">
      <c r="A9" s="248"/>
      <c r="B9" s="249"/>
      <c r="C9" s="249"/>
      <c r="D9" s="249"/>
      <c r="E9" s="250"/>
      <c r="F9" s="23"/>
      <c r="G9" s="19"/>
      <c r="H9" s="19"/>
      <c r="I9" s="24"/>
    </row>
    <row r="10" spans="1:9">
      <c r="A10" s="248"/>
      <c r="B10" s="249"/>
      <c r="C10" s="249"/>
      <c r="D10" s="249"/>
      <c r="E10" s="250"/>
      <c r="F10" s="23"/>
      <c r="G10" s="19"/>
      <c r="H10" s="19"/>
      <c r="I10" s="24"/>
    </row>
    <row r="11" spans="1:9">
      <c r="A11" s="246"/>
      <c r="B11" s="246"/>
      <c r="C11" s="246"/>
      <c r="D11" s="246"/>
      <c r="E11" s="246"/>
      <c r="F11" s="23"/>
      <c r="G11" s="19"/>
      <c r="H11" s="19"/>
      <c r="I11" s="24"/>
    </row>
    <row r="12" spans="1:9">
      <c r="A12" s="248"/>
      <c r="B12" s="249"/>
      <c r="C12" s="249"/>
      <c r="D12" s="249"/>
      <c r="E12" s="250"/>
      <c r="F12" s="23"/>
      <c r="G12" s="19"/>
      <c r="H12" s="19"/>
      <c r="I12" s="24">
        <f t="shared" ref="I12:I14" si="0">+G12*H12</f>
        <v>0</v>
      </c>
    </row>
    <row r="13" spans="1:9">
      <c r="A13" s="246"/>
      <c r="B13" s="246"/>
      <c r="C13" s="246"/>
      <c r="D13" s="246"/>
      <c r="E13" s="246"/>
      <c r="F13" s="23"/>
      <c r="G13" s="19"/>
      <c r="H13" s="19"/>
      <c r="I13" s="24">
        <f t="shared" si="0"/>
        <v>0</v>
      </c>
    </row>
    <row r="14" spans="1:9">
      <c r="A14" s="246"/>
      <c r="B14" s="246"/>
      <c r="C14" s="246"/>
      <c r="D14" s="246"/>
      <c r="E14" s="246"/>
      <c r="F14" s="23"/>
      <c r="G14" s="19"/>
      <c r="H14" s="19"/>
      <c r="I14" s="24">
        <f t="shared" si="0"/>
        <v>0</v>
      </c>
    </row>
    <row r="15" spans="1:9">
      <c r="A15" s="188" t="s">
        <v>58</v>
      </c>
      <c r="B15" s="188"/>
      <c r="C15" s="188"/>
      <c r="D15" s="188"/>
      <c r="E15" s="25" t="s">
        <v>59</v>
      </c>
      <c r="F15" s="16" t="s">
        <v>60</v>
      </c>
      <c r="G15" s="16" t="s">
        <v>61</v>
      </c>
      <c r="H15" s="16" t="s">
        <v>62</v>
      </c>
      <c r="I15" s="17" t="s">
        <v>56</v>
      </c>
    </row>
    <row r="16" spans="1:9">
      <c r="A16" s="246" t="s">
        <v>63</v>
      </c>
      <c r="B16" s="246"/>
      <c r="C16" s="246"/>
      <c r="D16" s="246"/>
      <c r="E16" s="26"/>
      <c r="F16" s="26">
        <v>6</v>
      </c>
      <c r="G16" s="26">
        <f>35000/F16</f>
        <v>5833.333333333333</v>
      </c>
      <c r="H16" s="26">
        <f>+G16*6</f>
        <v>35000</v>
      </c>
      <c r="I16" s="19">
        <f>+E16*G16</f>
        <v>0</v>
      </c>
    </row>
    <row r="17" spans="1:9">
      <c r="A17" s="246" t="s">
        <v>64</v>
      </c>
      <c r="B17" s="246"/>
      <c r="C17" s="246"/>
      <c r="D17" s="246"/>
      <c r="E17" s="26"/>
      <c r="F17" s="26"/>
      <c r="G17" s="26"/>
      <c r="H17" s="26"/>
      <c r="I17" s="19">
        <f>+E17*G17</f>
        <v>0</v>
      </c>
    </row>
    <row r="18" spans="1:9">
      <c r="A18" s="188" t="s">
        <v>65</v>
      </c>
      <c r="B18" s="188"/>
      <c r="C18" s="188"/>
      <c r="D18" s="188"/>
      <c r="E18" s="16" t="s">
        <v>55</v>
      </c>
      <c r="F18" s="189" t="s">
        <v>66</v>
      </c>
      <c r="G18" s="190"/>
      <c r="H18" s="27" t="s">
        <v>49</v>
      </c>
      <c r="I18" s="28" t="s">
        <v>56</v>
      </c>
    </row>
    <row r="19" spans="1:9">
      <c r="A19" s="187" t="str">
        <f>CUADRILLAS!B8</f>
        <v xml:space="preserve">CUADRILLA 3 </v>
      </c>
      <c r="B19" s="187"/>
      <c r="C19" s="187"/>
      <c r="D19" s="187"/>
      <c r="E19" s="19">
        <v>1</v>
      </c>
      <c r="F19" s="196">
        <f>CUADRILLAS!D8</f>
        <v>212500</v>
      </c>
      <c r="G19" s="196"/>
      <c r="H19" s="21">
        <v>2</v>
      </c>
      <c r="I19" s="24">
        <f>+E19*F19/H19</f>
        <v>106250</v>
      </c>
    </row>
    <row r="20" spans="1:9">
      <c r="A20" s="187"/>
      <c r="B20" s="187"/>
      <c r="C20" s="187"/>
      <c r="D20" s="187"/>
      <c r="E20" s="19"/>
      <c r="F20" s="196"/>
      <c r="G20" s="196"/>
      <c r="H20" s="21"/>
      <c r="I20" s="24"/>
    </row>
    <row r="21" spans="1:9">
      <c r="A21" s="197"/>
      <c r="B21" s="198"/>
      <c r="C21" s="198"/>
      <c r="D21" s="198"/>
      <c r="E21" s="199"/>
      <c r="F21" s="29" t="s">
        <v>36</v>
      </c>
      <c r="G21" s="30"/>
      <c r="H21" s="31"/>
      <c r="I21" s="33">
        <f>ROUND((SUM(I4:I20)),0)</f>
        <v>1476563</v>
      </c>
    </row>
    <row r="22" spans="1:9">
      <c r="A22" s="70"/>
      <c r="B22" s="70"/>
      <c r="C22" s="70"/>
      <c r="D22" s="70"/>
      <c r="E22" s="70"/>
      <c r="F22" s="70"/>
      <c r="G22" s="70"/>
      <c r="H22" s="70"/>
      <c r="I22" s="70"/>
    </row>
    <row r="23" spans="1:9">
      <c r="A23" s="12" t="s">
        <v>43</v>
      </c>
      <c r="B23" s="192" t="str">
        <f>PRESUPUESTO!B16</f>
        <v>Suministro, transporte e instalación de VIDRIO 5 MM COLOR NATURAL, incluye cerradura, y todos los demás elementos necesarios para su correcta instalación y funcionamiento.</v>
      </c>
      <c r="C23" s="193"/>
      <c r="D23" s="193"/>
      <c r="E23" s="193"/>
      <c r="F23" s="193"/>
      <c r="G23" s="193"/>
      <c r="H23" s="193"/>
      <c r="I23" s="194"/>
    </row>
    <row r="24" spans="1:9">
      <c r="A24" s="13" t="s">
        <v>119</v>
      </c>
      <c r="B24" s="195"/>
      <c r="C24" s="195"/>
      <c r="D24" s="195"/>
      <c r="E24" s="195"/>
      <c r="F24" s="195"/>
      <c r="G24" s="195"/>
      <c r="H24" s="14" t="s">
        <v>45</v>
      </c>
      <c r="I24" s="15" t="s">
        <v>26</v>
      </c>
    </row>
    <row r="25" spans="1:9">
      <c r="A25" s="188" t="s">
        <v>47</v>
      </c>
      <c r="B25" s="188"/>
      <c r="C25" s="188"/>
      <c r="D25" s="188"/>
      <c r="E25" s="188"/>
      <c r="F25" s="16" t="s">
        <v>4</v>
      </c>
      <c r="G25" s="16" t="s">
        <v>48</v>
      </c>
      <c r="H25" s="16" t="s">
        <v>49</v>
      </c>
      <c r="I25" s="17" t="s">
        <v>50</v>
      </c>
    </row>
    <row r="26" spans="1:9">
      <c r="A26" s="246" t="s">
        <v>51</v>
      </c>
      <c r="B26" s="246"/>
      <c r="C26" s="246"/>
      <c r="D26" s="246"/>
      <c r="E26" s="246"/>
      <c r="F26" s="18"/>
      <c r="G26" s="18"/>
      <c r="H26" s="19"/>
      <c r="I26" s="20">
        <f>ROUND((SUM(I41:I42)*0.05),0)</f>
        <v>2125</v>
      </c>
    </row>
    <row r="27" spans="1:9">
      <c r="A27" s="246"/>
      <c r="B27" s="246"/>
      <c r="C27" s="246"/>
      <c r="D27" s="246"/>
      <c r="E27" s="246"/>
      <c r="F27" s="18"/>
      <c r="G27" s="18"/>
      <c r="H27" s="21"/>
      <c r="I27" s="20"/>
    </row>
    <row r="28" spans="1:9">
      <c r="A28" s="248"/>
      <c r="B28" s="249"/>
      <c r="C28" s="249"/>
      <c r="D28" s="249"/>
      <c r="E28" s="250"/>
      <c r="F28" s="18"/>
      <c r="G28" s="18"/>
      <c r="H28" s="21"/>
      <c r="I28" s="20"/>
    </row>
    <row r="29" spans="1:9">
      <c r="A29" s="188" t="s">
        <v>52</v>
      </c>
      <c r="B29" s="188"/>
      <c r="C29" s="188"/>
      <c r="D29" s="188"/>
      <c r="E29" s="188"/>
      <c r="F29" s="16" t="s">
        <v>53</v>
      </c>
      <c r="G29" s="22" t="s">
        <v>54</v>
      </c>
      <c r="H29" s="22" t="s">
        <v>55</v>
      </c>
      <c r="I29" s="17" t="s">
        <v>56</v>
      </c>
    </row>
    <row r="30" spans="1:9" ht="15" customHeight="1">
      <c r="A30" s="217" t="s">
        <v>140</v>
      </c>
      <c r="B30" s="246"/>
      <c r="C30" s="246"/>
      <c r="D30" s="246"/>
      <c r="E30" s="246"/>
      <c r="F30" s="23" t="s">
        <v>10</v>
      </c>
      <c r="G30" s="24">
        <v>40000</v>
      </c>
      <c r="H30" s="19">
        <v>1</v>
      </c>
      <c r="I30" s="24">
        <f>+H30*G30</f>
        <v>40000</v>
      </c>
    </row>
    <row r="31" spans="1:9">
      <c r="A31" s="248"/>
      <c r="B31" s="249"/>
      <c r="C31" s="249"/>
      <c r="D31" s="249"/>
      <c r="E31" s="250"/>
      <c r="F31" s="23"/>
      <c r="G31" s="19"/>
      <c r="H31" s="19"/>
      <c r="I31" s="24"/>
    </row>
    <row r="32" spans="1:9">
      <c r="A32" s="248"/>
      <c r="B32" s="249"/>
      <c r="C32" s="249"/>
      <c r="D32" s="249"/>
      <c r="E32" s="250"/>
      <c r="F32" s="23"/>
      <c r="G32" s="19"/>
      <c r="H32" s="19"/>
      <c r="I32" s="24"/>
    </row>
    <row r="33" spans="1:9">
      <c r="A33" s="246"/>
      <c r="B33" s="246"/>
      <c r="C33" s="246"/>
      <c r="D33" s="246"/>
      <c r="E33" s="246"/>
      <c r="F33" s="23"/>
      <c r="G33" s="19"/>
      <c r="H33" s="19"/>
      <c r="I33" s="24"/>
    </row>
    <row r="34" spans="1:9">
      <c r="A34" s="248"/>
      <c r="B34" s="249"/>
      <c r="C34" s="249"/>
      <c r="D34" s="249"/>
      <c r="E34" s="250"/>
      <c r="F34" s="23"/>
      <c r="G34" s="19"/>
      <c r="H34" s="19"/>
      <c r="I34" s="24">
        <f t="shared" ref="I34:I36" si="1">+G34*H34</f>
        <v>0</v>
      </c>
    </row>
    <row r="35" spans="1:9">
      <c r="A35" s="246"/>
      <c r="B35" s="246"/>
      <c r="C35" s="246"/>
      <c r="D35" s="246"/>
      <c r="E35" s="246"/>
      <c r="F35" s="23"/>
      <c r="G35" s="19"/>
      <c r="H35" s="19"/>
      <c r="I35" s="24">
        <f t="shared" si="1"/>
        <v>0</v>
      </c>
    </row>
    <row r="36" spans="1:9">
      <c r="A36" s="246"/>
      <c r="B36" s="246"/>
      <c r="C36" s="246"/>
      <c r="D36" s="246"/>
      <c r="E36" s="246"/>
      <c r="F36" s="23"/>
      <c r="G36" s="19"/>
      <c r="H36" s="19"/>
      <c r="I36" s="24">
        <f t="shared" si="1"/>
        <v>0</v>
      </c>
    </row>
    <row r="37" spans="1:9">
      <c r="A37" s="188" t="s">
        <v>58</v>
      </c>
      <c r="B37" s="188"/>
      <c r="C37" s="188"/>
      <c r="D37" s="188"/>
      <c r="E37" s="25" t="s">
        <v>59</v>
      </c>
      <c r="F37" s="16" t="s">
        <v>60</v>
      </c>
      <c r="G37" s="16" t="s">
        <v>61</v>
      </c>
      <c r="H37" s="16" t="s">
        <v>62</v>
      </c>
      <c r="I37" s="17" t="s">
        <v>56</v>
      </c>
    </row>
    <row r="38" spans="1:9">
      <c r="A38" s="246" t="s">
        <v>63</v>
      </c>
      <c r="B38" s="246"/>
      <c r="C38" s="246"/>
      <c r="D38" s="246"/>
      <c r="E38" s="26"/>
      <c r="F38" s="26">
        <v>6</v>
      </c>
      <c r="G38" s="26">
        <f>35000/F38</f>
        <v>5833.333333333333</v>
      </c>
      <c r="H38" s="26">
        <f>+G38*6</f>
        <v>35000</v>
      </c>
      <c r="I38" s="19">
        <f>+E38*G38</f>
        <v>0</v>
      </c>
    </row>
    <row r="39" spans="1:9">
      <c r="A39" s="246" t="s">
        <v>64</v>
      </c>
      <c r="B39" s="246"/>
      <c r="C39" s="246"/>
      <c r="D39" s="246"/>
      <c r="E39" s="26"/>
      <c r="F39" s="26"/>
      <c r="G39" s="26"/>
      <c r="H39" s="26"/>
      <c r="I39" s="19">
        <f>+E39*G39</f>
        <v>0</v>
      </c>
    </row>
    <row r="40" spans="1:9">
      <c r="A40" s="188" t="s">
        <v>65</v>
      </c>
      <c r="B40" s="188"/>
      <c r="C40" s="188"/>
      <c r="D40" s="188"/>
      <c r="E40" s="16" t="s">
        <v>55</v>
      </c>
      <c r="F40" s="189" t="s">
        <v>66</v>
      </c>
      <c r="G40" s="190"/>
      <c r="H40" s="27" t="s">
        <v>49</v>
      </c>
      <c r="I40" s="28" t="s">
        <v>56</v>
      </c>
    </row>
    <row r="41" spans="1:9">
      <c r="A41" s="187" t="str">
        <f>CUADRILLAS!A8</f>
        <v>1 OFICIAL + 1 AYUDANTE</v>
      </c>
      <c r="B41" s="187"/>
      <c r="C41" s="187"/>
      <c r="D41" s="187"/>
      <c r="E41" s="19">
        <v>1</v>
      </c>
      <c r="F41" s="196">
        <f>CUADRILLAS!D8</f>
        <v>212500</v>
      </c>
      <c r="G41" s="196"/>
      <c r="H41" s="21">
        <v>5</v>
      </c>
      <c r="I41" s="24">
        <f>+E41*F41/H41</f>
        <v>42500</v>
      </c>
    </row>
    <row r="42" spans="1:9">
      <c r="A42" s="187"/>
      <c r="B42" s="187"/>
      <c r="C42" s="187"/>
      <c r="D42" s="187"/>
      <c r="E42" s="19"/>
      <c r="F42" s="196"/>
      <c r="G42" s="196"/>
      <c r="H42" s="21"/>
      <c r="I42" s="24"/>
    </row>
    <row r="43" spans="1:9">
      <c r="A43" s="197"/>
      <c r="B43" s="198"/>
      <c r="C43" s="198"/>
      <c r="D43" s="198"/>
      <c r="E43" s="199"/>
      <c r="F43" s="29" t="s">
        <v>36</v>
      </c>
      <c r="G43" s="30"/>
      <c r="H43" s="31"/>
      <c r="I43" s="33">
        <f>ROUND((SUM(I26:I42)),0)</f>
        <v>84625</v>
      </c>
    </row>
    <row r="45" spans="1:9">
      <c r="A45" s="12" t="s">
        <v>43</v>
      </c>
      <c r="B45" s="192" t="str">
        <f>PRESUPUESTO!B17</f>
        <v xml:space="preserve">Mantenimento correctivo de rodachines y rieles de puertas corredizas del auditorio y ambiente de emprendimiento, Incluye cerradura de seguridad y todos los demás elementos necesarios para su correcta instalación y funcionamiento. </v>
      </c>
      <c r="C45" s="193"/>
      <c r="D45" s="193"/>
      <c r="E45" s="193"/>
      <c r="F45" s="193"/>
      <c r="G45" s="193"/>
      <c r="H45" s="193"/>
      <c r="I45" s="194"/>
    </row>
    <row r="46" spans="1:9">
      <c r="A46" s="13" t="s">
        <v>119</v>
      </c>
      <c r="B46" s="195"/>
      <c r="C46" s="195"/>
      <c r="D46" s="195"/>
      <c r="E46" s="195"/>
      <c r="F46" s="195"/>
      <c r="G46" s="195"/>
      <c r="H46" s="14" t="s">
        <v>45</v>
      </c>
      <c r="I46" s="15" t="s">
        <v>17</v>
      </c>
    </row>
    <row r="47" spans="1:9">
      <c r="A47" s="188" t="s">
        <v>47</v>
      </c>
      <c r="B47" s="188"/>
      <c r="C47" s="188"/>
      <c r="D47" s="188"/>
      <c r="E47" s="188"/>
      <c r="F47" s="16" t="s">
        <v>4</v>
      </c>
      <c r="G47" s="16" t="s">
        <v>48</v>
      </c>
      <c r="H47" s="16" t="s">
        <v>49</v>
      </c>
      <c r="I47" s="17" t="s">
        <v>50</v>
      </c>
    </row>
    <row r="48" spans="1:9">
      <c r="A48" s="246" t="s">
        <v>51</v>
      </c>
      <c r="B48" s="246"/>
      <c r="C48" s="246"/>
      <c r="D48" s="246"/>
      <c r="E48" s="246"/>
      <c r="F48" s="18"/>
      <c r="G48" s="18"/>
      <c r="H48" s="19"/>
      <c r="I48" s="20">
        <f>ROUND((SUM(I63:I64)*0.05),0)</f>
        <v>11806</v>
      </c>
    </row>
    <row r="49" spans="1:9">
      <c r="A49" s="246"/>
      <c r="B49" s="246"/>
      <c r="C49" s="246"/>
      <c r="D49" s="246"/>
      <c r="E49" s="246"/>
      <c r="F49" s="18"/>
      <c r="G49" s="18"/>
      <c r="H49" s="21"/>
      <c r="I49" s="20"/>
    </row>
    <row r="50" spans="1:9">
      <c r="A50" s="248"/>
      <c r="B50" s="249"/>
      <c r="C50" s="249"/>
      <c r="D50" s="249"/>
      <c r="E50" s="250"/>
      <c r="F50" s="18"/>
      <c r="G50" s="18"/>
      <c r="H50" s="21"/>
      <c r="I50" s="20"/>
    </row>
    <row r="51" spans="1:9">
      <c r="A51" s="188" t="s">
        <v>52</v>
      </c>
      <c r="B51" s="188"/>
      <c r="C51" s="188"/>
      <c r="D51" s="188"/>
      <c r="E51" s="188"/>
      <c r="F51" s="16" t="s">
        <v>53</v>
      </c>
      <c r="G51" s="22" t="s">
        <v>54</v>
      </c>
      <c r="H51" s="22" t="s">
        <v>55</v>
      </c>
      <c r="I51" s="17" t="s">
        <v>56</v>
      </c>
    </row>
    <row r="52" spans="1:9">
      <c r="A52" s="217" t="s">
        <v>141</v>
      </c>
      <c r="B52" s="246"/>
      <c r="C52" s="246"/>
      <c r="D52" s="246"/>
      <c r="E52" s="246"/>
      <c r="F52" s="23" t="s">
        <v>17</v>
      </c>
      <c r="G52" s="24">
        <v>250000</v>
      </c>
      <c r="H52" s="19">
        <v>1.05</v>
      </c>
      <c r="I52" s="24">
        <f>+H52*G52</f>
        <v>262500</v>
      </c>
    </row>
    <row r="53" spans="1:9">
      <c r="A53" s="248" t="s">
        <v>142</v>
      </c>
      <c r="B53" s="249"/>
      <c r="C53" s="249"/>
      <c r="D53" s="249"/>
      <c r="E53" s="250"/>
      <c r="F53" s="23" t="s">
        <v>17</v>
      </c>
      <c r="G53" s="19">
        <v>30000</v>
      </c>
      <c r="H53" s="19">
        <v>8</v>
      </c>
      <c r="I53" s="24">
        <f>+H53*G53</f>
        <v>240000</v>
      </c>
    </row>
    <row r="54" spans="1:9">
      <c r="A54" s="248" t="s">
        <v>143</v>
      </c>
      <c r="B54" s="249"/>
      <c r="C54" s="249"/>
      <c r="D54" s="249"/>
      <c r="E54" s="250"/>
      <c r="F54" s="23" t="s">
        <v>17</v>
      </c>
      <c r="G54" s="19">
        <v>160000</v>
      </c>
      <c r="H54" s="19">
        <v>2</v>
      </c>
      <c r="I54" s="24">
        <f>+H54*G54</f>
        <v>320000</v>
      </c>
    </row>
    <row r="55" spans="1:9">
      <c r="A55" s="246"/>
      <c r="B55" s="246"/>
      <c r="C55" s="246"/>
      <c r="D55" s="246"/>
      <c r="E55" s="246"/>
      <c r="F55" s="23"/>
      <c r="G55" s="19"/>
      <c r="H55" s="19"/>
      <c r="I55" s="24"/>
    </row>
    <row r="56" spans="1:9">
      <c r="A56" s="248"/>
      <c r="B56" s="249"/>
      <c r="C56" s="249"/>
      <c r="D56" s="249"/>
      <c r="E56" s="250"/>
      <c r="F56" s="23"/>
      <c r="G56" s="19"/>
      <c r="H56" s="19"/>
      <c r="I56" s="24">
        <f t="shared" ref="I56:I58" si="2">+G56*H56</f>
        <v>0</v>
      </c>
    </row>
    <row r="57" spans="1:9">
      <c r="A57" s="246"/>
      <c r="B57" s="246"/>
      <c r="C57" s="246"/>
      <c r="D57" s="246"/>
      <c r="E57" s="246"/>
      <c r="F57" s="23"/>
      <c r="G57" s="19"/>
      <c r="H57" s="19"/>
      <c r="I57" s="24">
        <f t="shared" si="2"/>
        <v>0</v>
      </c>
    </row>
    <row r="58" spans="1:9">
      <c r="A58" s="246"/>
      <c r="B58" s="246"/>
      <c r="C58" s="246"/>
      <c r="D58" s="246"/>
      <c r="E58" s="246"/>
      <c r="F58" s="23"/>
      <c r="G58" s="19"/>
      <c r="H58" s="19"/>
      <c r="I58" s="24">
        <f t="shared" si="2"/>
        <v>0</v>
      </c>
    </row>
    <row r="59" spans="1:9">
      <c r="A59" s="188" t="s">
        <v>58</v>
      </c>
      <c r="B59" s="188"/>
      <c r="C59" s="188"/>
      <c r="D59" s="188"/>
      <c r="E59" s="25" t="s">
        <v>59</v>
      </c>
      <c r="F59" s="16" t="s">
        <v>60</v>
      </c>
      <c r="G59" s="16" t="s">
        <v>61</v>
      </c>
      <c r="H59" s="16" t="s">
        <v>62</v>
      </c>
      <c r="I59" s="17" t="s">
        <v>56</v>
      </c>
    </row>
    <row r="60" spans="1:9">
      <c r="A60" s="246" t="s">
        <v>63</v>
      </c>
      <c r="B60" s="246"/>
      <c r="C60" s="246"/>
      <c r="D60" s="246"/>
      <c r="E60" s="26"/>
      <c r="F60" s="26">
        <v>6</v>
      </c>
      <c r="G60" s="26">
        <f>35000/F60</f>
        <v>5833.333333333333</v>
      </c>
      <c r="H60" s="26">
        <f>+G60*6</f>
        <v>35000</v>
      </c>
      <c r="I60" s="19">
        <f>+E60*G60</f>
        <v>0</v>
      </c>
    </row>
    <row r="61" spans="1:9">
      <c r="A61" s="246" t="s">
        <v>64</v>
      </c>
      <c r="B61" s="246"/>
      <c r="C61" s="246"/>
      <c r="D61" s="246"/>
      <c r="E61" s="26"/>
      <c r="F61" s="26"/>
      <c r="G61" s="26"/>
      <c r="H61" s="26"/>
      <c r="I61" s="19">
        <f>+E61*G61</f>
        <v>0</v>
      </c>
    </row>
    <row r="62" spans="1:9">
      <c r="A62" s="188" t="s">
        <v>65</v>
      </c>
      <c r="B62" s="188"/>
      <c r="C62" s="188"/>
      <c r="D62" s="188"/>
      <c r="E62" s="16" t="s">
        <v>55</v>
      </c>
      <c r="F62" s="189" t="s">
        <v>66</v>
      </c>
      <c r="G62" s="190"/>
      <c r="H62" s="27" t="s">
        <v>49</v>
      </c>
      <c r="I62" s="28" t="s">
        <v>56</v>
      </c>
    </row>
    <row r="63" spans="1:9">
      <c r="A63" s="187" t="str">
        <f>CUADRILLAS!B8</f>
        <v xml:space="preserve">CUADRILLA 3 </v>
      </c>
      <c r="B63" s="187"/>
      <c r="C63" s="187"/>
      <c r="D63" s="187"/>
      <c r="E63" s="19">
        <v>1</v>
      </c>
      <c r="F63" s="196">
        <f>CUADRILLAS!D8</f>
        <v>212500</v>
      </c>
      <c r="G63" s="196"/>
      <c r="H63" s="21">
        <v>0.9</v>
      </c>
      <c r="I63" s="24">
        <f>+E63*F63/H63</f>
        <v>236111.11111111109</v>
      </c>
    </row>
    <row r="64" spans="1:9">
      <c r="A64" s="187"/>
      <c r="B64" s="187"/>
      <c r="C64" s="187"/>
      <c r="D64" s="187"/>
      <c r="E64" s="19"/>
      <c r="F64" s="196"/>
      <c r="G64" s="196"/>
      <c r="H64" s="21"/>
      <c r="I64" s="24"/>
    </row>
    <row r="65" spans="1:9">
      <c r="A65" s="197"/>
      <c r="B65" s="198"/>
      <c r="C65" s="198"/>
      <c r="D65" s="198"/>
      <c r="E65" s="199"/>
      <c r="F65" s="29" t="s">
        <v>36</v>
      </c>
      <c r="G65" s="30"/>
      <c r="H65" s="31"/>
      <c r="I65" s="33">
        <f>ROUND((SUM(I48:I64)),0)</f>
        <v>1070417</v>
      </c>
    </row>
  </sheetData>
  <mergeCells count="72">
    <mergeCell ref="A12:E12"/>
    <mergeCell ref="B1:I1"/>
    <mergeCell ref="B2:G2"/>
    <mergeCell ref="A3:E3"/>
    <mergeCell ref="A4:E4"/>
    <mergeCell ref="A5:E5"/>
    <mergeCell ref="A6:E6"/>
    <mergeCell ref="A7:E7"/>
    <mergeCell ref="A8:E8"/>
    <mergeCell ref="A9:E9"/>
    <mergeCell ref="A10:E10"/>
    <mergeCell ref="A11:E11"/>
    <mergeCell ref="F18:G18"/>
    <mergeCell ref="A19:D19"/>
    <mergeCell ref="F19:G19"/>
    <mergeCell ref="A20:D20"/>
    <mergeCell ref="F20:G20"/>
    <mergeCell ref="A21:E21"/>
    <mergeCell ref="A13:E13"/>
    <mergeCell ref="A14:E14"/>
    <mergeCell ref="A15:D15"/>
    <mergeCell ref="A16:D16"/>
    <mergeCell ref="A17:D17"/>
    <mergeCell ref="A18:D18"/>
    <mergeCell ref="A34:E34"/>
    <mergeCell ref="B23:I23"/>
    <mergeCell ref="B24:G24"/>
    <mergeCell ref="A25:E25"/>
    <mergeCell ref="A26:E26"/>
    <mergeCell ref="A27:E27"/>
    <mergeCell ref="A28:E28"/>
    <mergeCell ref="A29:E29"/>
    <mergeCell ref="A30:E30"/>
    <mergeCell ref="A31:E31"/>
    <mergeCell ref="A32:E32"/>
    <mergeCell ref="A33:E33"/>
    <mergeCell ref="F40:G40"/>
    <mergeCell ref="A41:D41"/>
    <mergeCell ref="F41:G41"/>
    <mergeCell ref="A42:D42"/>
    <mergeCell ref="F42:G42"/>
    <mergeCell ref="A43:E43"/>
    <mergeCell ref="A35:E35"/>
    <mergeCell ref="A36:E36"/>
    <mergeCell ref="A37:D37"/>
    <mergeCell ref="A38:D38"/>
    <mergeCell ref="A39:D39"/>
    <mergeCell ref="A40:D40"/>
    <mergeCell ref="A56:E56"/>
    <mergeCell ref="B45:I45"/>
    <mergeCell ref="B46:G46"/>
    <mergeCell ref="A47:E47"/>
    <mergeCell ref="A48:E48"/>
    <mergeCell ref="A49:E49"/>
    <mergeCell ref="A50:E50"/>
    <mergeCell ref="A51:E51"/>
    <mergeCell ref="A52:E52"/>
    <mergeCell ref="A53:E53"/>
    <mergeCell ref="A54:E54"/>
    <mergeCell ref="A55:E55"/>
    <mergeCell ref="F62:G62"/>
    <mergeCell ref="A63:D63"/>
    <mergeCell ref="F63:G63"/>
    <mergeCell ref="A64:D64"/>
    <mergeCell ref="F64:G64"/>
    <mergeCell ref="A65:E65"/>
    <mergeCell ref="A57:E57"/>
    <mergeCell ref="A58:E58"/>
    <mergeCell ref="A59:D59"/>
    <mergeCell ref="A60:D60"/>
    <mergeCell ref="A61:D61"/>
    <mergeCell ref="A62:D6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9F255-5425-484C-BB2A-FB305B4D0701}">
  <dimension ref="A1:D26"/>
  <sheetViews>
    <sheetView zoomScale="120" zoomScaleNormal="120" workbookViewId="0">
      <selection activeCell="C12" sqref="C12"/>
    </sheetView>
  </sheetViews>
  <sheetFormatPr defaultColWidth="11.42578125" defaultRowHeight="14.45"/>
  <cols>
    <col min="1" max="1" width="23.140625" bestFit="1" customWidth="1"/>
    <col min="2" max="2" width="20" customWidth="1"/>
    <col min="3" max="3" width="15.7109375" customWidth="1"/>
    <col min="4" max="4" width="25.140625" customWidth="1"/>
  </cols>
  <sheetData>
    <row r="1" spans="1:4" ht="15.6">
      <c r="A1" s="42"/>
      <c r="B1" s="43"/>
      <c r="C1" s="43"/>
      <c r="D1" s="43"/>
    </row>
    <row r="2" spans="1:4" ht="18">
      <c r="A2" s="218" t="s">
        <v>144</v>
      </c>
      <c r="B2" s="218"/>
      <c r="C2" s="218"/>
      <c r="D2" s="218"/>
    </row>
    <row r="3" spans="1:4">
      <c r="A3" s="34"/>
      <c r="B3" s="34"/>
      <c r="C3" s="34"/>
      <c r="D3" s="34"/>
    </row>
    <row r="4" spans="1:4">
      <c r="A4" s="35"/>
      <c r="B4" s="35"/>
      <c r="C4" s="35"/>
      <c r="D4" s="35"/>
    </row>
    <row r="5" spans="1:4">
      <c r="A5" s="44" t="s">
        <v>145</v>
      </c>
      <c r="B5" s="44" t="s">
        <v>146</v>
      </c>
      <c r="C5" s="45" t="s">
        <v>147</v>
      </c>
      <c r="D5" s="45" t="s">
        <v>148</v>
      </c>
    </row>
    <row r="6" spans="1:4">
      <c r="A6" s="36" t="s">
        <v>149</v>
      </c>
      <c r="B6" s="46" t="s">
        <v>150</v>
      </c>
      <c r="C6" s="37">
        <f>B24*1</f>
        <v>45000</v>
      </c>
      <c r="D6" s="38">
        <f>+C6*1.7</f>
        <v>76500</v>
      </c>
    </row>
    <row r="7" spans="1:4">
      <c r="A7" s="36" t="s">
        <v>151</v>
      </c>
      <c r="B7" s="46" t="s">
        <v>152</v>
      </c>
      <c r="C7" s="37">
        <f>B24*2</f>
        <v>90000</v>
      </c>
      <c r="D7" s="38">
        <f t="shared" ref="D7:D13" si="0">+C7*1.7</f>
        <v>153000</v>
      </c>
    </row>
    <row r="8" spans="1:4">
      <c r="A8" s="36" t="s">
        <v>153</v>
      </c>
      <c r="B8" s="46" t="s">
        <v>154</v>
      </c>
      <c r="C8" s="37">
        <f>(B16+(B24*1))</f>
        <v>125000</v>
      </c>
      <c r="D8" s="38">
        <f t="shared" si="0"/>
        <v>212500</v>
      </c>
    </row>
    <row r="9" spans="1:4">
      <c r="A9" s="36" t="s">
        <v>155</v>
      </c>
      <c r="B9" s="46" t="s">
        <v>156</v>
      </c>
      <c r="C9" s="37">
        <f>(B16+(B24*2))</f>
        <v>170000</v>
      </c>
      <c r="D9" s="38">
        <f t="shared" si="0"/>
        <v>289000</v>
      </c>
    </row>
    <row r="10" spans="1:4">
      <c r="A10" s="36" t="s">
        <v>157</v>
      </c>
      <c r="B10" s="46" t="s">
        <v>158</v>
      </c>
      <c r="C10" s="37">
        <f>(B16+(B23*4))</f>
        <v>280000</v>
      </c>
      <c r="D10" s="38">
        <f t="shared" si="0"/>
        <v>476000</v>
      </c>
    </row>
    <row r="11" spans="1:4">
      <c r="A11" s="36" t="s">
        <v>159</v>
      </c>
      <c r="B11" s="46" t="s">
        <v>160</v>
      </c>
      <c r="C11" s="37">
        <f>(B16+(B24*6))</f>
        <v>350000</v>
      </c>
      <c r="D11" s="38">
        <f t="shared" si="0"/>
        <v>595000</v>
      </c>
    </row>
    <row r="12" spans="1:4">
      <c r="A12" s="47" t="s">
        <v>161</v>
      </c>
      <c r="B12" s="46" t="s">
        <v>162</v>
      </c>
      <c r="C12" s="38">
        <f>(B20+B21+B22)</f>
        <v>190000</v>
      </c>
      <c r="D12" s="38">
        <f t="shared" si="0"/>
        <v>323000</v>
      </c>
    </row>
    <row r="13" spans="1:4" ht="15.6">
      <c r="A13" s="35" t="s">
        <v>163</v>
      </c>
      <c r="B13" s="46" t="s">
        <v>164</v>
      </c>
      <c r="C13" s="39">
        <f>B16*2+B24*2</f>
        <v>250000</v>
      </c>
      <c r="D13" s="38">
        <f t="shared" si="0"/>
        <v>425000</v>
      </c>
    </row>
    <row r="14" spans="1:4">
      <c r="A14" s="40"/>
      <c r="B14" s="40"/>
      <c r="C14" s="41"/>
      <c r="D14" s="38"/>
    </row>
    <row r="15" spans="1:4">
      <c r="A15" s="44" t="s">
        <v>145</v>
      </c>
      <c r="B15" s="45" t="s">
        <v>165</v>
      </c>
      <c r="C15" s="44" t="s">
        <v>166</v>
      </c>
      <c r="D15" s="45" t="s">
        <v>167</v>
      </c>
    </row>
    <row r="16" spans="1:4">
      <c r="A16" s="48" t="s">
        <v>168</v>
      </c>
      <c r="B16" s="49">
        <v>80000</v>
      </c>
      <c r="C16" s="50">
        <v>0.7</v>
      </c>
      <c r="D16" s="51">
        <f t="shared" ref="D16:D24" si="1">(B16*30)*1.7</f>
        <v>4080000</v>
      </c>
    </row>
    <row r="17" spans="1:4">
      <c r="A17" s="48" t="s">
        <v>169</v>
      </c>
      <c r="B17" s="49">
        <v>80000</v>
      </c>
      <c r="C17" s="50">
        <v>0.7</v>
      </c>
      <c r="D17" s="51">
        <f t="shared" si="1"/>
        <v>4080000</v>
      </c>
    </row>
    <row r="18" spans="1:4">
      <c r="A18" s="48" t="s">
        <v>170</v>
      </c>
      <c r="B18" s="49">
        <v>80000</v>
      </c>
      <c r="C18" s="50">
        <v>0.7</v>
      </c>
      <c r="D18" s="51">
        <f t="shared" si="1"/>
        <v>4080000</v>
      </c>
    </row>
    <row r="19" spans="1:4">
      <c r="A19" s="48" t="s">
        <v>69</v>
      </c>
      <c r="B19" s="49">
        <v>80000</v>
      </c>
      <c r="C19" s="50">
        <v>0.7</v>
      </c>
      <c r="D19" s="51">
        <f t="shared" si="1"/>
        <v>4080000</v>
      </c>
    </row>
    <row r="20" spans="1:4">
      <c r="A20" s="48" t="s">
        <v>171</v>
      </c>
      <c r="B20" s="49">
        <v>90000</v>
      </c>
      <c r="C20" s="50">
        <v>0.7</v>
      </c>
      <c r="D20" s="51">
        <f t="shared" si="1"/>
        <v>4590000</v>
      </c>
    </row>
    <row r="21" spans="1:4">
      <c r="A21" s="48" t="s">
        <v>172</v>
      </c>
      <c r="B21" s="49">
        <v>50000</v>
      </c>
      <c r="C21" s="50">
        <v>0.7</v>
      </c>
      <c r="D21" s="51">
        <f t="shared" si="1"/>
        <v>2550000</v>
      </c>
    </row>
    <row r="22" spans="1:4">
      <c r="A22" s="48" t="s">
        <v>173</v>
      </c>
      <c r="B22" s="49">
        <v>50000</v>
      </c>
      <c r="C22" s="50">
        <v>0.7</v>
      </c>
      <c r="D22" s="51">
        <f t="shared" si="1"/>
        <v>2550000</v>
      </c>
    </row>
    <row r="23" spans="1:4">
      <c r="A23" s="48" t="s">
        <v>138</v>
      </c>
      <c r="B23" s="49">
        <v>50000</v>
      </c>
      <c r="C23" s="50">
        <v>0.7</v>
      </c>
      <c r="D23" s="51">
        <f t="shared" si="1"/>
        <v>2550000</v>
      </c>
    </row>
    <row r="24" spans="1:4">
      <c r="A24" s="48" t="s">
        <v>174</v>
      </c>
      <c r="B24" s="49">
        <v>45000</v>
      </c>
      <c r="C24" s="50">
        <v>0.7</v>
      </c>
      <c r="D24" s="51">
        <f t="shared" si="1"/>
        <v>2295000</v>
      </c>
    </row>
    <row r="25" spans="1:4">
      <c r="A25" s="48" t="s">
        <v>175</v>
      </c>
      <c r="B25" s="49">
        <v>80000</v>
      </c>
      <c r="C25" s="50">
        <v>0.7</v>
      </c>
      <c r="D25" s="51">
        <f>(B25*30)*1.7</f>
        <v>4080000</v>
      </c>
    </row>
    <row r="26" spans="1:4">
      <c r="A26" s="48" t="s">
        <v>176</v>
      </c>
      <c r="B26" s="49">
        <v>150000</v>
      </c>
      <c r="C26" s="50">
        <v>0.7</v>
      </c>
      <c r="D26" s="51">
        <f>(B26*30)*1.7</f>
        <v>7650000</v>
      </c>
    </row>
  </sheetData>
  <mergeCells count="1">
    <mergeCell ref="A2:D2"/>
  </mergeCells>
  <phoneticPr fontId="2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BA41C-76A9-4A20-8ED4-6C5FADC45397}">
  <dimension ref="A1:J44"/>
  <sheetViews>
    <sheetView topLeftCell="A19" workbookViewId="0">
      <selection activeCell="E13" sqref="E13"/>
    </sheetView>
  </sheetViews>
  <sheetFormatPr defaultColWidth="11.42578125" defaultRowHeight="14.45"/>
  <cols>
    <col min="10" max="10" width="16.85546875" customWidth="1"/>
  </cols>
  <sheetData>
    <row r="1" spans="1:10">
      <c r="A1" s="221" t="s">
        <v>177</v>
      </c>
      <c r="B1" s="222"/>
      <c r="C1" s="222"/>
      <c r="D1" s="222"/>
      <c r="E1" s="222"/>
      <c r="F1" s="222"/>
      <c r="G1" s="222"/>
      <c r="H1" s="222"/>
      <c r="I1" s="222"/>
      <c r="J1" s="223"/>
    </row>
    <row r="2" spans="1:10" ht="15" thickBot="1">
      <c r="A2" s="224"/>
      <c r="B2" s="225"/>
      <c r="C2" s="225"/>
      <c r="D2" s="225"/>
      <c r="E2" s="225"/>
      <c r="F2" s="225"/>
      <c r="G2" s="225"/>
      <c r="H2" s="225"/>
      <c r="I2" s="225"/>
      <c r="J2" s="226"/>
    </row>
    <row r="3" spans="1:10" ht="15" thickBot="1">
      <c r="A3" s="227"/>
      <c r="B3" s="227"/>
      <c r="C3" s="227"/>
      <c r="D3" s="227"/>
      <c r="E3" s="227"/>
      <c r="F3" s="227"/>
      <c r="G3" s="227"/>
      <c r="H3" s="227"/>
      <c r="I3" s="227"/>
      <c r="J3" s="227"/>
    </row>
    <row r="4" spans="1:10" ht="15" thickBot="1">
      <c r="A4" s="228" t="s">
        <v>178</v>
      </c>
      <c r="B4" s="229"/>
      <c r="C4" s="229"/>
      <c r="D4" s="229"/>
      <c r="E4" s="229"/>
      <c r="F4" s="229"/>
      <c r="G4" s="229"/>
      <c r="H4" s="229"/>
      <c r="I4" s="100"/>
      <c r="J4" s="101">
        <f>[1]PRESUPUESTO!F13</f>
        <v>18345072</v>
      </c>
    </row>
    <row r="5" spans="1:10">
      <c r="A5" s="102"/>
      <c r="B5" s="103" t="s">
        <v>2</v>
      </c>
      <c r="C5" s="104"/>
      <c r="D5" s="105" t="s">
        <v>179</v>
      </c>
      <c r="E5" s="105" t="s">
        <v>180</v>
      </c>
      <c r="F5" s="105" t="s">
        <v>181</v>
      </c>
      <c r="G5" s="105" t="s">
        <v>182</v>
      </c>
      <c r="H5" s="105" t="s">
        <v>183</v>
      </c>
      <c r="I5" s="105" t="s">
        <v>183</v>
      </c>
      <c r="J5" s="106" t="s">
        <v>184</v>
      </c>
    </row>
    <row r="6" spans="1:10">
      <c r="A6" s="107"/>
      <c r="B6" s="230"/>
      <c r="C6" s="231"/>
      <c r="D6" s="108"/>
      <c r="E6" s="109" t="s">
        <v>185</v>
      </c>
      <c r="F6" s="108"/>
      <c r="G6" s="108"/>
      <c r="H6" s="109" t="s">
        <v>181</v>
      </c>
      <c r="I6" s="108"/>
      <c r="J6" s="110"/>
    </row>
    <row r="7" spans="1:10" ht="31.9" customHeight="1">
      <c r="A7" s="111">
        <v>1</v>
      </c>
      <c r="B7" s="219" t="s">
        <v>186</v>
      </c>
      <c r="C7" s="220"/>
      <c r="D7" s="112"/>
      <c r="E7" s="112"/>
      <c r="F7" s="112"/>
      <c r="G7" s="112"/>
      <c r="H7" s="112"/>
      <c r="I7" s="113">
        <f>SUM(I8:I8)</f>
        <v>55035.215999999993</v>
      </c>
      <c r="J7" s="114">
        <f>I7/J4</f>
        <v>2.9999999999999996E-3</v>
      </c>
    </row>
    <row r="8" spans="1:10">
      <c r="A8" s="115"/>
      <c r="B8" s="232" t="s">
        <v>187</v>
      </c>
      <c r="C8" s="233"/>
      <c r="D8" s="116"/>
      <c r="E8" s="117"/>
      <c r="F8" s="118"/>
      <c r="G8" s="112"/>
      <c r="H8" s="119"/>
      <c r="I8" s="120">
        <f>J4*0.3/100</f>
        <v>55035.215999999993</v>
      </c>
      <c r="J8" s="121"/>
    </row>
    <row r="9" spans="1:10">
      <c r="A9" s="115"/>
      <c r="B9" s="232"/>
      <c r="C9" s="233"/>
      <c r="D9" s="116"/>
      <c r="E9" s="117"/>
      <c r="F9" s="118"/>
      <c r="G9" s="112"/>
      <c r="H9" s="119"/>
      <c r="I9" s="120"/>
      <c r="J9" s="121"/>
    </row>
    <row r="10" spans="1:10">
      <c r="A10" s="122">
        <v>2</v>
      </c>
      <c r="B10" s="219" t="s">
        <v>188</v>
      </c>
      <c r="C10" s="220"/>
      <c r="D10" s="112"/>
      <c r="E10" s="112"/>
      <c r="F10" s="112"/>
      <c r="G10" s="118"/>
      <c r="H10" s="119"/>
      <c r="I10" s="123">
        <f>SUM(H11:H12)</f>
        <v>3098250</v>
      </c>
      <c r="J10" s="124">
        <f>I10/J4</f>
        <v>0.16888731753137845</v>
      </c>
    </row>
    <row r="11" spans="1:10">
      <c r="A11" s="115"/>
      <c r="B11" s="232"/>
      <c r="C11" s="233"/>
      <c r="D11" s="125"/>
      <c r="E11" s="117"/>
      <c r="F11" s="118"/>
      <c r="G11" s="112"/>
      <c r="H11" s="119"/>
      <c r="I11" s="120"/>
      <c r="J11" s="121"/>
    </row>
    <row r="12" spans="1:10">
      <c r="A12" s="115"/>
      <c r="B12" s="232" t="s">
        <v>189</v>
      </c>
      <c r="C12" s="233"/>
      <c r="D12" s="116">
        <v>1</v>
      </c>
      <c r="E12" s="117">
        <v>1.35</v>
      </c>
      <c r="F12" s="118">
        <v>1350000</v>
      </c>
      <c r="G12" s="112">
        <v>1.7</v>
      </c>
      <c r="H12" s="119">
        <f>F12*G12*E12*D12</f>
        <v>3098250</v>
      </c>
      <c r="I12" s="120"/>
      <c r="J12" s="121"/>
    </row>
    <row r="13" spans="1:10">
      <c r="A13" s="115"/>
      <c r="B13" s="232"/>
      <c r="C13" s="233"/>
      <c r="D13" s="116"/>
      <c r="E13" s="117"/>
      <c r="F13" s="118"/>
      <c r="G13" s="112"/>
      <c r="H13" s="119"/>
      <c r="I13" s="120"/>
      <c r="J13" s="121"/>
    </row>
    <row r="14" spans="1:10">
      <c r="A14" s="122">
        <v>3</v>
      </c>
      <c r="B14" s="219" t="s">
        <v>190</v>
      </c>
      <c r="C14" s="220"/>
      <c r="D14" s="112"/>
      <c r="E14" s="112"/>
      <c r="F14" s="112"/>
      <c r="G14" s="118"/>
      <c r="H14" s="119"/>
      <c r="I14" s="123">
        <f>SUM(I15:I15)</f>
        <v>0</v>
      </c>
      <c r="J14" s="124">
        <f>I14/J4</f>
        <v>0</v>
      </c>
    </row>
    <row r="15" spans="1:10">
      <c r="A15" s="122"/>
      <c r="B15" s="236"/>
      <c r="C15" s="237"/>
      <c r="D15" s="112"/>
      <c r="E15" s="112"/>
      <c r="F15" s="112"/>
      <c r="G15" s="118"/>
      <c r="H15" s="119"/>
      <c r="I15" s="120"/>
      <c r="J15" s="126"/>
    </row>
    <row r="16" spans="1:10">
      <c r="A16" s="122"/>
      <c r="B16" s="236"/>
      <c r="C16" s="237"/>
      <c r="D16" s="112"/>
      <c r="E16" s="112"/>
      <c r="F16" s="112"/>
      <c r="G16" s="118"/>
      <c r="H16" s="119"/>
      <c r="I16" s="120"/>
      <c r="J16" s="126"/>
    </row>
    <row r="17" spans="1:10">
      <c r="A17" s="122">
        <v>4</v>
      </c>
      <c r="B17" s="219" t="s">
        <v>191</v>
      </c>
      <c r="C17" s="220"/>
      <c r="D17" s="112"/>
      <c r="E17" s="112"/>
      <c r="F17" s="112"/>
      <c r="G17" s="118"/>
      <c r="H17" s="119"/>
      <c r="I17" s="123">
        <f>SUM(H18:H19)</f>
        <v>0</v>
      </c>
      <c r="J17" s="124">
        <f>I17/J4</f>
        <v>0</v>
      </c>
    </row>
    <row r="18" spans="1:10">
      <c r="A18" s="115"/>
      <c r="B18" s="232" t="s">
        <v>192</v>
      </c>
      <c r="C18" s="233"/>
      <c r="D18" s="116"/>
      <c r="E18" s="127"/>
      <c r="F18" s="118"/>
      <c r="G18" s="112"/>
      <c r="H18" s="119"/>
      <c r="I18" s="120"/>
      <c r="J18" s="121"/>
    </row>
    <row r="19" spans="1:10">
      <c r="A19" s="115"/>
      <c r="B19" s="232"/>
      <c r="C19" s="233"/>
      <c r="D19" s="116"/>
      <c r="E19" s="127"/>
      <c r="F19" s="118"/>
      <c r="G19" s="112"/>
      <c r="H19" s="119"/>
      <c r="I19" s="120"/>
      <c r="J19" s="121"/>
    </row>
    <row r="20" spans="1:10">
      <c r="A20" s="122">
        <v>5</v>
      </c>
      <c r="B20" s="219" t="s">
        <v>193</v>
      </c>
      <c r="C20" s="220"/>
      <c r="D20" s="112"/>
      <c r="E20" s="112"/>
      <c r="F20" s="112"/>
      <c r="G20" s="112"/>
      <c r="H20" s="119"/>
      <c r="I20" s="128">
        <f>SUM(I21:I22)</f>
        <v>0</v>
      </c>
      <c r="J20" s="126">
        <f>I20/J4</f>
        <v>0</v>
      </c>
    </row>
    <row r="21" spans="1:10">
      <c r="A21" s="115"/>
      <c r="B21" s="232"/>
      <c r="C21" s="233"/>
      <c r="D21" s="116"/>
      <c r="E21" s="112"/>
      <c r="F21" s="112"/>
      <c r="G21" s="112"/>
      <c r="H21" s="119"/>
      <c r="I21" s="129"/>
      <c r="J21" s="121"/>
    </row>
    <row r="22" spans="1:10">
      <c r="A22" s="115"/>
      <c r="B22" s="232"/>
      <c r="C22" s="233"/>
      <c r="D22" s="116"/>
      <c r="E22" s="112"/>
      <c r="F22" s="112"/>
      <c r="G22" s="112"/>
      <c r="H22" s="119"/>
      <c r="I22" s="130"/>
      <c r="J22" s="121"/>
    </row>
    <row r="23" spans="1:10">
      <c r="A23" s="122">
        <v>6</v>
      </c>
      <c r="B23" s="238" t="s">
        <v>194</v>
      </c>
      <c r="C23" s="239"/>
      <c r="D23" s="112"/>
      <c r="E23" s="112"/>
      <c r="F23" s="112"/>
      <c r="G23" s="112"/>
      <c r="H23" s="119"/>
      <c r="I23" s="128">
        <f>+I24</f>
        <v>91725.360000000015</v>
      </c>
      <c r="J23" s="131">
        <f>I23/J4</f>
        <v>5.000000000000001E-3</v>
      </c>
    </row>
    <row r="24" spans="1:10">
      <c r="A24" s="122"/>
      <c r="B24" s="232" t="s">
        <v>195</v>
      </c>
      <c r="C24" s="233"/>
      <c r="D24" s="112"/>
      <c r="E24" s="112"/>
      <c r="F24" s="112"/>
      <c r="G24" s="112"/>
      <c r="H24" s="119"/>
      <c r="I24" s="120">
        <f>J4*0.05/10</f>
        <v>91725.360000000015</v>
      </c>
      <c r="J24" s="126"/>
    </row>
    <row r="25" spans="1:10">
      <c r="A25" s="122"/>
      <c r="B25" s="232"/>
      <c r="C25" s="233"/>
      <c r="D25" s="112"/>
      <c r="E25" s="112"/>
      <c r="F25" s="112"/>
      <c r="G25" s="112"/>
      <c r="H25" s="119"/>
      <c r="I25" s="120"/>
      <c r="J25" s="126"/>
    </row>
    <row r="26" spans="1:10">
      <c r="A26" s="111">
        <v>7</v>
      </c>
      <c r="B26" s="132" t="s">
        <v>196</v>
      </c>
      <c r="C26" s="112"/>
      <c r="D26" s="112"/>
      <c r="E26" s="112"/>
      <c r="F26" s="112"/>
      <c r="G26" s="112"/>
      <c r="H26" s="119"/>
      <c r="I26" s="128">
        <f>SUM(I27:I28)</f>
        <v>232982.41439999998</v>
      </c>
      <c r="J26" s="126">
        <f>I26/J4</f>
        <v>1.2699999999999999E-2</v>
      </c>
    </row>
    <row r="27" spans="1:10">
      <c r="A27" s="115"/>
      <c r="B27" s="234" t="s">
        <v>197</v>
      </c>
      <c r="C27" s="235"/>
      <c r="D27" s="112"/>
      <c r="E27" s="112"/>
      <c r="F27" s="112"/>
      <c r="G27" s="112"/>
      <c r="H27" s="119"/>
      <c r="I27" s="120">
        <f>(J4*0.09/10)</f>
        <v>165105.64799999999</v>
      </c>
      <c r="J27" s="121"/>
    </row>
    <row r="28" spans="1:10">
      <c r="A28" s="115"/>
      <c r="B28" s="234" t="s">
        <v>198</v>
      </c>
      <c r="C28" s="235"/>
      <c r="D28" s="112"/>
      <c r="E28" s="112"/>
      <c r="F28" s="112"/>
      <c r="G28" s="112"/>
      <c r="H28" s="119"/>
      <c r="I28" s="120">
        <f>(J4*0.037/10)</f>
        <v>67876.766399999993</v>
      </c>
      <c r="J28" s="121"/>
    </row>
    <row r="29" spans="1:10">
      <c r="A29" s="133">
        <v>9</v>
      </c>
      <c r="B29" s="219" t="s">
        <v>199</v>
      </c>
      <c r="C29" s="220"/>
      <c r="D29" s="134"/>
      <c r="E29" s="134"/>
      <c r="F29" s="134"/>
      <c r="G29" s="134"/>
      <c r="H29" s="135"/>
      <c r="I29" s="123">
        <f>SUM(I30:I37)</f>
        <v>183450.72</v>
      </c>
      <c r="J29" s="124">
        <f>I29/J4</f>
        <v>0.01</v>
      </c>
    </row>
    <row r="30" spans="1:10">
      <c r="A30" s="122"/>
      <c r="B30" s="234" t="s">
        <v>200</v>
      </c>
      <c r="C30" s="235"/>
      <c r="D30" s="112"/>
      <c r="E30" s="112"/>
      <c r="F30" s="112"/>
      <c r="G30" s="112"/>
      <c r="H30" s="119"/>
      <c r="I30" s="136">
        <f>$J$4*1/100</f>
        <v>183450.72</v>
      </c>
      <c r="J30" s="126"/>
    </row>
    <row r="31" spans="1:10">
      <c r="A31" s="115"/>
      <c r="B31" s="234"/>
      <c r="C31" s="235"/>
      <c r="D31" s="112"/>
      <c r="E31" s="112"/>
      <c r="F31" s="112"/>
      <c r="G31" s="112"/>
      <c r="H31" s="119"/>
      <c r="I31" s="136"/>
      <c r="J31" s="137"/>
    </row>
    <row r="32" spans="1:10">
      <c r="A32" s="111"/>
      <c r="B32" s="234"/>
      <c r="C32" s="235"/>
      <c r="D32" s="112"/>
      <c r="E32" s="112"/>
      <c r="F32" s="112"/>
      <c r="G32" s="112"/>
      <c r="H32" s="119"/>
      <c r="I32" s="136"/>
      <c r="J32" s="137"/>
    </row>
    <row r="33" spans="1:10">
      <c r="A33" s="111"/>
      <c r="B33" s="234"/>
      <c r="C33" s="235"/>
      <c r="D33" s="112"/>
      <c r="E33" s="112"/>
      <c r="F33" s="112"/>
      <c r="G33" s="112"/>
      <c r="H33" s="119"/>
      <c r="I33" s="136"/>
      <c r="J33" s="137"/>
    </row>
    <row r="34" spans="1:10">
      <c r="A34" s="115"/>
      <c r="B34" s="234"/>
      <c r="C34" s="235"/>
      <c r="D34" s="112"/>
      <c r="E34" s="112"/>
      <c r="F34" s="112"/>
      <c r="G34" s="112"/>
      <c r="H34" s="119"/>
      <c r="I34" s="136"/>
      <c r="J34" s="138"/>
    </row>
    <row r="35" spans="1:10">
      <c r="A35" s="111"/>
      <c r="B35" s="234"/>
      <c r="C35" s="235"/>
      <c r="D35" s="112"/>
      <c r="E35" s="112"/>
      <c r="F35" s="112"/>
      <c r="G35" s="112"/>
      <c r="H35" s="119"/>
      <c r="I35" s="136"/>
      <c r="J35" s="137"/>
    </row>
    <row r="36" spans="1:10">
      <c r="A36" s="111"/>
      <c r="B36" s="234"/>
      <c r="C36" s="235"/>
      <c r="D36" s="112"/>
      <c r="E36" s="112"/>
      <c r="F36" s="112"/>
      <c r="G36" s="112"/>
      <c r="H36" s="119"/>
      <c r="I36" s="136"/>
      <c r="J36" s="137"/>
    </row>
    <row r="37" spans="1:10">
      <c r="A37" s="111"/>
      <c r="B37" s="234"/>
      <c r="C37" s="235"/>
      <c r="D37" s="112"/>
      <c r="E37" s="112"/>
      <c r="F37" s="112"/>
      <c r="G37" s="112"/>
      <c r="H37" s="119"/>
      <c r="I37" s="136"/>
      <c r="J37" s="137"/>
    </row>
    <row r="38" spans="1:10">
      <c r="A38" s="111"/>
      <c r="B38" s="243"/>
      <c r="C38" s="244"/>
      <c r="D38" s="244"/>
      <c r="E38" s="244"/>
      <c r="F38" s="244"/>
      <c r="G38" s="244"/>
      <c r="H38" s="244"/>
      <c r="I38" s="245"/>
      <c r="J38" s="137"/>
    </row>
    <row r="39" spans="1:10">
      <c r="A39" s="115"/>
      <c r="B39" s="139" t="s">
        <v>201</v>
      </c>
      <c r="C39" s="134"/>
      <c r="D39" s="112"/>
      <c r="E39" s="112"/>
      <c r="F39" s="112"/>
      <c r="G39" s="112"/>
      <c r="H39" s="119"/>
      <c r="I39" s="140"/>
      <c r="J39" s="114">
        <f>+J29+J26+J23+J20+J17+J14+J10+J7</f>
        <v>0.19958731753137846</v>
      </c>
    </row>
    <row r="40" spans="1:10" ht="15" thickBot="1">
      <c r="A40" s="141"/>
      <c r="B40" s="142" t="s">
        <v>202</v>
      </c>
      <c r="C40" s="143"/>
      <c r="D40" s="144"/>
      <c r="E40" s="144"/>
      <c r="F40" s="144"/>
      <c r="G40" s="144"/>
      <c r="H40" s="145"/>
      <c r="I40" s="146"/>
      <c r="J40" s="147">
        <v>0.05</v>
      </c>
    </row>
    <row r="41" spans="1:10" ht="15" thickBot="1">
      <c r="A41" s="240" t="s">
        <v>203</v>
      </c>
      <c r="B41" s="241"/>
      <c r="C41" s="241"/>
      <c r="D41" s="241"/>
      <c r="E41" s="241"/>
      <c r="F41" s="241"/>
      <c r="G41" s="241"/>
      <c r="H41" s="241"/>
      <c r="I41" s="242"/>
      <c r="J41" s="148">
        <f>SUM(J39:J40)</f>
        <v>0.24958731753137847</v>
      </c>
    </row>
    <row r="42" spans="1:10">
      <c r="A42" s="149"/>
      <c r="B42" s="150"/>
      <c r="C42" s="149"/>
      <c r="D42" s="149"/>
      <c r="E42" s="151"/>
      <c r="F42" s="152"/>
      <c r="G42" s="153"/>
      <c r="H42" s="149"/>
      <c r="I42" s="154"/>
      <c r="J42" s="149"/>
    </row>
    <row r="43" spans="1:10">
      <c r="A43" s="149"/>
      <c r="B43" s="150" t="s">
        <v>204</v>
      </c>
      <c r="C43" s="150"/>
      <c r="D43" s="155">
        <f>+J39</f>
        <v>0.19958731753137846</v>
      </c>
      <c r="E43" s="151"/>
      <c r="F43" s="151"/>
      <c r="G43" s="149"/>
      <c r="H43" s="149"/>
      <c r="I43" s="154"/>
      <c r="J43" s="149"/>
    </row>
    <row r="44" spans="1:10">
      <c r="A44" s="149"/>
      <c r="B44" s="150" t="s">
        <v>205</v>
      </c>
      <c r="C44" s="150"/>
      <c r="D44" s="155">
        <f>+J40</f>
        <v>0.05</v>
      </c>
      <c r="E44" s="151"/>
      <c r="F44" s="151"/>
      <c r="G44" s="149"/>
      <c r="H44" s="149"/>
      <c r="I44" s="149"/>
      <c r="J44" s="149"/>
    </row>
  </sheetData>
  <mergeCells count="36">
    <mergeCell ref="A41:I41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I38"/>
    <mergeCell ref="B27:C2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14:C14"/>
    <mergeCell ref="A1:J2"/>
    <mergeCell ref="A3:J3"/>
    <mergeCell ref="A4:H4"/>
    <mergeCell ref="B6:C6"/>
    <mergeCell ref="B7:C7"/>
    <mergeCell ref="B8:C8"/>
    <mergeCell ref="B9:C9"/>
    <mergeCell ref="B10:C10"/>
    <mergeCell ref="B11:C11"/>
    <mergeCell ref="B12:C12"/>
    <mergeCell ref="B13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victor mercado sampayo</dc:creator>
  <cp:keywords/>
  <dc:description/>
  <cp:lastModifiedBy>Jaime Alberto Sepulveda Salas</cp:lastModifiedBy>
  <cp:revision/>
  <dcterms:created xsi:type="dcterms:W3CDTF">2017-11-10T14:59:13Z</dcterms:created>
  <dcterms:modified xsi:type="dcterms:W3CDTF">2024-08-12T15:34:12Z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2024-08-12T15:10:37Z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54906a2d-a8ad-4482-a81b-ec0a4e61da58</vt:lpwstr>
  </property>
  <property fmtid="{D5CDD505-2E9C-101B-9397-08002B2CF9AE}" pid="8" name="MSIP_Label_fc111285-cafa-4fc9-8a9a-bd902089b24f_ContentBits">
    <vt:lpwstr>0</vt:lpwstr>
  </property>
</Properties>
</file>