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EsteLibro"/>
  <mc:AlternateContent xmlns:mc="http://schemas.openxmlformats.org/markup-compatibility/2006">
    <mc:Choice Requires="x15">
      <x15ac:absPath xmlns:x15ac="http://schemas.microsoft.com/office/spreadsheetml/2010/11/ac" url="C:\Users\GABRIELA LUCIA ARIAS\Desktop\ADJUDICACION HOY 20-09-2024\"/>
    </mc:Choice>
  </mc:AlternateContent>
  <xr:revisionPtr revIDLastSave="0" documentId="8_{3849C156-B2B3-44E1-B314-061880038BE1}" xr6:coauthVersionLast="47" xr6:coauthVersionMax="47" xr10:uidLastSave="{00000000-0000-0000-0000-000000000000}"/>
  <bookViews>
    <workbookView xWindow="-110" yWindow="-110" windowWidth="19420" windowHeight="10300" tabRatio="909" firstSheet="1" activeTab="9" xr2:uid="{00000000-000D-0000-FFFF-FFFF00000000}"/>
  </bookViews>
  <sheets>
    <sheet name="Verificaciones" sheetId="1" state="hidden" r:id="rId1"/>
    <sheet name="POA" sheetId="6" r:id="rId2"/>
    <sheet name="Puntajes" sheetId="14" r:id="rId3"/>
    <sheet name="Capacidad Financiera" sheetId="4" r:id="rId4"/>
    <sheet name="Puntaje Exp" sheetId="17" r:id="rId5"/>
    <sheet name="Puntaje CT" sheetId="16" r:id="rId6"/>
    <sheet name="Puntaje CF" sheetId="18" r:id="rId7"/>
    <sheet name="Saldo CtosEjecución" sheetId="19" r:id="rId8"/>
    <sheet name="Cap Organización" sheetId="20" r:id="rId9"/>
    <sheet name="Capacidad Residual" sheetId="5" r:id="rId10"/>
    <sheet name="OPCIONAL" sheetId="23" r:id="rId11"/>
    <sheet name="PO" sheetId="7" state="hidden" r:id="rId12"/>
  </sheets>
  <definedNames>
    <definedName name="AnticipoM1">POA!$D$2</definedName>
    <definedName name="AnticipoM10">POA!#REF!</definedName>
    <definedName name="AnticipoM2">POA!#REF!</definedName>
    <definedName name="AnticipoM3">POA!#REF!</definedName>
    <definedName name="AnticipoM4">POA!#REF!</definedName>
    <definedName name="AnticipoM5">POA!#REF!</definedName>
    <definedName name="AnticipoM6">POA!#REF!</definedName>
    <definedName name="AnticipoM7">POA!#REF!</definedName>
    <definedName name="AnticipoM8">POA!#REF!</definedName>
    <definedName name="AnticipoM9">POA!#REF!</definedName>
    <definedName name="CapFinanciera1">Puntajes!$C$4</definedName>
    <definedName name="CapFinanciera2">Puntajes!$C$5</definedName>
    <definedName name="CapFinanciera3">Puntajes!$C$6</definedName>
    <definedName name="CapFinanciera4">Puntajes!$C$7</definedName>
    <definedName name="CapTecnica1">Puntajes!$K$4</definedName>
    <definedName name="CapTecnica2">Puntajes!$K$5</definedName>
    <definedName name="Experiencia1">Puntajes!$G$4</definedName>
    <definedName name="Experiencia2">Puntajes!$G$5</definedName>
    <definedName name="Experiencia3">Puntajes!$G$6</definedName>
    <definedName name="PlazoM1">POA!$C$2</definedName>
    <definedName name="PlazoM10">POA!#REF!</definedName>
    <definedName name="PlazoM2">POA!#REF!</definedName>
    <definedName name="PlazoM3">POA!#REF!</definedName>
    <definedName name="PlazoM4">POA!#REF!</definedName>
    <definedName name="PlazoM5">POA!#REF!</definedName>
    <definedName name="PlazoM6">POA!#REF!</definedName>
    <definedName name="PlazoM7">POA!#REF!</definedName>
    <definedName name="PlazoM8">POA!#REF!</definedName>
    <definedName name="PlazoM9">POA!#REF!</definedName>
    <definedName name="SALACTUAL">POA!$F$2</definedName>
    <definedName name="Z_7043DB3C_32B3_43B5_9ACE_4B1C78863594_.wvu.PrintArea" localSheetId="3" hidden="1">'Capacidad Financiera'!$B$1:$AB$12</definedName>
  </definedNames>
  <calcPr calcId="191028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3" i="5" l="1"/>
  <c r="N30" i="5"/>
  <c r="O30" i="5" s="1"/>
  <c r="M30" i="5"/>
  <c r="P32" i="5"/>
  <c r="N32" i="5"/>
  <c r="L32" i="5"/>
  <c r="M32" i="5" s="1"/>
  <c r="J32" i="5"/>
  <c r="P31" i="5"/>
  <c r="L31" i="5"/>
  <c r="M31" i="5" s="1"/>
  <c r="J31" i="5"/>
  <c r="C35" i="20"/>
  <c r="C35" i="16"/>
  <c r="E35" i="16" s="1"/>
  <c r="D35" i="17"/>
  <c r="C35" i="17"/>
  <c r="J35" i="4"/>
  <c r="I35" i="4"/>
  <c r="E35" i="5"/>
  <c r="E32" i="5"/>
  <c r="E32" i="16"/>
  <c r="D32" i="17"/>
  <c r="G32" i="17" s="1"/>
  <c r="D30" i="5"/>
  <c r="C35" i="5"/>
  <c r="C32" i="5"/>
  <c r="C35" i="19"/>
  <c r="C32" i="19"/>
  <c r="C38" i="18"/>
  <c r="C35" i="18"/>
  <c r="E35" i="18" s="1"/>
  <c r="C32" i="18"/>
  <c r="E32" i="18" s="1"/>
  <c r="C34" i="18"/>
  <c r="B33" i="18"/>
  <c r="C33" i="18"/>
  <c r="B34" i="18"/>
  <c r="J32" i="4"/>
  <c r="J31" i="4"/>
  <c r="I32" i="4"/>
  <c r="D30" i="17"/>
  <c r="D36" i="4"/>
  <c r="D36" i="5" s="1"/>
  <c r="D33" i="4"/>
  <c r="D33" i="5" s="1"/>
  <c r="D30" i="4"/>
  <c r="E23" i="17"/>
  <c r="G35" i="17" l="1"/>
  <c r="F35" i="17"/>
  <c r="D32" i="18"/>
  <c r="F32" i="18" s="1"/>
  <c r="G32" i="18" s="1"/>
  <c r="O32" i="5" s="1"/>
  <c r="D35" i="18"/>
  <c r="F32" i="17"/>
  <c r="H32" i="17" s="1"/>
  <c r="I32" i="17" s="1"/>
  <c r="K32" i="5" s="1"/>
  <c r="E33" i="18"/>
  <c r="E34" i="18"/>
  <c r="G33" i="18"/>
  <c r="D33" i="18"/>
  <c r="E29" i="16"/>
  <c r="L29" i="5"/>
  <c r="M29" i="5" s="1"/>
  <c r="E29" i="18"/>
  <c r="D29" i="18"/>
  <c r="E29" i="5"/>
  <c r="G29" i="17"/>
  <c r="F29" i="17"/>
  <c r="H29" i="17" s="1"/>
  <c r="I29" i="17" s="1"/>
  <c r="L26" i="5"/>
  <c r="M26" i="5" s="1"/>
  <c r="E26" i="18"/>
  <c r="D26" i="18"/>
  <c r="E26" i="16"/>
  <c r="I26" i="17"/>
  <c r="G26" i="17"/>
  <c r="F26" i="17"/>
  <c r="H26" i="17" s="1"/>
  <c r="E26" i="5"/>
  <c r="J29" i="4"/>
  <c r="I29" i="4"/>
  <c r="J28" i="4"/>
  <c r="I28" i="4"/>
  <c r="L27" i="4"/>
  <c r="K27" i="4"/>
  <c r="H27" i="4"/>
  <c r="G27" i="4"/>
  <c r="F27" i="4"/>
  <c r="E27" i="4"/>
  <c r="D27" i="4"/>
  <c r="J26" i="4"/>
  <c r="I26" i="4"/>
  <c r="J25" i="4"/>
  <c r="I25" i="4"/>
  <c r="L24" i="4"/>
  <c r="K24" i="4"/>
  <c r="H24" i="4"/>
  <c r="G24" i="4"/>
  <c r="F24" i="4"/>
  <c r="E24" i="4"/>
  <c r="D24" i="4"/>
  <c r="Q32" i="5" l="1"/>
  <c r="H35" i="17"/>
  <c r="I35" i="17" s="1"/>
  <c r="F35" i="18"/>
  <c r="G35" i="18" s="1"/>
  <c r="F33" i="18"/>
  <c r="D34" i="18"/>
  <c r="F34" i="18" s="1"/>
  <c r="I24" i="4"/>
  <c r="F29" i="18"/>
  <c r="G29" i="18" s="1"/>
  <c r="J27" i="4"/>
  <c r="I27" i="4"/>
  <c r="F26" i="18"/>
  <c r="G26" i="18" s="1"/>
  <c r="J24" i="4"/>
  <c r="E38" i="5"/>
  <c r="E37" i="5"/>
  <c r="E34" i="5"/>
  <c r="F34" i="5" s="1"/>
  <c r="L34" i="5"/>
  <c r="M34" i="5" s="1"/>
  <c r="E31" i="5"/>
  <c r="E28" i="5"/>
  <c r="E25" i="5"/>
  <c r="E23" i="5"/>
  <c r="E21" i="5"/>
  <c r="E19" i="5"/>
  <c r="F19" i="5" s="1"/>
  <c r="E18" i="5"/>
  <c r="E17" i="5"/>
  <c r="B20" i="5"/>
  <c r="B22" i="5"/>
  <c r="B24" i="5"/>
  <c r="B27" i="5"/>
  <c r="B30" i="5"/>
  <c r="B33" i="5"/>
  <c r="B36" i="5"/>
  <c r="E36" i="5"/>
  <c r="E33" i="5"/>
  <c r="E30" i="5"/>
  <c r="E27" i="5"/>
  <c r="E24" i="5"/>
  <c r="E22" i="5"/>
  <c r="E20" i="5"/>
  <c r="E16" i="5"/>
  <c r="B27" i="16"/>
  <c r="B30" i="16"/>
  <c r="B33" i="16"/>
  <c r="B36" i="16"/>
  <c r="L19" i="5"/>
  <c r="M19" i="5" s="1"/>
  <c r="B36" i="20"/>
  <c r="B33" i="20"/>
  <c r="B30" i="20"/>
  <c r="B27" i="20"/>
  <c r="B24" i="20"/>
  <c r="B22" i="20"/>
  <c r="B20" i="20"/>
  <c r="B16" i="20"/>
  <c r="B36" i="19"/>
  <c r="B33" i="19"/>
  <c r="B30" i="19"/>
  <c r="B27" i="19"/>
  <c r="B24" i="19"/>
  <c r="B22" i="19"/>
  <c r="B20" i="19"/>
  <c r="B16" i="19"/>
  <c r="B36" i="18"/>
  <c r="B30" i="18"/>
  <c r="B27" i="18"/>
  <c r="B24" i="18"/>
  <c r="B22" i="18"/>
  <c r="B20" i="18"/>
  <c r="B16" i="18"/>
  <c r="B24" i="16"/>
  <c r="B22" i="16"/>
  <c r="B20" i="16"/>
  <c r="B16" i="16"/>
  <c r="B36" i="17"/>
  <c r="B33" i="17"/>
  <c r="B30" i="17"/>
  <c r="B27" i="17"/>
  <c r="B24" i="17"/>
  <c r="B22" i="17"/>
  <c r="B20" i="17"/>
  <c r="B16" i="17"/>
  <c r="D22" i="4"/>
  <c r="D20" i="4"/>
  <c r="D16" i="4"/>
  <c r="D13" i="4"/>
  <c r="L36" i="4"/>
  <c r="K36" i="4"/>
  <c r="H36" i="4"/>
  <c r="G36" i="4"/>
  <c r="F36" i="4"/>
  <c r="E36" i="4"/>
  <c r="L33" i="4"/>
  <c r="K33" i="4"/>
  <c r="H33" i="4"/>
  <c r="G33" i="4"/>
  <c r="F33" i="4"/>
  <c r="E33" i="4"/>
  <c r="L30" i="4"/>
  <c r="K30" i="4"/>
  <c r="H30" i="4"/>
  <c r="G30" i="4"/>
  <c r="F30" i="4"/>
  <c r="E30" i="4"/>
  <c r="L22" i="4"/>
  <c r="K22" i="4"/>
  <c r="H22" i="4"/>
  <c r="G22" i="4"/>
  <c r="F22" i="4"/>
  <c r="E22" i="4"/>
  <c r="L20" i="4"/>
  <c r="K20" i="4"/>
  <c r="H20" i="4"/>
  <c r="G20" i="4"/>
  <c r="F20" i="4"/>
  <c r="E20" i="4"/>
  <c r="L16" i="4"/>
  <c r="K16" i="4"/>
  <c r="H16" i="4"/>
  <c r="G16" i="4"/>
  <c r="F16" i="4"/>
  <c r="E16" i="4"/>
  <c r="L13" i="4"/>
  <c r="K13" i="4"/>
  <c r="H13" i="4"/>
  <c r="G13" i="4"/>
  <c r="F13" i="4"/>
  <c r="E13" i="4"/>
  <c r="AD38" i="4"/>
  <c r="AA38" i="4"/>
  <c r="V38" i="4"/>
  <c r="R38" i="4"/>
  <c r="Q38" i="4"/>
  <c r="AG38" i="4" s="1"/>
  <c r="P38" i="4"/>
  <c r="N38" i="4"/>
  <c r="J38" i="4"/>
  <c r="I38" i="4"/>
  <c r="AD37" i="4"/>
  <c r="AA37" i="4"/>
  <c r="V37" i="4"/>
  <c r="R37" i="4"/>
  <c r="Q37" i="4"/>
  <c r="AI37" i="4" s="1"/>
  <c r="P37" i="4"/>
  <c r="N37" i="4"/>
  <c r="J37" i="4"/>
  <c r="I37" i="4"/>
  <c r="Y36" i="4"/>
  <c r="Y33" i="4" s="1"/>
  <c r="Y30" i="4" s="1"/>
  <c r="Y27" i="4" s="1"/>
  <c r="Y24" i="4" s="1"/>
  <c r="Y22" i="4" s="1"/>
  <c r="Y20" i="4" s="1"/>
  <c r="Y16" i="4" s="1"/>
  <c r="Q36" i="4"/>
  <c r="N36" i="4"/>
  <c r="AD34" i="4"/>
  <c r="AA34" i="4"/>
  <c r="V34" i="4"/>
  <c r="R34" i="4"/>
  <c r="Q34" i="4"/>
  <c r="AI34" i="4" s="1"/>
  <c r="P34" i="4"/>
  <c r="N34" i="4"/>
  <c r="J34" i="4"/>
  <c r="J33" i="4" s="1"/>
  <c r="I34" i="4"/>
  <c r="I33" i="4" s="1"/>
  <c r="Q33" i="4"/>
  <c r="N33" i="4"/>
  <c r="AD31" i="4"/>
  <c r="AA31" i="4"/>
  <c r="V31" i="4"/>
  <c r="R31" i="4"/>
  <c r="Q31" i="4"/>
  <c r="AI31" i="4" s="1"/>
  <c r="P31" i="4"/>
  <c r="N31" i="4"/>
  <c r="J30" i="4"/>
  <c r="I31" i="4"/>
  <c r="I30" i="4" s="1"/>
  <c r="Q30" i="4"/>
  <c r="N30" i="4"/>
  <c r="AD28" i="4"/>
  <c r="AA28" i="4"/>
  <c r="V28" i="4"/>
  <c r="R28" i="4"/>
  <c r="Q28" i="4"/>
  <c r="AI28" i="4" s="1"/>
  <c r="P28" i="4"/>
  <c r="N28" i="4"/>
  <c r="Q27" i="4"/>
  <c r="N27" i="4"/>
  <c r="AD25" i="4"/>
  <c r="AA25" i="4"/>
  <c r="V25" i="4"/>
  <c r="R25" i="4"/>
  <c r="Q25" i="4"/>
  <c r="AI25" i="4" s="1"/>
  <c r="P25" i="4"/>
  <c r="N25" i="4"/>
  <c r="B25" i="16"/>
  <c r="E24" i="16" s="1"/>
  <c r="Q24" i="4"/>
  <c r="N24" i="4"/>
  <c r="AD23" i="4"/>
  <c r="AA23" i="4"/>
  <c r="V23" i="4"/>
  <c r="R23" i="4"/>
  <c r="Q23" i="4"/>
  <c r="AI23" i="4" s="1"/>
  <c r="P23" i="4"/>
  <c r="N23" i="4"/>
  <c r="J23" i="4"/>
  <c r="J22" i="4" s="1"/>
  <c r="I23" i="4"/>
  <c r="I22" i="4" s="1"/>
  <c r="B23" i="19"/>
  <c r="Q22" i="4"/>
  <c r="N22" i="4"/>
  <c r="AD21" i="4"/>
  <c r="AE21" i="4" s="1"/>
  <c r="AA21" i="4"/>
  <c r="V21" i="4"/>
  <c r="R21" i="4"/>
  <c r="Q21" i="4"/>
  <c r="AI21" i="4" s="1"/>
  <c r="P21" i="4"/>
  <c r="N21" i="4"/>
  <c r="J21" i="4"/>
  <c r="J20" i="4" s="1"/>
  <c r="I21" i="4"/>
  <c r="I20" i="4" s="1"/>
  <c r="Q20" i="4"/>
  <c r="N20" i="4"/>
  <c r="AD19" i="4"/>
  <c r="AA19" i="4"/>
  <c r="V19" i="4"/>
  <c r="R19" i="4"/>
  <c r="Q19" i="4"/>
  <c r="X19" i="4" s="1"/>
  <c r="P19" i="4"/>
  <c r="N19" i="4"/>
  <c r="J19" i="4"/>
  <c r="I19" i="4"/>
  <c r="AD18" i="4"/>
  <c r="AA18" i="4"/>
  <c r="V18" i="4"/>
  <c r="R18" i="4"/>
  <c r="Q18" i="4"/>
  <c r="AI18" i="4" s="1"/>
  <c r="P18" i="4"/>
  <c r="N18" i="4"/>
  <c r="J18" i="4"/>
  <c r="I18" i="4"/>
  <c r="AD17" i="4"/>
  <c r="AA17" i="4"/>
  <c r="V17" i="4"/>
  <c r="R17" i="4"/>
  <c r="Q17" i="4"/>
  <c r="AI17" i="4" s="1"/>
  <c r="P17" i="4"/>
  <c r="N17" i="4"/>
  <c r="J17" i="4"/>
  <c r="I17" i="4"/>
  <c r="B17" i="18"/>
  <c r="Q16" i="4"/>
  <c r="N16" i="4"/>
  <c r="D2" i="6"/>
  <c r="G34" i="18" l="1"/>
  <c r="J36" i="4"/>
  <c r="I22" i="17"/>
  <c r="I24" i="17"/>
  <c r="B25" i="19"/>
  <c r="B23" i="16"/>
  <c r="E22" i="16" s="1"/>
  <c r="I20" i="17"/>
  <c r="B21" i="16"/>
  <c r="E20" i="16" s="1"/>
  <c r="B17" i="5"/>
  <c r="B17" i="20"/>
  <c r="B17" i="16"/>
  <c r="B17" i="19"/>
  <c r="B17" i="17"/>
  <c r="AE38" i="4"/>
  <c r="I36" i="4"/>
  <c r="AE37" i="4"/>
  <c r="B38" i="17"/>
  <c r="B37" i="17"/>
  <c r="I36" i="17" s="1"/>
  <c r="B37" i="18"/>
  <c r="B37" i="19"/>
  <c r="B37" i="20"/>
  <c r="B38" i="18"/>
  <c r="B38" i="19"/>
  <c r="B38" i="20"/>
  <c r="B38" i="16"/>
  <c r="B38" i="5"/>
  <c r="B37" i="16"/>
  <c r="E36" i="16" s="1"/>
  <c r="B37" i="5"/>
  <c r="AE34" i="4"/>
  <c r="B34" i="17"/>
  <c r="I33" i="17" s="1"/>
  <c r="B34" i="20"/>
  <c r="B34" i="16"/>
  <c r="E33" i="16" s="1"/>
  <c r="B34" i="19"/>
  <c r="B34" i="5"/>
  <c r="AE31" i="4"/>
  <c r="B31" i="17"/>
  <c r="I30" i="17" s="1"/>
  <c r="B31" i="19"/>
  <c r="B31" i="16"/>
  <c r="E30" i="16" s="1"/>
  <c r="AE28" i="4"/>
  <c r="B28" i="19"/>
  <c r="B28" i="16"/>
  <c r="I27" i="17"/>
  <c r="AE25" i="4"/>
  <c r="H34" i="5"/>
  <c r="I34" i="5" s="1"/>
  <c r="G34" i="5"/>
  <c r="H19" i="5"/>
  <c r="I19" i="5" s="1"/>
  <c r="G19" i="5"/>
  <c r="E16" i="16"/>
  <c r="AE23" i="4"/>
  <c r="J16" i="4"/>
  <c r="I16" i="4"/>
  <c r="AE17" i="4"/>
  <c r="U36" i="4"/>
  <c r="AH33" i="4"/>
  <c r="S38" i="4"/>
  <c r="AI38" i="4"/>
  <c r="AJ38" i="4" s="1"/>
  <c r="X38" i="4"/>
  <c r="AH36" i="4"/>
  <c r="W36" i="4"/>
  <c r="X37" i="4" s="1"/>
  <c r="W27" i="4"/>
  <c r="X28" i="4" s="1"/>
  <c r="AD36" i="4"/>
  <c r="AG37" i="4"/>
  <c r="AJ37" i="4" s="1"/>
  <c r="W33" i="4"/>
  <c r="Z36" i="4"/>
  <c r="S37" i="4"/>
  <c r="U33" i="4"/>
  <c r="U30" i="4"/>
  <c r="AD33" i="4"/>
  <c r="AG34" i="4"/>
  <c r="AJ34" i="4" s="1"/>
  <c r="W30" i="4"/>
  <c r="X31" i="4" s="1"/>
  <c r="Z33" i="4"/>
  <c r="S34" i="4"/>
  <c r="AD27" i="4"/>
  <c r="AD30" i="4"/>
  <c r="AG31" i="4"/>
  <c r="AJ31" i="4" s="1"/>
  <c r="U24" i="4"/>
  <c r="U27" i="4"/>
  <c r="Z20" i="4"/>
  <c r="Z30" i="4"/>
  <c r="S31" i="4"/>
  <c r="AH30" i="4"/>
  <c r="Z27" i="4"/>
  <c r="AG28" i="4"/>
  <c r="AJ28" i="4" s="1"/>
  <c r="S28" i="4"/>
  <c r="AG25" i="4"/>
  <c r="AJ25" i="4" s="1"/>
  <c r="S25" i="4"/>
  <c r="AG23" i="4"/>
  <c r="AJ23" i="4" s="1"/>
  <c r="S23" i="4"/>
  <c r="AG21" i="4"/>
  <c r="AJ21" i="4" s="1"/>
  <c r="S21" i="4"/>
  <c r="AG19" i="4"/>
  <c r="S19" i="4"/>
  <c r="AB19" i="4" s="1"/>
  <c r="AI19" i="4"/>
  <c r="AG17" i="4"/>
  <c r="AJ17" i="4" s="1"/>
  <c r="S17" i="4"/>
  <c r="AG18" i="4"/>
  <c r="AJ18" i="4" s="1"/>
  <c r="S18" i="4"/>
  <c r="I16" i="17" l="1"/>
  <c r="AB38" i="4"/>
  <c r="B18" i="19"/>
  <c r="B18" i="16"/>
  <c r="B18" i="20"/>
  <c r="B18" i="17"/>
  <c r="B18" i="5"/>
  <c r="B18" i="18"/>
  <c r="E27" i="16"/>
  <c r="X34" i="4"/>
  <c r="AB34" i="4" s="1"/>
  <c r="AE18" i="4"/>
  <c r="B19" i="4"/>
  <c r="AB37" i="4"/>
  <c r="AB28" i="4"/>
  <c r="Z22" i="4"/>
  <c r="Z24" i="4"/>
  <c r="AB31" i="4"/>
  <c r="W24" i="4"/>
  <c r="AD24" i="4"/>
  <c r="AH27" i="4"/>
  <c r="AH22" i="4"/>
  <c r="AH24" i="4"/>
  <c r="U22" i="4"/>
  <c r="Z16" i="4"/>
  <c r="AJ19" i="4"/>
  <c r="AE19" i="4" l="1"/>
  <c r="B19" i="16"/>
  <c r="B19" i="20"/>
  <c r="B19" i="5"/>
  <c r="B19" i="19"/>
  <c r="B19" i="18"/>
  <c r="B19" i="17"/>
  <c r="X25" i="4"/>
  <c r="AB25" i="4" s="1"/>
  <c r="W22" i="4"/>
  <c r="AD22" i="4"/>
  <c r="U16" i="4"/>
  <c r="U20" i="4"/>
  <c r="X23" i="4" l="1"/>
  <c r="AB23" i="4" s="1"/>
  <c r="AH20" i="4"/>
  <c r="AD20" i="4"/>
  <c r="W20" i="4"/>
  <c r="X21" i="4" l="1"/>
  <c r="AB21" i="4" s="1"/>
  <c r="W16" i="4"/>
  <c r="AD16" i="4"/>
  <c r="AH16" i="4"/>
  <c r="X18" i="4" l="1"/>
  <c r="AB18" i="4" s="1"/>
  <c r="X17" i="4"/>
  <c r="AB17" i="4" s="1"/>
  <c r="L38" i="5" l="1"/>
  <c r="M38" i="5" s="1"/>
  <c r="F38" i="5"/>
  <c r="L37" i="5"/>
  <c r="M37" i="5" s="1"/>
  <c r="F37" i="5"/>
  <c r="N36" i="5"/>
  <c r="O36" i="5" s="1"/>
  <c r="H36" i="5"/>
  <c r="N33" i="5"/>
  <c r="H33" i="5"/>
  <c r="F31" i="5"/>
  <c r="F30" i="5"/>
  <c r="L28" i="5"/>
  <c r="M28" i="5" s="1"/>
  <c r="G28" i="5"/>
  <c r="N27" i="5"/>
  <c r="O27" i="5" s="1"/>
  <c r="G27" i="5"/>
  <c r="L25" i="5"/>
  <c r="M25" i="5" s="1"/>
  <c r="G25" i="5"/>
  <c r="N24" i="5"/>
  <c r="O24" i="5" s="1"/>
  <c r="F24" i="5"/>
  <c r="L23" i="5"/>
  <c r="M23" i="5" s="1"/>
  <c r="H23" i="5"/>
  <c r="I23" i="5" s="1"/>
  <c r="N22" i="5"/>
  <c r="O22" i="5" s="1"/>
  <c r="F22" i="5"/>
  <c r="L21" i="5"/>
  <c r="M21" i="5" s="1"/>
  <c r="G21" i="5"/>
  <c r="N20" i="5"/>
  <c r="O20" i="5" s="1"/>
  <c r="F20" i="5"/>
  <c r="L18" i="5"/>
  <c r="M18" i="5" s="1"/>
  <c r="H18" i="5"/>
  <c r="I18" i="5" s="1"/>
  <c r="L17" i="5"/>
  <c r="M17" i="5" s="1"/>
  <c r="H17" i="5"/>
  <c r="I17" i="5" s="1"/>
  <c r="N16" i="5"/>
  <c r="O16" i="5" s="1"/>
  <c r="H16" i="5"/>
  <c r="H27" i="5" l="1"/>
  <c r="F36" i="5"/>
  <c r="G37" i="5"/>
  <c r="H22" i="5"/>
  <c r="G24" i="5"/>
  <c r="F17" i="5"/>
  <c r="H21" i="5"/>
  <c r="I21" i="5" s="1"/>
  <c r="H24" i="5"/>
  <c r="H37" i="5"/>
  <c r="I37" i="5" s="1"/>
  <c r="G17" i="5"/>
  <c r="G30" i="5"/>
  <c r="G20" i="5"/>
  <c r="F21" i="5"/>
  <c r="F27" i="5"/>
  <c r="H30" i="5"/>
  <c r="G31" i="5"/>
  <c r="G33" i="5"/>
  <c r="H20" i="5"/>
  <c r="H28" i="5"/>
  <c r="I28" i="5" s="1"/>
  <c r="M27" i="5"/>
  <c r="G38" i="5"/>
  <c r="G16" i="5"/>
  <c r="H38" i="5"/>
  <c r="I38" i="5" s="1"/>
  <c r="F16" i="5"/>
  <c r="H25" i="5"/>
  <c r="I25" i="5" s="1"/>
  <c r="H31" i="5"/>
  <c r="I31" i="5" s="1"/>
  <c r="F33" i="5"/>
  <c r="F18" i="5"/>
  <c r="F28" i="5"/>
  <c r="G36" i="5"/>
  <c r="G22" i="5"/>
  <c r="M36" i="5"/>
  <c r="M33" i="5"/>
  <c r="M24" i="5"/>
  <c r="F25" i="5"/>
  <c r="M22" i="5"/>
  <c r="F23" i="5"/>
  <c r="G23" i="5"/>
  <c r="M20" i="5"/>
  <c r="M16" i="5"/>
  <c r="G18" i="5"/>
  <c r="R44" i="4"/>
  <c r="R43" i="4"/>
  <c r="R42" i="4"/>
  <c r="R41" i="4"/>
  <c r="R40" i="4"/>
  <c r="R39" i="4"/>
  <c r="R15" i="4"/>
  <c r="R14" i="4"/>
  <c r="N13" i="4"/>
  <c r="I33" i="5" l="1"/>
  <c r="I16" i="5"/>
  <c r="I24" i="5"/>
  <c r="I22" i="5"/>
  <c r="I20" i="5"/>
  <c r="I36" i="5"/>
  <c r="I30" i="5"/>
  <c r="I27" i="5"/>
  <c r="AA42" i="4"/>
  <c r="AA44" i="4"/>
  <c r="AA43" i="4"/>
  <c r="AA41" i="4"/>
  <c r="AA40" i="4"/>
  <c r="AA39" i="4"/>
  <c r="AA15" i="4"/>
  <c r="AA14" i="4"/>
  <c r="V44" i="4" l="1"/>
  <c r="V43" i="4"/>
  <c r="V42" i="4"/>
  <c r="V41" i="4"/>
  <c r="V40" i="4"/>
  <c r="V39" i="4"/>
  <c r="V15" i="4"/>
  <c r="V14" i="4"/>
  <c r="B1" i="23" l="1"/>
  <c r="Z13" i="4" l="1"/>
  <c r="AH13" i="4" l="1"/>
  <c r="U13" i="4"/>
  <c r="AD13" i="4"/>
  <c r="W13" i="4"/>
  <c r="D24" i="5"/>
  <c r="C30" i="18" l="1"/>
  <c r="D30" i="18" s="1"/>
  <c r="C25" i="19"/>
  <c r="C37" i="19"/>
  <c r="C34" i="19"/>
  <c r="C24" i="18"/>
  <c r="D25" i="17"/>
  <c r="C38" i="20"/>
  <c r="C37" i="20"/>
  <c r="C27" i="18"/>
  <c r="C30" i="19"/>
  <c r="C21" i="16"/>
  <c r="E21" i="16" s="1"/>
  <c r="C17" i="16"/>
  <c r="E17" i="16" s="1"/>
  <c r="D22" i="17"/>
  <c r="D19" i="5"/>
  <c r="C28" i="17"/>
  <c r="C37" i="18"/>
  <c r="C19" i="18"/>
  <c r="C19" i="19"/>
  <c r="C17" i="19"/>
  <c r="C24" i="17"/>
  <c r="D28" i="17"/>
  <c r="C24" i="20"/>
  <c r="C19" i="5"/>
  <c r="C23" i="16"/>
  <c r="E23" i="16" s="1"/>
  <c r="C22" i="19"/>
  <c r="C28" i="18"/>
  <c r="C34" i="17"/>
  <c r="C27" i="19"/>
  <c r="C20" i="18"/>
  <c r="C38" i="19"/>
  <c r="C16" i="19"/>
  <c r="C37" i="17"/>
  <c r="C38" i="17"/>
  <c r="C16" i="18"/>
  <c r="C16" i="20"/>
  <c r="C17" i="18"/>
  <c r="C24" i="16"/>
  <c r="C23" i="18"/>
  <c r="C23" i="19"/>
  <c r="C28" i="16"/>
  <c r="E28" i="16" s="1"/>
  <c r="C25" i="16"/>
  <c r="E25" i="16" s="1"/>
  <c r="C38" i="16"/>
  <c r="E38" i="16" s="1"/>
  <c r="C19" i="17"/>
  <c r="C28" i="19"/>
  <c r="C17" i="20"/>
  <c r="C22" i="16"/>
  <c r="D17" i="17"/>
  <c r="C31" i="18"/>
  <c r="C34" i="5"/>
  <c r="C17" i="17"/>
  <c r="C25" i="20"/>
  <c r="C31" i="16"/>
  <c r="E31" i="16" s="1"/>
  <c r="N31" i="5" s="1"/>
  <c r="C27" i="20"/>
  <c r="C19" i="20"/>
  <c r="C31" i="17"/>
  <c r="C25" i="18"/>
  <c r="C34" i="16"/>
  <c r="E34" i="16" s="1"/>
  <c r="C30" i="20"/>
  <c r="C16" i="16"/>
  <c r="C25" i="17"/>
  <c r="C28" i="20"/>
  <c r="C20" i="16"/>
  <c r="D31" i="17"/>
  <c r="D16" i="17"/>
  <c r="C17" i="5"/>
  <c r="C30" i="17"/>
  <c r="C27" i="16"/>
  <c r="C27" i="17"/>
  <c r="C24" i="19"/>
  <c r="D20" i="17"/>
  <c r="C19" i="16"/>
  <c r="E19" i="16" s="1"/>
  <c r="D23" i="17"/>
  <c r="D19" i="17"/>
  <c r="D27" i="17"/>
  <c r="C37" i="16"/>
  <c r="E37" i="16" s="1"/>
  <c r="C21" i="19"/>
  <c r="C16" i="17"/>
  <c r="C20" i="19"/>
  <c r="C30" i="16"/>
  <c r="C34" i="20"/>
  <c r="C22" i="18"/>
  <c r="AD15" i="4"/>
  <c r="AE15" i="4" s="1"/>
  <c r="AD39" i="4"/>
  <c r="AD14" i="4"/>
  <c r="AE14" i="4" s="1"/>
  <c r="AD44" i="4"/>
  <c r="AD43" i="4"/>
  <c r="AD42" i="4"/>
  <c r="AD41" i="4"/>
  <c r="AD40" i="4"/>
  <c r="D27" i="18" l="1"/>
  <c r="E27" i="18"/>
  <c r="D24" i="18"/>
  <c r="E24" i="18"/>
  <c r="D22" i="18"/>
  <c r="E22" i="18"/>
  <c r="E20" i="18"/>
  <c r="D20" i="18"/>
  <c r="D16" i="18"/>
  <c r="E16" i="18"/>
  <c r="G20" i="17"/>
  <c r="G22" i="17"/>
  <c r="G25" i="17"/>
  <c r="F25" i="17"/>
  <c r="G23" i="17"/>
  <c r="F23" i="17"/>
  <c r="D21" i="18"/>
  <c r="E21" i="18"/>
  <c r="F21" i="17"/>
  <c r="G21" i="17"/>
  <c r="E38" i="18"/>
  <c r="D38" i="18"/>
  <c r="D17" i="18"/>
  <c r="E17" i="18"/>
  <c r="E23" i="18"/>
  <c r="D23" i="18"/>
  <c r="F28" i="17"/>
  <c r="G28" i="17"/>
  <c r="H20" i="17"/>
  <c r="G16" i="17"/>
  <c r="H16" i="17"/>
  <c r="D25" i="18"/>
  <c r="E25" i="18"/>
  <c r="D19" i="18"/>
  <c r="E19" i="18"/>
  <c r="H27" i="17"/>
  <c r="G27" i="17"/>
  <c r="F19" i="17"/>
  <c r="G19" i="17"/>
  <c r="E31" i="18"/>
  <c r="D31" i="18"/>
  <c r="G31" i="17"/>
  <c r="F31" i="17"/>
  <c r="F17" i="17"/>
  <c r="G17" i="17"/>
  <c r="H22" i="17"/>
  <c r="G38" i="17"/>
  <c r="F38" i="17"/>
  <c r="F34" i="17"/>
  <c r="G34" i="17"/>
  <c r="E37" i="18"/>
  <c r="D37" i="18"/>
  <c r="H30" i="17"/>
  <c r="G30" i="17"/>
  <c r="G37" i="17"/>
  <c r="F37" i="17"/>
  <c r="E28" i="18"/>
  <c r="D28" i="18"/>
  <c r="E30" i="18"/>
  <c r="F30" i="18" s="1"/>
  <c r="G30" i="18" s="1"/>
  <c r="T12" i="4"/>
  <c r="F22" i="18" l="1"/>
  <c r="G22" i="18" s="1"/>
  <c r="F27" i="18"/>
  <c r="G27" i="18" s="1"/>
  <c r="F24" i="18"/>
  <c r="G24" i="18" s="1"/>
  <c r="F20" i="18"/>
  <c r="G20" i="18" s="1"/>
  <c r="H38" i="17"/>
  <c r="I38" i="17" s="1"/>
  <c r="H34" i="17"/>
  <c r="I34" i="17" s="1"/>
  <c r="H37" i="17"/>
  <c r="I37" i="17" s="1"/>
  <c r="H17" i="17"/>
  <c r="I17" i="17" s="1"/>
  <c r="F17" i="18"/>
  <c r="G17" i="18" s="1"/>
  <c r="H31" i="17"/>
  <c r="I31" i="17" s="1"/>
  <c r="K31" i="5" s="1"/>
  <c r="F31" i="18"/>
  <c r="G31" i="18" s="1"/>
  <c r="O31" i="5" s="1"/>
  <c r="F19" i="18"/>
  <c r="G19" i="18" s="1"/>
  <c r="H28" i="17"/>
  <c r="I28" i="17" s="1"/>
  <c r="F23" i="18"/>
  <c r="G23" i="18" s="1"/>
  <c r="F16" i="18"/>
  <c r="G16" i="18" s="1"/>
  <c r="H21" i="17"/>
  <c r="I21" i="17" s="1"/>
  <c r="F25" i="18"/>
  <c r="G25" i="18" s="1"/>
  <c r="H19" i="17"/>
  <c r="I19" i="17" s="1"/>
  <c r="F21" i="18"/>
  <c r="G21" i="18" s="1"/>
  <c r="H23" i="17"/>
  <c r="I23" i="17" s="1"/>
  <c r="H25" i="17"/>
  <c r="I25" i="17" s="1"/>
  <c r="F38" i="18"/>
  <c r="G38" i="18" s="1"/>
  <c r="F28" i="18"/>
  <c r="G28" i="18" s="1"/>
  <c r="F37" i="18"/>
  <c r="G37" i="18" s="1"/>
  <c r="J2" i="6"/>
  <c r="Q31" i="5" l="1"/>
  <c r="Q30" i="5" s="1"/>
  <c r="R30" i="5" s="1"/>
  <c r="H2" i="6"/>
  <c r="Q13" i="4" l="1"/>
  <c r="P14" i="4"/>
  <c r="Q44" i="4" l="1"/>
  <c r="P44" i="4"/>
  <c r="N44" i="4"/>
  <c r="Q43" i="4"/>
  <c r="P43" i="4"/>
  <c r="N43" i="4"/>
  <c r="Q42" i="4"/>
  <c r="P42" i="4"/>
  <c r="N42" i="4"/>
  <c r="Q41" i="4"/>
  <c r="P41" i="4"/>
  <c r="N41" i="4"/>
  <c r="Q40" i="4"/>
  <c r="P40" i="4"/>
  <c r="N40" i="4"/>
  <c r="Q39" i="4"/>
  <c r="P39" i="4"/>
  <c r="N39" i="4"/>
  <c r="Q15" i="4"/>
  <c r="P15" i="4"/>
  <c r="N15" i="4"/>
  <c r="Q14" i="4"/>
  <c r="N14" i="4"/>
  <c r="P36" i="4" l="1"/>
  <c r="P33" i="4" s="1"/>
  <c r="P30" i="4" s="1"/>
  <c r="P27" i="4" s="1"/>
  <c r="P24" i="4" s="1"/>
  <c r="P22" i="4" s="1"/>
  <c r="P20" i="4" s="1"/>
  <c r="P16" i="4" s="1"/>
  <c r="AI40" i="4"/>
  <c r="AG40" i="4"/>
  <c r="S40" i="4"/>
  <c r="X40" i="4"/>
  <c r="AG43" i="4"/>
  <c r="AI43" i="4"/>
  <c r="S43" i="4"/>
  <c r="X43" i="4"/>
  <c r="AI15" i="4"/>
  <c r="AG15" i="4"/>
  <c r="S15" i="4"/>
  <c r="X15" i="4"/>
  <c r="AI41" i="4"/>
  <c r="AG41" i="4"/>
  <c r="S41" i="4"/>
  <c r="X41" i="4"/>
  <c r="AG44" i="4"/>
  <c r="AI44" i="4"/>
  <c r="S44" i="4"/>
  <c r="X44" i="4"/>
  <c r="AG14" i="4"/>
  <c r="AI14" i="4"/>
  <c r="S14" i="4"/>
  <c r="X14" i="4"/>
  <c r="AI39" i="4"/>
  <c r="AG39" i="4"/>
  <c r="S39" i="4"/>
  <c r="X39" i="4"/>
  <c r="AI42" i="4"/>
  <c r="AG42" i="4"/>
  <c r="S42" i="4"/>
  <c r="X42" i="4"/>
  <c r="B44" i="4"/>
  <c r="AE44" i="4" s="1"/>
  <c r="B43" i="4"/>
  <c r="AE43" i="4" s="1"/>
  <c r="B42" i="4"/>
  <c r="AE42" i="4" s="1"/>
  <c r="B41" i="4"/>
  <c r="AE41" i="4" s="1"/>
  <c r="B40" i="4"/>
  <c r="AE40" i="4" l="1"/>
  <c r="T40" i="4" s="1"/>
  <c r="B39" i="18"/>
  <c r="B39" i="16"/>
  <c r="AB42" i="4"/>
  <c r="AB41" i="4"/>
  <c r="AB15" i="4"/>
  <c r="AB40" i="4"/>
  <c r="AJ39" i="4"/>
  <c r="AB39" i="4"/>
  <c r="AJ40" i="4"/>
  <c r="AB43" i="4"/>
  <c r="AB14" i="4"/>
  <c r="AJ42" i="4"/>
  <c r="AJ44" i="4"/>
  <c r="AJ41" i="4"/>
  <c r="AJ43" i="4"/>
  <c r="AB44" i="4"/>
  <c r="T42" i="4"/>
  <c r="T43" i="4"/>
  <c r="T44" i="4"/>
  <c r="T41" i="4"/>
  <c r="I42" i="4"/>
  <c r="J44" i="4"/>
  <c r="I43" i="4"/>
  <c r="J43" i="4"/>
  <c r="Y13" i="4"/>
  <c r="J40" i="4"/>
  <c r="I41" i="4"/>
  <c r="P13" i="4"/>
  <c r="I39" i="4"/>
  <c r="J39" i="4"/>
  <c r="I15" i="4"/>
  <c r="J15" i="4"/>
  <c r="I40" i="4"/>
  <c r="J41" i="4"/>
  <c r="I44" i="4"/>
  <c r="I14" i="4"/>
  <c r="J14" i="4"/>
  <c r="J42" i="4"/>
  <c r="C39" i="18" l="1"/>
  <c r="D39" i="18" s="1"/>
  <c r="I13" i="4"/>
  <c r="J13" i="4"/>
  <c r="R36" i="4"/>
  <c r="S36" i="4" s="1"/>
  <c r="AF36" i="4"/>
  <c r="E39" i="18" l="1"/>
  <c r="F39" i="18" s="1"/>
  <c r="R33" i="4"/>
  <c r="S33" i="4" s="1"/>
  <c r="AF33" i="4"/>
  <c r="AJ15" i="4"/>
  <c r="AJ14" i="4"/>
  <c r="B39" i="4"/>
  <c r="D18" i="17" l="1"/>
  <c r="C18" i="5"/>
  <c r="C18" i="16"/>
  <c r="E18" i="16" s="1"/>
  <c r="C18" i="19"/>
  <c r="C18" i="20"/>
  <c r="C18" i="17"/>
  <c r="C18" i="18"/>
  <c r="AE39" i="4"/>
  <c r="T39" i="4" s="1"/>
  <c r="C36" i="17"/>
  <c r="C33" i="19"/>
  <c r="C33" i="20"/>
  <c r="C36" i="18"/>
  <c r="C33" i="17"/>
  <c r="C36" i="16"/>
  <c r="D36" i="17"/>
  <c r="C36" i="19"/>
  <c r="C33" i="16"/>
  <c r="D33" i="17"/>
  <c r="C36" i="20"/>
  <c r="G39" i="18"/>
  <c r="R30" i="4"/>
  <c r="S30" i="4" s="1"/>
  <c r="C22" i="5"/>
  <c r="D31" i="5"/>
  <c r="C25" i="5"/>
  <c r="D18" i="5"/>
  <c r="C38" i="5"/>
  <c r="C23" i="5"/>
  <c r="D17" i="5"/>
  <c r="C37" i="5"/>
  <c r="D28" i="5"/>
  <c r="D25" i="5"/>
  <c r="D23" i="5"/>
  <c r="C31" i="5"/>
  <c r="C20" i="5"/>
  <c r="C16" i="5"/>
  <c r="D22" i="5"/>
  <c r="C33" i="5"/>
  <c r="C24" i="5"/>
  <c r="D20" i="5"/>
  <c r="D16" i="5"/>
  <c r="D27" i="5"/>
  <c r="C36" i="5"/>
  <c r="C30" i="5"/>
  <c r="E15" i="5"/>
  <c r="E14" i="5"/>
  <c r="F18" i="17" l="1"/>
  <c r="H18" i="17" s="1"/>
  <c r="I18" i="17" s="1"/>
  <c r="G18" i="17"/>
  <c r="E18" i="18"/>
  <c r="D18" i="18"/>
  <c r="H33" i="17"/>
  <c r="G33" i="17"/>
  <c r="E36" i="18"/>
  <c r="D36" i="18"/>
  <c r="H36" i="17"/>
  <c r="G36" i="17"/>
  <c r="AF30" i="4"/>
  <c r="R27" i="4"/>
  <c r="S27" i="4" s="1"/>
  <c r="T36" i="4"/>
  <c r="G15" i="5"/>
  <c r="H15" i="5"/>
  <c r="F14" i="5"/>
  <c r="H14" i="5"/>
  <c r="F15" i="5"/>
  <c r="G14" i="5"/>
  <c r="V36" i="4" l="1"/>
  <c r="X36" i="4"/>
  <c r="F18" i="18"/>
  <c r="G18" i="18" s="1"/>
  <c r="F36" i="18"/>
  <c r="G36" i="18" s="1"/>
  <c r="AF27" i="4"/>
  <c r="R24" i="4"/>
  <c r="S24" i="4" s="1"/>
  <c r="AG36" i="4"/>
  <c r="AA36" i="4"/>
  <c r="AB36" i="4" s="1"/>
  <c r="AI36" i="4"/>
  <c r="T33" i="4"/>
  <c r="B13" i="20"/>
  <c r="C13" i="20" s="1"/>
  <c r="B7" i="20"/>
  <c r="X33" i="4" l="1"/>
  <c r="V33" i="4"/>
  <c r="AF24" i="4"/>
  <c r="AJ36" i="4"/>
  <c r="R22" i="4"/>
  <c r="S22" i="4" s="1"/>
  <c r="AG33" i="4"/>
  <c r="T30" i="4"/>
  <c r="AA33" i="4"/>
  <c r="AI33" i="4"/>
  <c r="B13" i="19"/>
  <c r="C13" i="19" s="1"/>
  <c r="B7" i="19"/>
  <c r="AB33" i="4" l="1"/>
  <c r="V30" i="4"/>
  <c r="X30" i="4"/>
  <c r="AJ33" i="4"/>
  <c r="AF22" i="4"/>
  <c r="R20" i="4"/>
  <c r="S20" i="4" s="1"/>
  <c r="AG30" i="4"/>
  <c r="T27" i="4"/>
  <c r="AA30" i="4"/>
  <c r="AI30" i="4"/>
  <c r="B13" i="18"/>
  <c r="C13" i="18" s="1"/>
  <c r="B4" i="18"/>
  <c r="AB30" i="4" l="1"/>
  <c r="V27" i="4"/>
  <c r="X27" i="4"/>
  <c r="AF20" i="4"/>
  <c r="R13" i="4"/>
  <c r="S13" i="4" s="1"/>
  <c r="R16" i="4"/>
  <c r="S16" i="4" s="1"/>
  <c r="AG27" i="4"/>
  <c r="AA27" i="4"/>
  <c r="T24" i="4"/>
  <c r="AI27" i="4"/>
  <c r="AJ30" i="4"/>
  <c r="B13" i="17"/>
  <c r="B6" i="17"/>
  <c r="AB27" i="4" l="1"/>
  <c r="V24" i="4"/>
  <c r="X24" i="4"/>
  <c r="C13" i="17"/>
  <c r="D13" i="17"/>
  <c r="AF16" i="4"/>
  <c r="AF13" i="4"/>
  <c r="AI24" i="4"/>
  <c r="T22" i="4"/>
  <c r="AG24" i="4"/>
  <c r="AA24" i="4"/>
  <c r="AJ27" i="4"/>
  <c r="B7" i="16"/>
  <c r="B6" i="5"/>
  <c r="AB24" i="4" l="1"/>
  <c r="V22" i="4"/>
  <c r="X22" i="4"/>
  <c r="AJ24" i="4"/>
  <c r="AI22" i="4"/>
  <c r="AA22" i="4"/>
  <c r="AG22" i="4"/>
  <c r="T20" i="4"/>
  <c r="H13" i="17"/>
  <c r="B13" i="16"/>
  <c r="C13" i="16" s="1"/>
  <c r="AB22" i="4" l="1"/>
  <c r="V20" i="4"/>
  <c r="X20" i="4"/>
  <c r="AJ22" i="4"/>
  <c r="AG20" i="4"/>
  <c r="AA20" i="4"/>
  <c r="AI20" i="4"/>
  <c r="T16" i="4"/>
  <c r="E13" i="5"/>
  <c r="V16" i="4" l="1"/>
  <c r="X16" i="4"/>
  <c r="AB20" i="4"/>
  <c r="AG16" i="4"/>
  <c r="AA16" i="4"/>
  <c r="AI16" i="4"/>
  <c r="T13" i="4"/>
  <c r="AJ20" i="4"/>
  <c r="F13" i="5"/>
  <c r="H13" i="5"/>
  <c r="G13" i="5"/>
  <c r="I15" i="5"/>
  <c r="I14" i="5"/>
  <c r="AB16" i="4" l="1"/>
  <c r="V13" i="4"/>
  <c r="X13" i="4"/>
  <c r="AA13" i="4"/>
  <c r="AI13" i="4"/>
  <c r="AG13" i="4"/>
  <c r="AJ16" i="4"/>
  <c r="B14" i="20"/>
  <c r="I13" i="5"/>
  <c r="B14" i="18"/>
  <c r="B14" i="19"/>
  <c r="B14" i="16"/>
  <c r="B14" i="17"/>
  <c r="AB13" i="4" l="1"/>
  <c r="AJ13" i="4"/>
  <c r="C14" i="19"/>
  <c r="C14" i="17"/>
  <c r="C14" i="20"/>
  <c r="E13" i="18"/>
  <c r="C14" i="18"/>
  <c r="D14" i="18" s="1"/>
  <c r="E13" i="16"/>
  <c r="C14" i="16"/>
  <c r="E14" i="16" s="1"/>
  <c r="D13" i="18"/>
  <c r="D14" i="17"/>
  <c r="I13" i="17"/>
  <c r="F14" i="17" l="1"/>
  <c r="G14" i="17"/>
  <c r="E14" i="18"/>
  <c r="F14" i="18" s="1"/>
  <c r="G14" i="18" s="1"/>
  <c r="F13" i="18"/>
  <c r="G13" i="18" s="1"/>
  <c r="H14" i="17" l="1"/>
  <c r="I14" i="17" s="1"/>
  <c r="L15" i="5" l="1"/>
  <c r="M15" i="5" s="1"/>
  <c r="L14" i="5"/>
  <c r="M14" i="5" s="1"/>
  <c r="B13" i="5"/>
  <c r="C13" i="5" s="1"/>
  <c r="B14" i="5"/>
  <c r="P14" i="5" s="1"/>
  <c r="B101" i="7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M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9" i="1"/>
  <c r="U11" i="1" l="1"/>
  <c r="U19" i="1"/>
  <c r="U12" i="1"/>
  <c r="U21" i="1"/>
  <c r="U16" i="1"/>
  <c r="U20" i="1"/>
  <c r="U25" i="1"/>
  <c r="U31" i="1"/>
  <c r="U18" i="1"/>
  <c r="U10" i="1"/>
  <c r="L8" i="1"/>
  <c r="K14" i="5"/>
  <c r="C14" i="5"/>
  <c r="U24" i="1"/>
  <c r="M17" i="1"/>
  <c r="M14" i="1"/>
  <c r="U23" i="1"/>
  <c r="M30" i="1"/>
  <c r="D13" i="5"/>
  <c r="T8" i="1"/>
  <c r="B45" i="19"/>
  <c r="C45" i="19" s="1"/>
  <c r="B45" i="20"/>
  <c r="C45" i="20" s="1"/>
  <c r="B42" i="19"/>
  <c r="C42" i="19" s="1"/>
  <c r="B42" i="20"/>
  <c r="C42" i="20" s="1"/>
  <c r="B40" i="19"/>
  <c r="C40" i="19" s="1"/>
  <c r="B40" i="20"/>
  <c r="C40" i="20" s="1"/>
  <c r="B39" i="19"/>
  <c r="C39" i="19" s="1"/>
  <c r="B39" i="20"/>
  <c r="C39" i="20" s="1"/>
  <c r="B43" i="19"/>
  <c r="C43" i="19" s="1"/>
  <c r="B43" i="20"/>
  <c r="C43" i="20" s="1"/>
  <c r="J14" i="5"/>
  <c r="B41" i="19"/>
  <c r="C41" i="19" s="1"/>
  <c r="B41" i="20"/>
  <c r="C41" i="20" s="1"/>
  <c r="B15" i="19"/>
  <c r="B15" i="20"/>
  <c r="B44" i="19"/>
  <c r="C44" i="19" s="1"/>
  <c r="B44" i="20"/>
  <c r="C44" i="20" s="1"/>
  <c r="N14" i="5"/>
  <c r="O14" i="5"/>
  <c r="D14" i="5"/>
  <c r="B39" i="17"/>
  <c r="C39" i="17" s="1"/>
  <c r="B43" i="17"/>
  <c r="C43" i="17" s="1"/>
  <c r="B42" i="18"/>
  <c r="C42" i="18" s="1"/>
  <c r="B42" i="17"/>
  <c r="B41" i="18"/>
  <c r="C41" i="18" s="1"/>
  <c r="B40" i="17"/>
  <c r="B15" i="17"/>
  <c r="B15" i="18"/>
  <c r="B44" i="17"/>
  <c r="C44" i="17" s="1"/>
  <c r="B43" i="18"/>
  <c r="C43" i="18" s="1"/>
  <c r="B41" i="17"/>
  <c r="B40" i="18"/>
  <c r="C40" i="18" s="1"/>
  <c r="B42" i="16"/>
  <c r="B41" i="16"/>
  <c r="B15" i="5"/>
  <c r="C15" i="5" s="1"/>
  <c r="B15" i="16"/>
  <c r="N26" i="5" s="1"/>
  <c r="B43" i="16"/>
  <c r="B40" i="16"/>
  <c r="M13" i="5"/>
  <c r="V8" i="1"/>
  <c r="M8" i="1"/>
  <c r="U29" i="1"/>
  <c r="M28" i="1"/>
  <c r="U13" i="1"/>
  <c r="U26" i="1"/>
  <c r="N13" i="5"/>
  <c r="O13" i="5" s="1"/>
  <c r="O26" i="5" l="1"/>
  <c r="O29" i="5"/>
  <c r="J26" i="5"/>
  <c r="J29" i="5"/>
  <c r="K29" i="5"/>
  <c r="K26" i="5"/>
  <c r="P26" i="5"/>
  <c r="P29" i="5"/>
  <c r="P25" i="5"/>
  <c r="P23" i="5"/>
  <c r="P21" i="5"/>
  <c r="P28" i="5"/>
  <c r="J19" i="5"/>
  <c r="J34" i="5"/>
  <c r="J25" i="5"/>
  <c r="P19" i="5"/>
  <c r="J37" i="5"/>
  <c r="J18" i="5"/>
  <c r="J38" i="5"/>
  <c r="J21" i="5"/>
  <c r="J28" i="5"/>
  <c r="J17" i="5"/>
  <c r="J23" i="5"/>
  <c r="P17" i="5"/>
  <c r="P37" i="5"/>
  <c r="P18" i="5"/>
  <c r="P38" i="5"/>
  <c r="C15" i="16"/>
  <c r="E15" i="16" s="1"/>
  <c r="N19" i="5" s="1"/>
  <c r="C15" i="17"/>
  <c r="C15" i="19"/>
  <c r="C15" i="18"/>
  <c r="D15" i="18" s="1"/>
  <c r="C15" i="20"/>
  <c r="C40" i="16"/>
  <c r="E40" i="16" s="1"/>
  <c r="C42" i="16"/>
  <c r="E42" i="16" s="1"/>
  <c r="D40" i="17"/>
  <c r="C40" i="17"/>
  <c r="C43" i="16"/>
  <c r="E43" i="16" s="1"/>
  <c r="N29" i="5" s="1"/>
  <c r="E39" i="16"/>
  <c r="C41" i="16"/>
  <c r="E41" i="16" s="1"/>
  <c r="D41" i="17"/>
  <c r="C41" i="17"/>
  <c r="D42" i="17"/>
  <c r="C42" i="17"/>
  <c r="D15" i="17"/>
  <c r="J15" i="5"/>
  <c r="D39" i="17"/>
  <c r="F39" i="17" s="1"/>
  <c r="Q14" i="5"/>
  <c r="D15" i="5"/>
  <c r="P15" i="5"/>
  <c r="E40" i="18"/>
  <c r="D40" i="18"/>
  <c r="E41" i="18"/>
  <c r="D41" i="18"/>
  <c r="E43" i="18"/>
  <c r="D43" i="18"/>
  <c r="D42" i="18"/>
  <c r="E42" i="18"/>
  <c r="D43" i="17"/>
  <c r="D44" i="17"/>
  <c r="I44" i="17" s="1"/>
  <c r="Q29" i="5" l="1"/>
  <c r="Q26" i="5"/>
  <c r="N34" i="5"/>
  <c r="N17" i="5"/>
  <c r="N38" i="5"/>
  <c r="N18" i="5"/>
  <c r="N21" i="5"/>
  <c r="N23" i="5"/>
  <c r="N28" i="5"/>
  <c r="N37" i="5"/>
  <c r="N25" i="5"/>
  <c r="F40" i="17"/>
  <c r="H40" i="17" s="1"/>
  <c r="F42" i="17"/>
  <c r="H42" i="17" s="1"/>
  <c r="F41" i="17"/>
  <c r="H41" i="17" s="1"/>
  <c r="F15" i="17"/>
  <c r="N15" i="5"/>
  <c r="E15" i="18"/>
  <c r="F15" i="18" s="1"/>
  <c r="G15" i="18" s="1"/>
  <c r="I41" i="17"/>
  <c r="I39" i="17"/>
  <c r="I42" i="17"/>
  <c r="F43" i="17"/>
  <c r="H43" i="17" s="1"/>
  <c r="H39" i="17"/>
  <c r="F44" i="17"/>
  <c r="H44" i="17" s="1"/>
  <c r="G40" i="17"/>
  <c r="G43" i="17"/>
  <c r="G41" i="17"/>
  <c r="G39" i="17"/>
  <c r="G44" i="17"/>
  <c r="G15" i="17"/>
  <c r="G42" i="17"/>
  <c r="G42" i="18"/>
  <c r="F40" i="18"/>
  <c r="G40" i="18" s="1"/>
  <c r="F41" i="18"/>
  <c r="G41" i="18" s="1"/>
  <c r="F43" i="18"/>
  <c r="F42" i="18"/>
  <c r="G43" i="18"/>
  <c r="I40" i="17"/>
  <c r="I43" i="17"/>
  <c r="G13" i="17"/>
  <c r="O34" i="5" l="1"/>
  <c r="O19" i="5"/>
  <c r="O21" i="5"/>
  <c r="O17" i="5"/>
  <c r="O23" i="5"/>
  <c r="O25" i="5"/>
  <c r="O37" i="5"/>
  <c r="O28" i="5"/>
  <c r="O38" i="5"/>
  <c r="O18" i="5"/>
  <c r="H15" i="17"/>
  <c r="I15" i="17" s="1"/>
  <c r="O15" i="5"/>
  <c r="K34" i="5" l="1"/>
  <c r="Q34" i="5" s="1"/>
  <c r="K19" i="5"/>
  <c r="Q19" i="5" s="1"/>
  <c r="K23" i="5"/>
  <c r="Q23" i="5" s="1"/>
  <c r="K18" i="5"/>
  <c r="Q18" i="5" s="1"/>
  <c r="K28" i="5"/>
  <c r="Q28" i="5" s="1"/>
  <c r="K37" i="5"/>
  <c r="Q37" i="5" s="1"/>
  <c r="K21" i="5"/>
  <c r="Q21" i="5" s="1"/>
  <c r="K38" i="5"/>
  <c r="Q38" i="5" s="1"/>
  <c r="K17" i="5"/>
  <c r="Q17" i="5" s="1"/>
  <c r="K25" i="5"/>
  <c r="Q25" i="5" s="1"/>
  <c r="K15" i="5"/>
  <c r="Q15" i="5" s="1"/>
  <c r="Q33" i="5" l="1"/>
  <c r="R33" i="5" s="1"/>
  <c r="Q20" i="5"/>
  <c r="Q24" i="5"/>
  <c r="R26" i="5" s="1"/>
  <c r="Q36" i="5"/>
  <c r="Q27" i="5"/>
  <c r="R29" i="5" s="1"/>
  <c r="Q22" i="5"/>
  <c r="R22" i="5" s="1"/>
  <c r="Q16" i="5"/>
  <c r="R34" i="5" l="1"/>
  <c r="R19" i="5"/>
  <c r="R23" i="5"/>
  <c r="R27" i="5"/>
  <c r="R28" i="5"/>
  <c r="R37" i="5"/>
  <c r="R36" i="5"/>
  <c r="R38" i="5"/>
  <c r="R25" i="5"/>
  <c r="R24" i="5"/>
  <c r="R18" i="5"/>
  <c r="R16" i="5"/>
  <c r="R17" i="5"/>
  <c r="R31" i="5"/>
  <c r="R20" i="5"/>
  <c r="R21" i="5"/>
  <c r="Q13" i="5"/>
  <c r="R13" i="5" l="1"/>
  <c r="R15" i="5"/>
  <c r="R14" i="5"/>
  <c r="D24" i="17" l="1"/>
  <c r="H24" i="17" l="1"/>
  <c r="G24" i="17"/>
</calcChain>
</file>

<file path=xl/sharedStrings.xml><?xml version="1.0" encoding="utf-8"?>
<sst xmlns="http://schemas.openxmlformats.org/spreadsheetml/2006/main" count="389" uniqueCount="283">
  <si>
    <t>No. Oferta</t>
  </si>
  <si>
    <t>OFERENTE</t>
  </si>
  <si>
    <t>Verificación Formulario No. 03</t>
  </si>
  <si>
    <t>Datos Declaración Renta 2003</t>
  </si>
  <si>
    <t>Variación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</si>
  <si>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</si>
  <si>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</si>
  <si>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</si>
  <si>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</si>
  <si>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</si>
  <si>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</si>
  <si>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</si>
  <si>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</si>
  <si>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</si>
  <si>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</si>
  <si>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</si>
  <si>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Patrimonio Bruto</t>
  </si>
  <si>
    <t>Patrimonio Liquido</t>
  </si>
  <si>
    <t>Renta Liquida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</si>
  <si>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</si>
  <si>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</si>
  <si>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</si>
  <si>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</si>
  <si>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</si>
  <si>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</si>
  <si>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</si>
  <si>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</si>
  <si>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</si>
  <si>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</si>
  <si>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</si>
  <si>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</si>
  <si>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</si>
  <si>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</si>
  <si>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</si>
  <si>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</si>
  <si>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</si>
  <si>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</si>
  <si>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</si>
  <si>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</si>
  <si>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</si>
  <si>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</si>
  <si>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</si>
  <si>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</si>
  <si>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</si>
  <si>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>OBSERVACIONES:</t>
  </si>
  <si>
    <t xml:space="preserve">CONSORCIO LAS ANIMAS #1,,se subsana integrante 1,2porque no conciliacines  </t>
  </si>
  <si>
    <t>Módulo</t>
  </si>
  <si>
    <t>N</t>
  </si>
  <si>
    <t>Anticipo</t>
  </si>
  <si>
    <t>SMMLV 2023</t>
  </si>
  <si>
    <t>Capital de Trabajo Demandado</t>
  </si>
  <si>
    <t>% Requerido de Capital de Trabajo Demandado</t>
  </si>
  <si>
    <t>CAPACIDAD FINANCIERA</t>
  </si>
  <si>
    <t>EXPERIENCIA</t>
  </si>
  <si>
    <t>CAPACIDAD TÉCNICA</t>
  </si>
  <si>
    <t>Mayor a</t>
  </si>
  <si>
    <t>Menor o Igual a</t>
  </si>
  <si>
    <t>Puntaje</t>
  </si>
  <si>
    <t>Desde</t>
  </si>
  <si>
    <t>Hasta</t>
  </si>
  <si>
    <t>Mayores</t>
  </si>
  <si>
    <t xml:space="preserve">INSTITUTO NACIONAL DE VIAS </t>
  </si>
  <si>
    <t>DIRECCIÓN DE CONTRATACIÓN</t>
  </si>
  <si>
    <t xml:space="preserve">PROCESO No. </t>
  </si>
  <si>
    <t>EVALUACIÓN FINANCIERA</t>
  </si>
  <si>
    <t xml:space="preserve"> </t>
  </si>
  <si>
    <t>DATOS DEL INTERESADO</t>
  </si>
  <si>
    <t>INFORMACIÓN  FINANCIERA - RUP</t>
  </si>
  <si>
    <t>INDICE-CAPITAL DE TRABAJO DEMANDADO</t>
  </si>
  <si>
    <t>CORRESPONDE A UNA MIPYME</t>
  </si>
  <si>
    <t>INDICE-LIQUIDEZ</t>
  </si>
  <si>
    <t>INDICE-ENDEUDAMIENTO</t>
  </si>
  <si>
    <t>RAZON DE COBERTURA DE INTERESES</t>
  </si>
  <si>
    <t>EVALUACIÓN CAPACIDAD FINANCIERA</t>
  </si>
  <si>
    <t>CALIDAD DE MIPYME</t>
  </si>
  <si>
    <t>RENTABILIDAD DEL PATRIMONIO (ROE)</t>
  </si>
  <si>
    <t>RENTABILIDAD DEL ACTIVO (ROA)</t>
  </si>
  <si>
    <t>EVALUACIÓN CAPACIDAD ORGANIZACIÓN</t>
  </si>
  <si>
    <t>OFERTA</t>
  </si>
  <si>
    <t>PROPONENTE</t>
  </si>
  <si>
    <t>PORCENTAJE DE PARTICIPACION</t>
  </si>
  <si>
    <t>ACTIVO CORRIENTE</t>
  </si>
  <si>
    <t>ACTIVO TOTAL</t>
  </si>
  <si>
    <t>PASIVO CORRIENTE</t>
  </si>
  <si>
    <t>PASIVO TOTAL</t>
  </si>
  <si>
    <t>CAPITAL DE TRABAJO
(Activo Corriente - Pasivo Corriente)</t>
  </si>
  <si>
    <t>PATRIMONIO
(Activo Total - Pasivo Total)</t>
  </si>
  <si>
    <t>MÓDULO</t>
  </si>
  <si>
    <t>PLAZO (P)</t>
  </si>
  <si>
    <t>MODULOS ADJUDICADOS</t>
  </si>
  <si>
    <t>VALOR CAPITAL DE TRABAJO DEMANDADO MODULOS ADJUDICADOS</t>
  </si>
  <si>
    <t>VALOR PRESUPUESTO OFICIAL (PO)</t>
  </si>
  <si>
    <t>Fórmula: CT=AC-PC&gt;=(%M*PO)</t>
  </si>
  <si>
    <t>Fórmula: Liquidez=AC/PC&gt;=X</t>
  </si>
  <si>
    <t>Fórmula: Endeudamiento = Pas.T/Act.Tot. &lt;= X%</t>
  </si>
  <si>
    <t>VALOR PATRIMONIO REQUERIDO MODULOS ADJUDICADOS</t>
  </si>
  <si>
    <t>Fórmula: Razón Cobertura Intereses = UO/GI &gt;=X</t>
  </si>
  <si>
    <t>CUMPLE / NO CUMPLE</t>
  </si>
  <si>
    <t>AÑO DE EVALUACION DE LOS ACTIVOS</t>
  </si>
  <si>
    <t>Fórmula:                        ROE=UO/Pat.ROE&gt;=X%</t>
  </si>
  <si>
    <t>Fórmula:                        ROE=UO/Act.Tot.&gt;=X</t>
  </si>
  <si>
    <t>UTILIDAD OPERACIONAL</t>
  </si>
  <si>
    <t>GASTOS DE INTERESES</t>
  </si>
  <si>
    <t>Req. Min. CTd: &gt; =</t>
  </si>
  <si>
    <t>%M*PO</t>
  </si>
  <si>
    <t>MIPYME
→Req. Min. Solvencia: &gt; =</t>
  </si>
  <si>
    <t>MIPYME
→Req. Min.  Endeudamiento: &lt; =</t>
  </si>
  <si>
    <t>MIPYME
→Req.Min.Cobertura
Interes: &gt; =</t>
  </si>
  <si>
    <t>MIPYME
Req. Min. ROE: &gt; =</t>
  </si>
  <si>
    <t>MIPYME
Req. Min. ROA: &gt; =</t>
  </si>
  <si>
    <t>OTRO
→Req. Min. Solvencia: &gt; =</t>
  </si>
  <si>
    <t>OTRO
→Req. Min. Endeudamiento: &lt; =</t>
  </si>
  <si>
    <t>OTRO
→Req. Min. Cobertura
 Intereses: &gt; =</t>
  </si>
  <si>
    <t>OTRO
Req. Min. ROE: &gt; =</t>
  </si>
  <si>
    <t>OTRO
Req. Min. ROA: &gt; =</t>
  </si>
  <si>
    <t>INDICADOR</t>
  </si>
  <si>
    <t>RESULTADO</t>
  </si>
  <si>
    <t>CALIDAD DE MIPYME EN SMMLV</t>
  </si>
  <si>
    <t>500&lt;=ACTIVOS&lt;=30000</t>
  </si>
  <si>
    <t>SI</t>
  </si>
  <si>
    <t/>
  </si>
  <si>
    <t>INSTITUTO NACIONAL DE VIAS</t>
  </si>
  <si>
    <t>PUNTAJE POR EXPERIENCIA</t>
  </si>
  <si>
    <t>Porcentaje de Participación para este Proceso
(A)</t>
  </si>
  <si>
    <t xml:space="preserve">VALOR TOTAL DE LOS CONTRATOS EJECUTADOS
</t>
  </si>
  <si>
    <t>VALOR TOTAL DE LOS CONTRATOS EJECUTADOS EN SMMLV
(B)</t>
  </si>
  <si>
    <t>PRESUPUESTO OFICIAL ESTIMADO (POE) EN SMMLV
(C)</t>
  </si>
  <si>
    <t>RESULTADO   
B / (C * A)</t>
  </si>
  <si>
    <t>Rangos:
Mayor a 0 y Menor o Igual a 3 = 60 Puntos 
Mayor a 3 y Menor o Igual a 6 = 80 Puntos
Mayor a 6 y Menor o Igual a 10 = 100 Puntos
Mayor a 10 y Mayores = 120 Puntos</t>
  </si>
  <si>
    <t>PUNTAJE POR CAPACIDAD TÉCNICA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</si>
  <si>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</si>
  <si>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</si>
  <si>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Rangos: 
Desde 1 hasta 5 = 20 Puntos
Desde 6 hasta 10 = 30 Puntos
Desde 11 hasta mayores = 40 Puntos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</si>
  <si>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</si>
  <si>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</si>
  <si>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</si>
  <si>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</si>
  <si>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</si>
  <si>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SALDO CONTRATOS EN EJECUCIÓN</t>
  </si>
  <si>
    <t>TOTAL SALDOS CONTRATOS EN EJECUCION</t>
  </si>
  <si>
    <t>CAPACIDAD DE ORGANIZACIÓN</t>
  </si>
  <si>
    <t>CAPACIDAD DE ORGANIZACIÓN (En Pesos)</t>
  </si>
  <si>
    <t xml:space="preserve">Fórmula: 
Cinco (5) años o más: Mayor Ingreso Operacional de los ultimos 5 años 
Entre uno (1) y cinco (5) años: Mayor Ingreso Operacional de los años de vida del Oferente
Menos de un (1) año: USD $ 125.000 </t>
  </si>
  <si>
    <t>CAPACIDAD RESIDUAL</t>
  </si>
  <si>
    <t>Porcentaje de Participación para este Proceso</t>
  </si>
  <si>
    <t>PRESUPUESTO OFICIAL ESTIMADO (POE)</t>
  </si>
  <si>
    <t>PLAZO MOD</t>
  </si>
  <si>
    <t>CAPACIDAD RESIDUAL DEL PROCESO DE CONTRATACION</t>
  </si>
  <si>
    <t xml:space="preserve">CAPACIDAD DE ORGANIZACIÓN </t>
  </si>
  <si>
    <t xml:space="preserve">EXPERIENCIA         </t>
  </si>
  <si>
    <t>SALDOS CONTRATOS EN EJECUCIÓN</t>
  </si>
  <si>
    <t>CAPACIDAD RESIDUAL DEL PROPONENTE</t>
  </si>
  <si>
    <t>CAPACIDAD RESIDUAL DE CONTRATACIÓN (POR MÓDULO)</t>
  </si>
  <si>
    <t>(%)</t>
  </si>
  <si>
    <t>En Pesos Colombianos</t>
  </si>
  <si>
    <t>Formula: Si el plazo es menor a 12 meses (POE - Anticipo), si el plazo es mayor a 12 meses [(POE- Anticipo)/Plazo]x12</t>
  </si>
  <si>
    <t>En Pesos</t>
  </si>
  <si>
    <r>
      <t xml:space="preserve">Formula: CO * </t>
    </r>
    <r>
      <rPr>
        <b/>
        <sz val="8"/>
        <rFont val="Calibri"/>
        <family val="2"/>
      </rPr>
      <t>[(E+CT-CF)/100] - SCE</t>
    </r>
  </si>
  <si>
    <t>HABIL  / NO HABIL</t>
  </si>
  <si>
    <t>No.</t>
  </si>
  <si>
    <t>NOMBRE DEL PROPONENTE</t>
  </si>
  <si>
    <t>CAP. FINANCIERA</t>
  </si>
  <si>
    <t>CAP. ORGANIZACIÓN</t>
  </si>
  <si>
    <t>CAP. RESIDUAL</t>
  </si>
  <si>
    <t>ANEXO 1 - ADENDO 4 - DG-164-2004</t>
  </si>
  <si>
    <t>NUMERO DE GRUPO</t>
  </si>
  <si>
    <t>TOTAL GRUPO DE TRAMOS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</si>
  <si>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</si>
  <si>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</si>
  <si>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</si>
  <si>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</si>
  <si>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</si>
  <si>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</si>
  <si>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</si>
  <si>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</si>
  <si>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</si>
  <si>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</si>
  <si>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</si>
  <si>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</si>
  <si>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</si>
  <si>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</si>
  <si>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</si>
  <si>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</si>
  <si>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</si>
  <si>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</si>
  <si>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</si>
  <si>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</si>
  <si>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</si>
  <si>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</si>
  <si>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</si>
  <si>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</si>
  <si>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</si>
  <si>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</si>
  <si>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</si>
  <si>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</si>
  <si>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</si>
  <si>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</si>
  <si>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</si>
  <si>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</si>
  <si>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</si>
  <si>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</si>
  <si>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</si>
  <si>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</si>
  <si>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</si>
  <si>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</si>
  <si>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</si>
  <si>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</si>
  <si>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</si>
  <si>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</si>
  <si>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</si>
  <si>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</si>
  <si>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</si>
  <si>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</si>
  <si>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</si>
  <si>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</si>
  <si>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</si>
  <si>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</si>
  <si>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</si>
  <si>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</si>
  <si>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</si>
  <si>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</si>
  <si>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</si>
  <si>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</si>
  <si>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</si>
  <si>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</si>
  <si>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</si>
  <si>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</si>
  <si>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</si>
  <si>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</si>
  <si>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</si>
  <si>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</si>
  <si>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</si>
  <si>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</si>
  <si>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</si>
  <si>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</si>
  <si>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</si>
  <si>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</si>
  <si>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</si>
  <si>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</si>
  <si>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</si>
  <si>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</si>
  <si>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</si>
  <si>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</si>
  <si>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</si>
  <si>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</si>
  <si>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</si>
  <si>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</si>
  <si>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</si>
  <si>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</si>
  <si>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</si>
  <si>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</si>
  <si>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</si>
  <si>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</si>
  <si>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</si>
  <si>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</si>
  <si>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</si>
  <si>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</si>
  <si>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</si>
  <si>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</si>
  <si>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</si>
  <si>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</si>
  <si>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</si>
  <si>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</si>
  <si>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CONSORCIO MEGACONSTRUCCIONES 2024</t>
  </si>
  <si>
    <t>MEGA CONSTRUCCIONES PACK SAS</t>
  </si>
  <si>
    <t>MTS CONTRUCCIONES SAS</t>
  </si>
  <si>
    <t>YAMEL ARANGO PINILLA</t>
  </si>
  <si>
    <t xml:space="preserve">ARMANDO MARTINEZ SPADAFORA </t>
  </si>
  <si>
    <t>CELAS S.A.S.</t>
  </si>
  <si>
    <t>CELASH S.A.S.</t>
  </si>
  <si>
    <t>GEPAV S.A.S.</t>
  </si>
  <si>
    <t>JUAN CARLOS BRICEÑOS CHAVES</t>
  </si>
  <si>
    <t>JUAN CARLOS BRICEÑO CHAVES</t>
  </si>
  <si>
    <t>CONSORCIO INFRAESTRUCTURA 2024</t>
  </si>
  <si>
    <t xml:space="preserve">CONSORCIO PROGRESAR </t>
  </si>
  <si>
    <t>CONSORCIO VIAS E INGENIERIA</t>
  </si>
  <si>
    <t>AGINSA INGENIERIA S.A.S.</t>
  </si>
  <si>
    <t>CEINGCO S.A.S.</t>
  </si>
  <si>
    <t>INGENIECOL S.A.S.</t>
  </si>
  <si>
    <t>MARIA ALEJANDRA LEGARDA LEMOS</t>
  </si>
  <si>
    <t>BRASCO INGENIERIA S.A.S.</t>
  </si>
  <si>
    <t>VERTICES INENIERIA S.A.S.</t>
  </si>
  <si>
    <t>*-*+9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</si>
</sst>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4" formatCode="&quot;(SMMLV)  &quot;0"/>
  </numFmts>
  <fonts count="4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b/>
      <sz val="10"/>
      <color rgb="FFFF0000"/>
      <name val="Arial Narrow"/>
      <family val="2"/>
    </font>
    <font>
      <sz val="8"/>
      <name val="Tahoma"/>
      <family val="2"/>
    </font>
    <font>
      <b/>
      <sz val="9"/>
      <color theme="0"/>
      <name val="Arial"/>
      <family val="2"/>
    </font>
    <font>
      <b/>
      <u val="double"/>
      <sz val="12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 Narrow"/>
      <family val="2"/>
    </font>
    <font>
      <b/>
      <sz val="9"/>
      <color theme="1"/>
      <name val="Arial Narrow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rgb="FF000000"/>
      <name val="Calibri"/>
      <family val="2"/>
    </font>
    <font>
      <sz val="10"/>
      <color rgb="FF000000"/>
      <name val="Cambria-Bold"/>
    </font>
    <font>
      <sz val="8"/>
      <color rgb="FF00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28660"/>
        <bgColor indexed="64"/>
      </patternFill>
    </fill>
    <fill>
      <patternFill patternType="solid">
        <fgColor rgb="FFF0DCC8"/>
        <bgColor indexed="64"/>
      </patternFill>
    </fill>
    <fill>
      <patternFill patternType="solid">
        <fgColor rgb="FF96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7FFF1"/>
        <bgColor indexed="64"/>
      </patternFill>
    </fill>
    <fill>
      <patternFill patternType="solid">
        <fgColor rgb="FF50B4C8"/>
        <bgColor indexed="64"/>
      </patternFill>
    </fill>
    <fill>
      <patternFill patternType="solid">
        <fgColor rgb="FFE1EBFA"/>
        <bgColor indexed="64"/>
      </patternFill>
    </fill>
    <fill>
      <patternFill patternType="solid">
        <fgColor rgb="FF508228"/>
        <bgColor indexed="64"/>
      </patternFill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5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2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482">
    <xf numFmtId="0" fontId="0" fillId="0" borderId="0" xfId="0"/>
    <xf numFmtId="0" fontId="4" fillId="0" borderId="1" xfId="0" applyFont="1" applyBorder="1"/>
    <xf numFmtId="0" fontId="4" fillId="0" borderId="5" xfId="0" quotePrefix="1" applyFont="1" applyBorder="1" applyAlignment="1">
      <alignment horizontal="left"/>
    </xf>
    <xf numFmtId="0" fontId="4" fillId="0" borderId="1" xfId="0" applyFont="1" applyBorder="1" applyAlignment="1">
      <alignment horizontal="centerContinuous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3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3" fontId="12" fillId="0" borderId="6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3" fontId="0" fillId="0" borderId="0" xfId="0" applyNumberFormat="1"/>
    <xf numFmtId="0" fontId="0" fillId="0" borderId="1" xfId="0" applyBorder="1"/>
    <xf numFmtId="0" fontId="0" fillId="0" borderId="7" xfId="0" applyBorder="1"/>
    <xf numFmtId="0" fontId="0" fillId="0" borderId="4" xfId="0" applyBorder="1"/>
    <xf numFmtId="0" fontId="0" fillId="0" borderId="8" xfId="0" applyBorder="1"/>
    <xf numFmtId="0" fontId="0" fillId="0" borderId="9" xfId="0" applyBorder="1" applyProtection="1">
      <protection locked="0"/>
    </xf>
    <xf numFmtId="0" fontId="4" fillId="3" borderId="10" xfId="0" applyFont="1" applyFill="1" applyBorder="1" applyAlignment="1">
      <alignment horizontal="center" wrapText="1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8" xfId="0" applyFont="1" applyFill="1" applyBorder="1" applyAlignment="1">
      <alignment horizontal="center" wrapText="1"/>
    </xf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4" fillId="0" borderId="1" xfId="0" applyFont="1" applyBorder="1"/>
    <xf numFmtId="1" fontId="6" fillId="0" borderId="13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0" fontId="0" fillId="0" borderId="14" xfId="0" applyBorder="1" applyProtection="1">
      <protection locked="0"/>
    </xf>
    <xf numFmtId="0" fontId="0" fillId="0" borderId="14" xfId="0" applyBorder="1"/>
    <xf numFmtId="172" fontId="0" fillId="0" borderId="14" xfId="6" applyNumberFormat="1" applyFont="1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1" fontId="14" fillId="0" borderId="11" xfId="1" applyNumberFormat="1" applyFont="1" applyBorder="1" applyProtection="1">
      <protection locked="0"/>
    </xf>
    <xf numFmtId="171" fontId="14" fillId="0" borderId="11" xfId="1" applyNumberFormat="1" applyFont="1" applyBorder="1"/>
    <xf numFmtId="172" fontId="0" fillId="0" borderId="11" xfId="6" applyNumberFormat="1" applyFont="1" applyBorder="1"/>
    <xf numFmtId="172" fontId="0" fillId="0" borderId="12" xfId="6" applyNumberFormat="1" applyFont="1" applyBorder="1"/>
    <xf numFmtId="0" fontId="0" fillId="0" borderId="0" xfId="0" applyProtection="1">
      <protection locked="0"/>
    </xf>
    <xf numFmtId="0" fontId="15" fillId="0" borderId="11" xfId="5" applyFont="1" applyBorder="1" applyAlignment="1">
      <alignment horizontal="left" indent="1"/>
    </xf>
    <xf numFmtId="1" fontId="6" fillId="0" borderId="10" xfId="0" applyNumberFormat="1" applyFont="1" applyBorder="1" applyAlignment="1">
      <alignment horizontal="center" vertical="center"/>
    </xf>
    <xf numFmtId="171" fontId="0" fillId="0" borderId="14" xfId="1" applyNumberFormat="1" applyFont="1" applyBorder="1" applyProtection="1">
      <protection locked="0"/>
    </xf>
    <xf numFmtId="170" fontId="13" fillId="0" borderId="11" xfId="0" applyNumberFormat="1" applyFont="1" applyBorder="1" applyAlignment="1">
      <alignment horizontal="center" vertical="center"/>
    </xf>
    <xf numFmtId="0" fontId="16" fillId="0" borderId="14" xfId="5" applyFont="1" applyBorder="1" applyAlignment="1">
      <alignment horizontal="left"/>
    </xf>
    <xf numFmtId="0" fontId="23" fillId="5" borderId="20" xfId="4" applyFont="1" applyFill="1" applyBorder="1" applyAlignment="1">
      <alignment horizontal="center" vertical="center" wrapText="1"/>
    </xf>
    <xf numFmtId="169" fontId="23" fillId="5" borderId="14" xfId="1" applyFont="1" applyFill="1" applyBorder="1" applyAlignment="1">
      <alignment horizontal="center" vertical="center" wrapText="1"/>
    </xf>
    <xf numFmtId="10" fontId="23" fillId="5" borderId="14" xfId="3" applyNumberFormat="1" applyFont="1" applyFill="1" applyBorder="1" applyAlignment="1">
      <alignment horizontal="center" vertical="center" wrapText="1"/>
    </xf>
    <xf numFmtId="169" fontId="23" fillId="5" borderId="14" xfId="3" applyNumberFormat="1" applyFont="1" applyFill="1" applyBorder="1" applyAlignment="1">
      <alignment horizontal="center" vertical="center" wrapText="1"/>
    </xf>
    <xf numFmtId="171" fontId="23" fillId="5" borderId="14" xfId="1" applyNumberFormat="1" applyFont="1" applyFill="1" applyBorder="1" applyAlignment="1">
      <alignment horizontal="center" vertical="center" wrapText="1"/>
    </xf>
    <xf numFmtId="0" fontId="24" fillId="4" borderId="13" xfId="4" applyFont="1" applyFill="1" applyBorder="1" applyAlignment="1">
      <alignment horizontal="center" vertical="center" wrapText="1"/>
    </xf>
    <xf numFmtId="169" fontId="23" fillId="5" borderId="40" xfId="1" applyFont="1" applyFill="1" applyBorder="1" applyAlignment="1">
      <alignment horizontal="center" vertical="center" wrapText="1"/>
    </xf>
    <xf numFmtId="169" fontId="24" fillId="0" borderId="43" xfId="1" applyFont="1" applyFill="1" applyBorder="1" applyAlignment="1">
      <alignment horizontal="center" vertical="center" wrapText="1"/>
    </xf>
    <xf numFmtId="0" fontId="5" fillId="7" borderId="0" xfId="0" applyFont="1" applyFill="1"/>
    <xf numFmtId="0" fontId="4" fillId="7" borderId="0" xfId="0" applyFont="1" applyFill="1"/>
    <xf numFmtId="0" fontId="5" fillId="7" borderId="0" xfId="0" applyFont="1" applyFill="1" applyAlignment="1">
      <alignment horizontal="center"/>
    </xf>
    <xf numFmtId="169" fontId="5" fillId="7" borderId="0" xfId="1" applyFont="1" applyFill="1" applyAlignment="1">
      <alignment horizontal="center"/>
    </xf>
    <xf numFmtId="167" fontId="5" fillId="7" borderId="0" xfId="0" applyNumberFormat="1" applyFont="1" applyFill="1" applyAlignment="1">
      <alignment horizontal="center"/>
    </xf>
    <xf numFmtId="172" fontId="5" fillId="7" borderId="0" xfId="6" applyNumberFormat="1" applyFont="1" applyFill="1"/>
    <xf numFmtId="0" fontId="7" fillId="4" borderId="4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4" fillId="7" borderId="0" xfId="0" applyFont="1" applyFill="1" applyAlignment="1">
      <alignment horizontal="center" vertical="center"/>
    </xf>
    <xf numFmtId="0" fontId="24" fillId="7" borderId="0" xfId="0" applyFont="1" applyFill="1"/>
    <xf numFmtId="169" fontId="24" fillId="7" borderId="0" xfId="1" applyFont="1" applyFill="1" applyBorder="1"/>
    <xf numFmtId="9" fontId="24" fillId="7" borderId="0" xfId="6" applyFont="1" applyFill="1" applyBorder="1"/>
    <xf numFmtId="0" fontId="24" fillId="7" borderId="0" xfId="0" applyFont="1" applyFill="1" applyAlignment="1">
      <alignment horizontal="center" vertical="center" wrapText="1"/>
    </xf>
    <xf numFmtId="10" fontId="23" fillId="7" borderId="0" xfId="3" applyNumberFormat="1" applyFont="1" applyFill="1" applyAlignment="1">
      <alignment horizontal="center" vertical="center" wrapText="1"/>
    </xf>
    <xf numFmtId="169" fontId="23" fillId="7" borderId="0" xfId="3" applyNumberFormat="1" applyFont="1" applyFill="1" applyAlignment="1">
      <alignment horizontal="center" vertical="center" wrapText="1"/>
    </xf>
    <xf numFmtId="4" fontId="23" fillId="7" borderId="0" xfId="3" applyNumberFormat="1" applyFont="1" applyFill="1" applyAlignment="1">
      <alignment horizontal="center" vertical="center" wrapText="1"/>
    </xf>
    <xf numFmtId="171" fontId="20" fillId="7" borderId="0" xfId="1" applyNumberFormat="1" applyFont="1" applyFill="1" applyBorder="1" applyAlignment="1">
      <alignment horizontal="center" vertical="center"/>
    </xf>
    <xf numFmtId="173" fontId="23" fillId="7" borderId="0" xfId="3" applyNumberFormat="1" applyFont="1" applyFill="1" applyAlignment="1">
      <alignment horizontal="center" vertical="center" wrapText="1"/>
    </xf>
    <xf numFmtId="169" fontId="0" fillId="7" borderId="0" xfId="1" applyFont="1" applyFill="1"/>
    <xf numFmtId="9" fontId="0" fillId="7" borderId="0" xfId="6" applyFont="1" applyFill="1"/>
    <xf numFmtId="169" fontId="4" fillId="7" borderId="0" xfId="1" applyFont="1" applyFill="1" applyAlignment="1">
      <alignment horizontal="center" vertical="center"/>
    </xf>
    <xf numFmtId="9" fontId="4" fillId="7" borderId="0" xfId="6" applyFont="1" applyFill="1" applyAlignment="1">
      <alignment horizontal="center" vertical="center"/>
    </xf>
    <xf numFmtId="0" fontId="0" fillId="7" borderId="44" xfId="0" applyFill="1" applyBorder="1" applyAlignment="1">
      <alignment horizontal="center" vertical="center"/>
    </xf>
    <xf numFmtId="0" fontId="0" fillId="7" borderId="45" xfId="0" applyFill="1" applyBorder="1" applyAlignment="1">
      <alignment horizontal="center" vertical="center"/>
    </xf>
    <xf numFmtId="0" fontId="0" fillId="7" borderId="46" xfId="0" applyFill="1" applyBorder="1" applyAlignment="1">
      <alignment horizontal="center" vertical="center"/>
    </xf>
    <xf numFmtId="0" fontId="3" fillId="7" borderId="46" xfId="0" applyFont="1" applyFill="1" applyBorder="1" applyAlignment="1">
      <alignment horizontal="center" vertical="center"/>
    </xf>
    <xf numFmtId="0" fontId="0" fillId="7" borderId="47" xfId="0" applyFill="1" applyBorder="1" applyAlignment="1">
      <alignment horizontal="center" vertical="center"/>
    </xf>
    <xf numFmtId="0" fontId="3" fillId="7" borderId="47" xfId="0" applyFont="1" applyFill="1" applyBorder="1" applyAlignment="1">
      <alignment horizontal="center" vertical="center"/>
    </xf>
    <xf numFmtId="2" fontId="0" fillId="7" borderId="47" xfId="0" applyNumberFormat="1" applyFill="1" applyBorder="1" applyAlignment="1">
      <alignment horizontal="center" vertical="center"/>
    </xf>
    <xf numFmtId="2" fontId="0" fillId="7" borderId="45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167" fontId="5" fillId="7" borderId="0" xfId="0" applyNumberFormat="1" applyFont="1" applyFill="1" applyAlignment="1">
      <alignment horizontal="center" vertical="center"/>
    </xf>
    <xf numFmtId="3" fontId="23" fillId="5" borderId="14" xfId="1" applyNumberFormat="1" applyFont="1" applyFill="1" applyBorder="1" applyAlignment="1">
      <alignment horizontal="center" vertical="center" wrapText="1"/>
    </xf>
    <xf numFmtId="3" fontId="23" fillId="5" borderId="15" xfId="1" applyNumberFormat="1" applyFont="1" applyFill="1" applyBorder="1" applyAlignment="1">
      <alignment horizontal="center" vertical="center" wrapText="1"/>
    </xf>
    <xf numFmtId="169" fontId="23" fillId="5" borderId="15" xfId="1" applyFont="1" applyFill="1" applyBorder="1" applyAlignment="1">
      <alignment horizontal="center" vertical="center" wrapText="1"/>
    </xf>
    <xf numFmtId="169" fontId="23" fillId="4" borderId="16" xfId="1" applyFont="1" applyFill="1" applyBorder="1" applyAlignment="1">
      <alignment horizontal="center" vertical="center" wrapText="1"/>
    </xf>
    <xf numFmtId="0" fontId="4" fillId="7" borderId="30" xfId="0" applyFont="1" applyFill="1" applyBorder="1" applyAlignment="1">
      <alignment horizontal="center" vertical="center"/>
    </xf>
    <xf numFmtId="4" fontId="31" fillId="5" borderId="40" xfId="1" applyNumberFormat="1" applyFont="1" applyFill="1" applyBorder="1" applyAlignment="1">
      <alignment horizontal="center" vertical="center" wrapText="1"/>
    </xf>
    <xf numFmtId="4" fontId="23" fillId="5" borderId="14" xfId="1" applyNumberFormat="1" applyFont="1" applyFill="1" applyBorder="1" applyAlignment="1">
      <alignment horizontal="center" vertical="center" wrapText="1"/>
    </xf>
    <xf numFmtId="4" fontId="23" fillId="4" borderId="43" xfId="1" applyNumberFormat="1" applyFont="1" applyFill="1" applyBorder="1" applyAlignment="1">
      <alignment horizontal="center" vertical="center" wrapText="1"/>
    </xf>
    <xf numFmtId="4" fontId="23" fillId="4" borderId="6" xfId="1" applyNumberFormat="1" applyFont="1" applyFill="1" applyBorder="1" applyAlignment="1">
      <alignment horizontal="center" vertical="center" wrapText="1"/>
    </xf>
    <xf numFmtId="4" fontId="23" fillId="4" borderId="16" xfId="1" applyNumberFormat="1" applyFont="1" applyFill="1" applyBorder="1" applyAlignment="1">
      <alignment horizontal="center" vertical="center" wrapText="1"/>
    </xf>
    <xf numFmtId="168" fontId="23" fillId="4" borderId="16" xfId="2" applyFont="1" applyFill="1" applyBorder="1" applyAlignment="1">
      <alignment horizontal="center" vertical="center" wrapText="1"/>
    </xf>
    <xf numFmtId="0" fontId="21" fillId="6" borderId="38" xfId="0" applyFont="1" applyFill="1" applyBorder="1" applyAlignment="1">
      <alignment horizontal="center" vertical="center" wrapText="1"/>
    </xf>
    <xf numFmtId="0" fontId="3" fillId="0" borderId="0" xfId="0" applyFont="1"/>
    <xf numFmtId="0" fontId="4" fillId="7" borderId="0" xfId="0" applyFont="1" applyFill="1" applyAlignment="1">
      <alignment horizontal="center" vertical="center" wrapText="1"/>
    </xf>
    <xf numFmtId="0" fontId="0" fillId="7" borderId="0" xfId="0" applyFill="1" applyAlignment="1">
      <alignment wrapText="1"/>
    </xf>
    <xf numFmtId="168" fontId="0" fillId="7" borderId="0" xfId="2" applyFont="1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169" fontId="0" fillId="7" borderId="0" xfId="1" applyFont="1" applyFill="1" applyAlignment="1">
      <alignment wrapText="1"/>
    </xf>
    <xf numFmtId="0" fontId="0" fillId="0" borderId="0" xfId="0" applyAlignment="1">
      <alignment horizontal="center"/>
    </xf>
    <xf numFmtId="9" fontId="17" fillId="7" borderId="32" xfId="0" applyNumberFormat="1" applyFont="1" applyFill="1" applyBorder="1" applyAlignment="1">
      <alignment vertical="center"/>
    </xf>
    <xf numFmtId="9" fontId="17" fillId="7" borderId="19" xfId="0" applyNumberFormat="1" applyFont="1" applyFill="1" applyBorder="1" applyAlignment="1">
      <alignment vertical="center"/>
    </xf>
    <xf numFmtId="9" fontId="17" fillId="7" borderId="19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168" fontId="17" fillId="11" borderId="14" xfId="2" applyFont="1" applyFill="1" applyBorder="1" applyAlignment="1">
      <alignment vertical="center" wrapText="1"/>
    </xf>
    <xf numFmtId="168" fontId="17" fillId="11" borderId="43" xfId="2" applyFont="1" applyFill="1" applyBorder="1" applyAlignment="1">
      <alignment vertical="center" wrapText="1"/>
    </xf>
    <xf numFmtId="168" fontId="17" fillId="11" borderId="11" xfId="2" applyFont="1" applyFill="1" applyBorder="1" applyAlignment="1">
      <alignment vertical="center" wrapText="1"/>
    </xf>
    <xf numFmtId="168" fontId="17" fillId="11" borderId="42" xfId="2" applyFont="1" applyFill="1" applyBorder="1" applyAlignment="1">
      <alignment vertical="center" wrapText="1"/>
    </xf>
    <xf numFmtId="174" fontId="17" fillId="11" borderId="37" xfId="0" applyNumberFormat="1" applyFont="1" applyFill="1" applyBorder="1" applyAlignment="1">
      <alignment horizontal="center" vertical="center" wrapText="1"/>
    </xf>
    <xf numFmtId="174" fontId="17" fillId="11" borderId="36" xfId="0" applyNumberFormat="1" applyFont="1" applyFill="1" applyBorder="1" applyAlignment="1">
      <alignment horizontal="center" vertical="center" wrapText="1"/>
    </xf>
    <xf numFmtId="174" fontId="17" fillId="11" borderId="51" xfId="0" applyNumberFormat="1" applyFont="1" applyFill="1" applyBorder="1" applyAlignment="1">
      <alignment horizontal="center" vertical="center" wrapText="1"/>
    </xf>
    <xf numFmtId="0" fontId="17" fillId="11" borderId="52" xfId="0" applyFont="1" applyFill="1" applyBorder="1" applyAlignment="1">
      <alignment vertical="center" wrapText="1"/>
    </xf>
    <xf numFmtId="0" fontId="7" fillId="13" borderId="4" xfId="0" applyFont="1" applyFill="1" applyBorder="1" applyAlignment="1">
      <alignment horizontal="center" vertical="center"/>
    </xf>
    <xf numFmtId="9" fontId="33" fillId="7" borderId="19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7" borderId="22" xfId="0" applyFill="1" applyBorder="1" applyAlignment="1">
      <alignment horizontal="center" vertical="center" wrapText="1"/>
    </xf>
    <xf numFmtId="168" fontId="0" fillId="7" borderId="22" xfId="2" applyFont="1" applyFill="1" applyBorder="1" applyAlignment="1">
      <alignment horizontal="center" vertical="center" wrapText="1"/>
    </xf>
    <xf numFmtId="169" fontId="0" fillId="7" borderId="22" xfId="1" applyFont="1" applyFill="1" applyBorder="1" applyAlignment="1">
      <alignment horizontal="center" vertical="center" wrapText="1"/>
    </xf>
    <xf numFmtId="10" fontId="0" fillId="7" borderId="22" xfId="6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7" fillId="7" borderId="0" xfId="0" applyFont="1" applyFill="1" applyAlignment="1">
      <alignment horizontal="center" vertical="center" wrapText="1"/>
    </xf>
    <xf numFmtId="0" fontId="24" fillId="4" borderId="25" xfId="4" applyFont="1" applyFill="1" applyBorder="1" applyAlignment="1">
      <alignment horizontal="center" vertical="center" wrapText="1"/>
    </xf>
    <xf numFmtId="169" fontId="24" fillId="0" borderId="23" xfId="1" applyFont="1" applyFill="1" applyBorder="1" applyAlignment="1">
      <alignment horizontal="center" vertical="center" wrapText="1"/>
    </xf>
    <xf numFmtId="4" fontId="23" fillId="4" borderId="23" xfId="1" applyNumberFormat="1" applyFont="1" applyFill="1" applyBorder="1" applyAlignment="1">
      <alignment horizontal="center" vertical="center" wrapText="1"/>
    </xf>
    <xf numFmtId="4" fontId="23" fillId="4" borderId="58" xfId="1" applyNumberFormat="1" applyFont="1" applyFill="1" applyBorder="1" applyAlignment="1">
      <alignment horizontal="center" vertical="center" wrapText="1"/>
    </xf>
    <xf numFmtId="4" fontId="23" fillId="4" borderId="26" xfId="1" applyNumberFormat="1" applyFont="1" applyFill="1" applyBorder="1" applyAlignment="1">
      <alignment horizontal="center" vertical="center" wrapText="1"/>
    </xf>
    <xf numFmtId="169" fontId="23" fillId="4" borderId="26" xfId="1" applyFont="1" applyFill="1" applyBorder="1" applyAlignment="1">
      <alignment horizontal="center" vertical="center" wrapText="1"/>
    </xf>
    <xf numFmtId="168" fontId="23" fillId="4" borderId="26" xfId="2" applyFont="1" applyFill="1" applyBorder="1" applyAlignment="1">
      <alignment horizontal="center" vertical="center" wrapText="1"/>
    </xf>
    <xf numFmtId="169" fontId="24" fillId="0" borderId="32" xfId="1" applyFont="1" applyFill="1" applyBorder="1" applyAlignment="1">
      <alignment vertical="center" wrapText="1"/>
    </xf>
    <xf numFmtId="0" fontId="24" fillId="4" borderId="32" xfId="4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15" borderId="48" xfId="0" applyFont="1" applyFill="1" applyBorder="1" applyAlignment="1">
      <alignment horizontal="center" vertical="center" wrapText="1"/>
    </xf>
    <xf numFmtId="0" fontId="4" fillId="15" borderId="49" xfId="0" applyFont="1" applyFill="1" applyBorder="1" applyAlignment="1">
      <alignment horizontal="center" vertical="center" wrapText="1"/>
    </xf>
    <xf numFmtId="0" fontId="4" fillId="15" borderId="50" xfId="0" applyFont="1" applyFill="1" applyBorder="1" applyAlignment="1">
      <alignment horizontal="center" vertical="center" wrapText="1"/>
    </xf>
    <xf numFmtId="0" fontId="4" fillId="15" borderId="17" xfId="0" applyFont="1" applyFill="1" applyBorder="1" applyAlignment="1">
      <alignment horizontal="center" vertical="center" wrapText="1"/>
    </xf>
    <xf numFmtId="0" fontId="4" fillId="15" borderId="32" xfId="0" applyFont="1" applyFill="1" applyBorder="1" applyAlignment="1">
      <alignment horizontal="center" vertical="center"/>
    </xf>
    <xf numFmtId="0" fontId="4" fillId="15" borderId="17" xfId="0" applyFont="1" applyFill="1" applyBorder="1" applyAlignment="1">
      <alignment horizontal="center" vertical="center"/>
    </xf>
    <xf numFmtId="0" fontId="4" fillId="15" borderId="33" xfId="0" applyFont="1" applyFill="1" applyBorder="1" applyAlignment="1">
      <alignment horizontal="center" vertical="center"/>
    </xf>
    <xf numFmtId="0" fontId="17" fillId="15" borderId="19" xfId="0" applyFont="1" applyFill="1" applyBorder="1" applyAlignment="1">
      <alignment horizontal="center" vertical="center"/>
    </xf>
    <xf numFmtId="0" fontId="17" fillId="15" borderId="19" xfId="0" quotePrefix="1" applyFont="1" applyFill="1" applyBorder="1" applyAlignment="1">
      <alignment horizontal="center" vertical="center"/>
    </xf>
    <xf numFmtId="167" fontId="17" fillId="15" borderId="19" xfId="0" applyNumberFormat="1" applyFont="1" applyFill="1" applyBorder="1" applyAlignment="1">
      <alignment horizontal="center" vertical="center" wrapText="1"/>
    </xf>
    <xf numFmtId="2" fontId="19" fillId="15" borderId="54" xfId="1" applyNumberFormat="1" applyFont="1" applyFill="1" applyBorder="1" applyAlignment="1">
      <alignment horizontal="center" vertical="center" wrapText="1"/>
    </xf>
    <xf numFmtId="2" fontId="19" fillId="15" borderId="56" xfId="1" applyNumberFormat="1" applyFont="1" applyFill="1" applyBorder="1" applyAlignment="1">
      <alignment horizontal="center" vertical="center" wrapText="1"/>
    </xf>
    <xf numFmtId="9" fontId="19" fillId="15" borderId="54" xfId="6" applyFont="1" applyFill="1" applyBorder="1" applyAlignment="1">
      <alignment horizontal="center" vertical="center"/>
    </xf>
    <xf numFmtId="9" fontId="19" fillId="15" borderId="56" xfId="6" applyFont="1" applyFill="1" applyBorder="1" applyAlignment="1">
      <alignment horizontal="center" vertical="center"/>
    </xf>
    <xf numFmtId="170" fontId="19" fillId="15" borderId="54" xfId="1" applyNumberFormat="1" applyFont="1" applyFill="1" applyBorder="1" applyAlignment="1">
      <alignment horizontal="center" vertical="center"/>
    </xf>
    <xf numFmtId="170" fontId="19" fillId="15" borderId="56" xfId="1" applyNumberFormat="1" applyFont="1" applyFill="1" applyBorder="1" applyAlignment="1">
      <alignment horizontal="center" vertical="center"/>
    </xf>
    <xf numFmtId="9" fontId="19" fillId="15" borderId="16" xfId="6" applyFont="1" applyFill="1" applyBorder="1" applyAlignment="1">
      <alignment horizontal="center" vertical="center"/>
    </xf>
    <xf numFmtId="9" fontId="19" fillId="15" borderId="12" xfId="6" applyFont="1" applyFill="1" applyBorder="1" applyAlignment="1">
      <alignment horizontal="center" vertical="center"/>
    </xf>
    <xf numFmtId="172" fontId="17" fillId="16" borderId="43" xfId="6" quotePrefix="1" applyNumberFormat="1" applyFont="1" applyFill="1" applyBorder="1" applyAlignment="1">
      <alignment horizontal="center" vertical="center" wrapText="1"/>
    </xf>
    <xf numFmtId="172" fontId="17" fillId="16" borderId="11" xfId="6" quotePrefix="1" applyNumberFormat="1" applyFont="1" applyFill="1" applyBorder="1" applyAlignment="1">
      <alignment horizontal="center" vertical="center" wrapText="1"/>
    </xf>
    <xf numFmtId="172" fontId="17" fillId="16" borderId="42" xfId="6" applyNumberFormat="1" applyFont="1" applyFill="1" applyBorder="1" applyAlignment="1">
      <alignment horizontal="center" vertical="center"/>
    </xf>
    <xf numFmtId="172" fontId="17" fillId="16" borderId="36" xfId="6" quotePrefix="1" applyNumberFormat="1" applyFont="1" applyFill="1" applyBorder="1" applyAlignment="1">
      <alignment horizontal="center" vertical="center" wrapText="1"/>
    </xf>
    <xf numFmtId="172" fontId="17" fillId="16" borderId="51" xfId="6" quotePrefix="1" applyNumberFormat="1" applyFont="1" applyFill="1" applyBorder="1" applyAlignment="1">
      <alignment horizontal="center" vertical="center" wrapText="1"/>
    </xf>
    <xf numFmtId="172" fontId="17" fillId="16" borderId="17" xfId="6" applyNumberFormat="1" applyFont="1" applyFill="1" applyBorder="1" applyAlignment="1">
      <alignment horizontal="center" vertical="center"/>
    </xf>
    <xf numFmtId="0" fontId="17" fillId="16" borderId="39" xfId="0" applyFont="1" applyFill="1" applyBorder="1" applyAlignment="1">
      <alignment horizontal="center" vertical="center"/>
    </xf>
    <xf numFmtId="0" fontId="17" fillId="16" borderId="33" xfId="0" applyFont="1" applyFill="1" applyBorder="1" applyAlignment="1">
      <alignment horizontal="center" vertical="center"/>
    </xf>
    <xf numFmtId="0" fontId="17" fillId="16" borderId="7" xfId="0" applyFont="1" applyFill="1" applyBorder="1" applyAlignment="1">
      <alignment horizontal="center" vertical="center"/>
    </xf>
    <xf numFmtId="0" fontId="17" fillId="16" borderId="18" xfId="0" applyFont="1" applyFill="1" applyBorder="1" applyAlignment="1">
      <alignment horizontal="center" vertical="center"/>
    </xf>
    <xf numFmtId="0" fontId="19" fillId="16" borderId="55" xfId="0" quotePrefix="1" applyFont="1" applyFill="1" applyBorder="1" applyAlignment="1">
      <alignment horizontal="center" vertical="center" wrapText="1"/>
    </xf>
    <xf numFmtId="0" fontId="19" fillId="16" borderId="53" xfId="0" quotePrefix="1" applyFont="1" applyFill="1" applyBorder="1" applyAlignment="1">
      <alignment horizontal="center" vertical="center" wrapText="1"/>
    </xf>
    <xf numFmtId="0" fontId="17" fillId="16" borderId="53" xfId="0" quotePrefix="1" applyFont="1" applyFill="1" applyBorder="1" applyAlignment="1">
      <alignment horizontal="center" vertical="center" wrapText="1"/>
    </xf>
    <xf numFmtId="0" fontId="17" fillId="16" borderId="55" xfId="0" quotePrefix="1" applyFont="1" applyFill="1" applyBorder="1" applyAlignment="1">
      <alignment horizontal="center" vertical="center" wrapText="1"/>
    </xf>
    <xf numFmtId="169" fontId="17" fillId="16" borderId="9" xfId="1" applyFont="1" applyFill="1" applyBorder="1" applyAlignment="1">
      <alignment horizontal="center" vertical="center" wrapText="1"/>
    </xf>
    <xf numFmtId="0" fontId="19" fillId="15" borderId="42" xfId="3" applyFont="1" applyFill="1" applyBorder="1" applyAlignment="1">
      <alignment horizontal="center" vertical="center" wrapText="1"/>
    </xf>
    <xf numFmtId="0" fontId="19" fillId="15" borderId="39" xfId="3" applyFont="1" applyFill="1" applyBorder="1" applyAlignment="1">
      <alignment horizontal="center" vertical="center" wrapText="1"/>
    </xf>
    <xf numFmtId="10" fontId="23" fillId="0" borderId="43" xfId="3" applyNumberFormat="1" applyFont="1" applyBorder="1" applyAlignment="1">
      <alignment horizontal="center" vertical="center" wrapText="1"/>
    </xf>
    <xf numFmtId="169" fontId="23" fillId="0" borderId="43" xfId="3" applyNumberFormat="1" applyFont="1" applyBorder="1" applyAlignment="1">
      <alignment horizontal="center" vertical="center" wrapText="1"/>
    </xf>
    <xf numFmtId="4" fontId="23" fillId="0" borderId="6" xfId="1" applyNumberFormat="1" applyFont="1" applyFill="1" applyBorder="1" applyAlignment="1">
      <alignment horizontal="center" vertical="center" wrapText="1"/>
    </xf>
    <xf numFmtId="4" fontId="23" fillId="0" borderId="16" xfId="1" applyNumberFormat="1" applyFont="1" applyFill="1" applyBorder="1" applyAlignment="1">
      <alignment horizontal="center" vertical="center" wrapText="1"/>
    </xf>
    <xf numFmtId="10" fontId="23" fillId="0" borderId="23" xfId="3" applyNumberFormat="1" applyFont="1" applyBorder="1" applyAlignment="1">
      <alignment horizontal="center" vertical="center" wrapText="1"/>
    </xf>
    <xf numFmtId="169" fontId="23" fillId="0" borderId="23" xfId="3" applyNumberFormat="1" applyFont="1" applyBorder="1" applyAlignment="1">
      <alignment horizontal="center" vertical="center" wrapText="1"/>
    </xf>
    <xf numFmtId="4" fontId="23" fillId="0" borderId="58" xfId="1" applyNumberFormat="1" applyFont="1" applyFill="1" applyBorder="1" applyAlignment="1">
      <alignment horizontal="center" vertical="center" wrapText="1"/>
    </xf>
    <xf numFmtId="4" fontId="23" fillId="0" borderId="26" xfId="1" applyNumberFormat="1" applyFont="1" applyFill="1" applyBorder="1" applyAlignment="1">
      <alignment horizontal="center" vertical="center" wrapText="1"/>
    </xf>
    <xf numFmtId="0" fontId="19" fillId="15" borderId="14" xfId="3" applyFont="1" applyFill="1" applyBorder="1" applyAlignment="1">
      <alignment horizontal="center" vertical="center" wrapText="1"/>
    </xf>
    <xf numFmtId="0" fontId="19" fillId="15" borderId="15" xfId="3" applyFont="1" applyFill="1" applyBorder="1" applyAlignment="1">
      <alignment horizontal="center" vertical="center" wrapText="1"/>
    </xf>
    <xf numFmtId="0" fontId="24" fillId="0" borderId="13" xfId="4" applyFont="1" applyBorder="1" applyAlignment="1">
      <alignment horizontal="center" vertical="center" wrapText="1"/>
    </xf>
    <xf numFmtId="3" fontId="23" fillId="0" borderId="43" xfId="1" applyNumberFormat="1" applyFont="1" applyFill="1" applyBorder="1" applyAlignment="1">
      <alignment horizontal="center" vertical="center" wrapText="1"/>
    </xf>
    <xf numFmtId="0" fontId="24" fillId="0" borderId="25" xfId="4" applyFont="1" applyBorder="1" applyAlignment="1">
      <alignment horizontal="center" vertical="center" wrapText="1"/>
    </xf>
    <xf numFmtId="3" fontId="23" fillId="0" borderId="23" xfId="1" applyNumberFormat="1" applyFont="1" applyFill="1" applyBorder="1" applyAlignment="1">
      <alignment horizontal="center" vertical="center" wrapText="1"/>
    </xf>
    <xf numFmtId="4" fontId="19" fillId="15" borderId="14" xfId="3" applyNumberFormat="1" applyFont="1" applyFill="1" applyBorder="1" applyAlignment="1">
      <alignment horizontal="center" vertical="center" wrapText="1"/>
    </xf>
    <xf numFmtId="0" fontId="19" fillId="15" borderId="40" xfId="3" applyFont="1" applyFill="1" applyBorder="1" applyAlignment="1">
      <alignment horizontal="center" vertical="center" wrapText="1"/>
    </xf>
    <xf numFmtId="0" fontId="4" fillId="15" borderId="15" xfId="3" applyFont="1" applyFill="1" applyBorder="1" applyAlignment="1">
      <alignment horizontal="center" vertical="center" wrapText="1"/>
    </xf>
    <xf numFmtId="171" fontId="23" fillId="0" borderId="43" xfId="1" applyNumberFormat="1" applyFont="1" applyFill="1" applyBorder="1" applyAlignment="1">
      <alignment horizontal="center" vertical="center" wrapText="1"/>
    </xf>
    <xf numFmtId="169" fontId="23" fillId="0" borderId="43" xfId="1" applyFont="1" applyFill="1" applyBorder="1" applyAlignment="1">
      <alignment horizontal="center" vertical="center" wrapText="1"/>
    </xf>
    <xf numFmtId="168" fontId="23" fillId="0" borderId="43" xfId="2" applyFont="1" applyFill="1" applyBorder="1" applyAlignment="1">
      <alignment horizontal="center" vertical="center" wrapText="1"/>
    </xf>
    <xf numFmtId="169" fontId="23" fillId="0" borderId="6" xfId="1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4" fillId="15" borderId="0" xfId="0" applyFont="1" applyFill="1" applyAlignment="1">
      <alignment horizontal="center"/>
    </xf>
    <xf numFmtId="0" fontId="4" fillId="15" borderId="0" xfId="0" applyFont="1" applyFill="1" applyAlignment="1">
      <alignment horizontal="center" vertical="center"/>
    </xf>
    <xf numFmtId="0" fontId="19" fillId="17" borderId="14" xfId="3" applyFont="1" applyFill="1" applyBorder="1" applyAlignment="1">
      <alignment horizontal="center" vertical="center" wrapText="1"/>
    </xf>
    <xf numFmtId="0" fontId="19" fillId="17" borderId="40" xfId="3" applyFont="1" applyFill="1" applyBorder="1" applyAlignment="1">
      <alignment horizontal="center" vertical="center" wrapText="1"/>
    </xf>
    <xf numFmtId="0" fontId="33" fillId="17" borderId="17" xfId="0" applyFont="1" applyFill="1" applyBorder="1" applyAlignment="1">
      <alignment horizontal="center" vertical="center" wrapText="1"/>
    </xf>
    <xf numFmtId="9" fontId="17" fillId="0" borderId="19" xfId="0" applyNumberFormat="1" applyFont="1" applyBorder="1" applyAlignment="1">
      <alignment vertical="center"/>
    </xf>
    <xf numFmtId="0" fontId="37" fillId="5" borderId="34" xfId="0" applyFont="1" applyFill="1" applyBorder="1" applyAlignment="1">
      <alignment horizontal="center" vertical="center" wrapText="1"/>
    </xf>
    <xf numFmtId="0" fontId="38" fillId="5" borderId="21" xfId="0" applyFont="1" applyFill="1" applyBorder="1" applyAlignment="1">
      <alignment horizontal="center" vertical="center" wrapText="1"/>
    </xf>
    <xf numFmtId="9" fontId="38" fillId="5" borderId="21" xfId="6" applyFont="1" applyFill="1" applyBorder="1" applyAlignment="1">
      <alignment horizontal="center" vertical="center" wrapText="1"/>
    </xf>
    <xf numFmtId="169" fontId="37" fillId="5" borderId="21" xfId="1" applyFont="1" applyFill="1" applyBorder="1" applyAlignment="1">
      <alignment horizontal="center" vertical="center" wrapText="1"/>
    </xf>
    <xf numFmtId="173" fontId="37" fillId="5" borderId="21" xfId="1" applyNumberFormat="1" applyFont="1" applyFill="1" applyBorder="1" applyAlignment="1">
      <alignment horizontal="center" vertical="center" wrapText="1"/>
    </xf>
    <xf numFmtId="1" fontId="39" fillId="16" borderId="21" xfId="1" applyNumberFormat="1" applyFont="1" applyFill="1" applyBorder="1" applyAlignment="1">
      <alignment horizontal="center" vertical="center"/>
    </xf>
    <xf numFmtId="170" fontId="39" fillId="0" borderId="21" xfId="1" applyNumberFormat="1" applyFont="1" applyFill="1" applyBorder="1" applyAlignment="1">
      <alignment horizontal="center" vertical="center"/>
    </xf>
    <xf numFmtId="171" fontId="39" fillId="8" borderId="21" xfId="1" applyNumberFormat="1" applyFont="1" applyFill="1" applyBorder="1" applyAlignment="1">
      <alignment horizontal="center" vertical="center"/>
    </xf>
    <xf numFmtId="171" fontId="39" fillId="5" borderId="21" xfId="1" applyNumberFormat="1" applyFont="1" applyFill="1" applyBorder="1" applyAlignment="1">
      <alignment horizontal="center" vertical="center"/>
    </xf>
    <xf numFmtId="169" fontId="36" fillId="5" borderId="21" xfId="1" applyFont="1" applyFill="1" applyBorder="1" applyAlignment="1">
      <alignment horizontal="center" vertical="center"/>
    </xf>
    <xf numFmtId="0" fontId="37" fillId="12" borderId="21" xfId="0" applyFont="1" applyFill="1" applyBorder="1" applyAlignment="1">
      <alignment horizontal="center" vertical="center" wrapText="1"/>
    </xf>
    <xf numFmtId="0" fontId="40" fillId="12" borderId="21" xfId="0" applyFont="1" applyFill="1" applyBorder="1" applyAlignment="1">
      <alignment horizontal="center" vertical="center" wrapText="1"/>
    </xf>
    <xf numFmtId="172" fontId="37" fillId="5" borderId="21" xfId="6" applyNumberFormat="1" applyFont="1" applyFill="1" applyBorder="1" applyAlignment="1">
      <alignment horizontal="center" vertical="center" wrapText="1"/>
    </xf>
    <xf numFmtId="169" fontId="37" fillId="9" borderId="21" xfId="1" applyFont="1" applyFill="1" applyBorder="1" applyAlignment="1">
      <alignment horizontal="center" vertical="center" wrapText="1"/>
    </xf>
    <xf numFmtId="0" fontId="37" fillId="17" borderId="21" xfId="0" applyFont="1" applyFill="1" applyBorder="1" applyAlignment="1">
      <alignment horizontal="center" vertical="center" wrapText="1"/>
    </xf>
    <xf numFmtId="171" fontId="36" fillId="9" borderId="57" xfId="1" applyNumberFormat="1" applyFont="1" applyFill="1" applyBorder="1" applyAlignment="1">
      <alignment horizontal="center"/>
    </xf>
    <xf numFmtId="4" fontId="36" fillId="9" borderId="57" xfId="0" applyNumberFormat="1" applyFont="1" applyFill="1" applyBorder="1"/>
    <xf numFmtId="0" fontId="41" fillId="9" borderId="38" xfId="0" applyFont="1" applyFill="1" applyBorder="1" applyAlignment="1">
      <alignment horizontal="center" vertical="center"/>
    </xf>
    <xf numFmtId="9" fontId="37" fillId="5" borderId="34" xfId="6" applyFont="1" applyFill="1" applyBorder="1" applyAlignment="1">
      <alignment horizontal="center" vertical="center" wrapText="1"/>
    </xf>
    <xf numFmtId="9" fontId="37" fillId="5" borderId="21" xfId="6" applyFont="1" applyFill="1" applyBorder="1" applyAlignment="1">
      <alignment horizontal="center" vertical="center" wrapText="1"/>
    </xf>
    <xf numFmtId="0" fontId="37" fillId="17" borderId="38" xfId="0" applyFont="1" applyFill="1" applyBorder="1" applyAlignment="1">
      <alignment horizontal="center" vertical="center" wrapText="1"/>
    </xf>
    <xf numFmtId="0" fontId="42" fillId="4" borderId="13" xfId="0" applyFont="1" applyFill="1" applyBorder="1" applyAlignment="1">
      <alignment horizontal="center" vertical="center" wrapText="1"/>
    </xf>
    <xf numFmtId="0" fontId="43" fillId="4" borderId="43" xfId="0" applyFont="1" applyFill="1" applyBorder="1" applyAlignment="1">
      <alignment horizontal="center" vertical="center" wrapText="1"/>
    </xf>
    <xf numFmtId="9" fontId="43" fillId="4" borderId="43" xfId="6" applyFont="1" applyFill="1" applyBorder="1" applyAlignment="1">
      <alignment horizontal="center" vertical="center" wrapText="1"/>
    </xf>
    <xf numFmtId="169" fontId="42" fillId="4" borderId="43" xfId="1" applyFont="1" applyFill="1" applyBorder="1" applyAlignment="1">
      <alignment horizontal="center" vertical="center" wrapText="1"/>
    </xf>
    <xf numFmtId="1" fontId="39" fillId="16" borderId="43" xfId="1" applyNumberFormat="1" applyFont="1" applyFill="1" applyBorder="1" applyAlignment="1">
      <alignment horizontal="center" vertical="center"/>
    </xf>
    <xf numFmtId="170" fontId="39" fillId="0" borderId="43" xfId="1" applyNumberFormat="1" applyFont="1" applyFill="1" applyBorder="1" applyAlignment="1">
      <alignment horizontal="center" vertical="center"/>
    </xf>
    <xf numFmtId="167" fontId="39" fillId="0" borderId="43" xfId="1" applyNumberFormat="1" applyFont="1" applyFill="1" applyBorder="1" applyAlignment="1">
      <alignment horizontal="center" vertical="center" wrapText="1"/>
    </xf>
    <xf numFmtId="169" fontId="36" fillId="0" borderId="43" xfId="1" applyFont="1" applyFill="1" applyBorder="1" applyAlignment="1">
      <alignment horizontal="center" vertical="center"/>
    </xf>
    <xf numFmtId="169" fontId="37" fillId="0" borderId="43" xfId="1" applyFont="1" applyFill="1" applyBorder="1" applyAlignment="1">
      <alignment horizontal="center" vertical="center" wrapText="1"/>
    </xf>
    <xf numFmtId="0" fontId="37" fillId="12" borderId="43" xfId="0" applyFont="1" applyFill="1" applyBorder="1" applyAlignment="1">
      <alignment horizontal="center" vertical="center" wrapText="1"/>
    </xf>
    <xf numFmtId="0" fontId="40" fillId="12" borderId="43" xfId="0" applyFont="1" applyFill="1" applyBorder="1" applyAlignment="1">
      <alignment horizontal="center" vertical="center" wrapText="1"/>
    </xf>
    <xf numFmtId="172" fontId="37" fillId="0" borderId="43" xfId="6" applyNumberFormat="1" applyFont="1" applyFill="1" applyBorder="1" applyAlignment="1">
      <alignment horizontal="center" vertical="center" wrapText="1"/>
    </xf>
    <xf numFmtId="167" fontId="39" fillId="4" borderId="43" xfId="1" applyNumberFormat="1" applyFont="1" applyFill="1" applyBorder="1" applyAlignment="1">
      <alignment horizontal="center" vertical="center" wrapText="1"/>
    </xf>
    <xf numFmtId="0" fontId="37" fillId="17" borderId="43" xfId="0" applyFont="1" applyFill="1" applyBorder="1" applyAlignment="1">
      <alignment horizontal="center" vertical="center" wrapText="1"/>
    </xf>
    <xf numFmtId="171" fontId="36" fillId="14" borderId="43" xfId="1" applyNumberFormat="1" applyFont="1" applyFill="1" applyBorder="1" applyAlignment="1">
      <alignment horizontal="center"/>
    </xf>
    <xf numFmtId="169" fontId="36" fillId="14" borderId="43" xfId="1" applyFont="1" applyFill="1" applyBorder="1" applyAlignment="1">
      <alignment horizontal="center" vertical="center"/>
    </xf>
    <xf numFmtId="0" fontId="41" fillId="9" borderId="43" xfId="0" applyFont="1" applyFill="1" applyBorder="1" applyAlignment="1">
      <alignment horizontal="center" vertical="center"/>
    </xf>
    <xf numFmtId="9" fontId="37" fillId="0" borderId="43" xfId="6" applyFont="1" applyFill="1" applyBorder="1" applyAlignment="1">
      <alignment horizontal="center" vertical="center" wrapText="1"/>
    </xf>
    <xf numFmtId="0" fontId="37" fillId="17" borderId="16" xfId="0" applyFont="1" applyFill="1" applyBorder="1" applyAlignment="1">
      <alignment horizontal="center" vertical="center" wrapText="1"/>
    </xf>
    <xf numFmtId="0" fontId="43" fillId="4" borderId="43" xfId="6" applyNumberFormat="1" applyFont="1" applyFill="1" applyBorder="1" applyAlignment="1">
      <alignment horizontal="center" vertical="center" wrapText="1"/>
    </xf>
    <xf numFmtId="170" fontId="42" fillId="4" borderId="43" xfId="1" applyNumberFormat="1" applyFont="1" applyFill="1" applyBorder="1" applyAlignment="1">
      <alignment horizontal="center" vertical="center" wrapText="1"/>
    </xf>
    <xf numFmtId="9" fontId="37" fillId="7" borderId="13" xfId="0" applyNumberFormat="1" applyFont="1" applyFill="1" applyBorder="1" applyAlignment="1">
      <alignment vertical="center"/>
    </xf>
    <xf numFmtId="9" fontId="37" fillId="7" borderId="43" xfId="0" applyNumberFormat="1" applyFont="1" applyFill="1" applyBorder="1" applyAlignment="1">
      <alignment vertical="center"/>
    </xf>
    <xf numFmtId="9" fontId="37" fillId="7" borderId="43" xfId="0" applyNumberFormat="1" applyFont="1" applyFill="1" applyBorder="1" applyAlignment="1">
      <alignment horizontal="center" vertical="center"/>
    </xf>
    <xf numFmtId="0" fontId="35" fillId="7" borderId="43" xfId="0" applyFont="1" applyFill="1" applyBorder="1"/>
    <xf numFmtId="172" fontId="35" fillId="7" borderId="43" xfId="6" applyNumberFormat="1" applyFont="1" applyFill="1" applyBorder="1"/>
    <xf numFmtId="0" fontId="35" fillId="7" borderId="16" xfId="0" applyFont="1" applyFill="1" applyBorder="1"/>
    <xf numFmtId="168" fontId="44" fillId="4" borderId="16" xfId="2" applyFont="1" applyFill="1" applyBorder="1" applyAlignment="1">
      <alignment horizontal="center" vertical="center" wrapText="1"/>
    </xf>
    <xf numFmtId="169" fontId="44" fillId="0" borderId="43" xfId="3" applyNumberFormat="1" applyFont="1" applyBorder="1" applyAlignment="1">
      <alignment horizontal="center" vertical="center" wrapText="1"/>
    </xf>
    <xf numFmtId="3" fontId="44" fillId="0" borderId="43" xfId="1" applyNumberFormat="1" applyFont="1" applyFill="1" applyBorder="1" applyAlignment="1">
      <alignment horizontal="center" vertical="center" wrapText="1"/>
    </xf>
    <xf numFmtId="169" fontId="44" fillId="4" borderId="16" xfId="1" applyFont="1" applyFill="1" applyBorder="1" applyAlignment="1">
      <alignment horizontal="center" vertical="center" wrapText="1"/>
    </xf>
    <xf numFmtId="169" fontId="0" fillId="7" borderId="0" xfId="1" applyFont="1" applyFill="1" applyAlignment="1">
      <alignment horizontal="center" vertical="center" wrapText="1"/>
    </xf>
    <xf numFmtId="169" fontId="0" fillId="7" borderId="0" xfId="0" applyNumberFormat="1" applyFill="1" applyAlignment="1">
      <alignment horizontal="center" vertical="center" wrapText="1"/>
    </xf>
    <xf numFmtId="0" fontId="3" fillId="7" borderId="0" xfId="0" applyFont="1" applyFill="1"/>
    <xf numFmtId="0" fontId="43" fillId="18" borderId="43" xfId="6" applyNumberFormat="1" applyFont="1" applyFill="1" applyBorder="1" applyAlignment="1">
      <alignment horizontal="center" vertical="center" wrapText="1"/>
    </xf>
    <xf numFmtId="0" fontId="23" fillId="0" borderId="13" xfId="4" applyFont="1" applyBorder="1" applyAlignment="1">
      <alignment horizontal="center" vertical="center" wrapText="1"/>
    </xf>
    <xf numFmtId="0" fontId="43" fillId="0" borderId="43" xfId="6" applyNumberFormat="1" applyFont="1" applyFill="1" applyBorder="1" applyAlignment="1">
      <alignment horizontal="center" vertical="center" wrapText="1"/>
    </xf>
    <xf numFmtId="0" fontId="42" fillId="4" borderId="35" xfId="0" applyFont="1" applyFill="1" applyBorder="1" applyAlignment="1">
      <alignment horizontal="center" vertical="center" wrapText="1"/>
    </xf>
    <xf numFmtId="0" fontId="43" fillId="4" borderId="24" xfId="0" applyFont="1" applyFill="1" applyBorder="1" applyAlignment="1">
      <alignment horizontal="center" vertical="center" wrapText="1"/>
    </xf>
    <xf numFmtId="9" fontId="43" fillId="4" borderId="24" xfId="6" applyFont="1" applyFill="1" applyBorder="1" applyAlignment="1">
      <alignment horizontal="center" vertical="center" wrapText="1"/>
    </xf>
    <xf numFmtId="169" fontId="42" fillId="4" borderId="24" xfId="1" applyFont="1" applyFill="1" applyBorder="1" applyAlignment="1">
      <alignment horizontal="center" vertical="center" wrapText="1"/>
    </xf>
    <xf numFmtId="1" fontId="39" fillId="16" borderId="24" xfId="1" applyNumberFormat="1" applyFont="1" applyFill="1" applyBorder="1" applyAlignment="1">
      <alignment horizontal="center" vertical="center"/>
    </xf>
    <xf numFmtId="170" fontId="39" fillId="0" borderId="24" xfId="1" applyNumberFormat="1" applyFont="1" applyFill="1" applyBorder="1" applyAlignment="1">
      <alignment horizontal="center" vertical="center"/>
    </xf>
    <xf numFmtId="167" fontId="39" fillId="0" borderId="24" xfId="1" applyNumberFormat="1" applyFont="1" applyFill="1" applyBorder="1" applyAlignment="1">
      <alignment horizontal="center" vertical="center" wrapText="1"/>
    </xf>
    <xf numFmtId="169" fontId="36" fillId="0" borderId="24" xfId="1" applyFont="1" applyFill="1" applyBorder="1" applyAlignment="1">
      <alignment horizontal="center" vertical="center"/>
    </xf>
    <xf numFmtId="169" fontId="37" fillId="0" borderId="24" xfId="1" applyFont="1" applyFill="1" applyBorder="1" applyAlignment="1">
      <alignment horizontal="center" vertical="center" wrapText="1"/>
    </xf>
    <xf numFmtId="0" fontId="37" fillId="12" borderId="24" xfId="0" applyFont="1" applyFill="1" applyBorder="1" applyAlignment="1">
      <alignment horizontal="center" vertical="center" wrapText="1"/>
    </xf>
    <xf numFmtId="0" fontId="40" fillId="12" borderId="24" xfId="0" applyFont="1" applyFill="1" applyBorder="1" applyAlignment="1">
      <alignment horizontal="center" vertical="center" wrapText="1"/>
    </xf>
    <xf numFmtId="172" fontId="37" fillId="0" borderId="24" xfId="6" applyNumberFormat="1" applyFont="1" applyFill="1" applyBorder="1" applyAlignment="1">
      <alignment horizontal="center" vertical="center" wrapText="1"/>
    </xf>
    <xf numFmtId="167" fontId="39" fillId="4" borderId="24" xfId="1" applyNumberFormat="1" applyFont="1" applyFill="1" applyBorder="1" applyAlignment="1">
      <alignment horizontal="center" vertical="center" wrapText="1"/>
    </xf>
    <xf numFmtId="0" fontId="37" fillId="17" borderId="24" xfId="0" applyFont="1" applyFill="1" applyBorder="1" applyAlignment="1">
      <alignment horizontal="center" vertical="center" wrapText="1"/>
    </xf>
    <xf numFmtId="171" fontId="36" fillId="14" borderId="59" xfId="1" applyNumberFormat="1" applyFont="1" applyFill="1" applyBorder="1" applyAlignment="1">
      <alignment horizontal="center"/>
    </xf>
    <xf numFmtId="169" fontId="36" fillId="14" borderId="59" xfId="1" applyFont="1" applyFill="1" applyBorder="1" applyAlignment="1">
      <alignment horizontal="center" vertical="center"/>
    </xf>
    <xf numFmtId="0" fontId="41" fillId="9" borderId="60" xfId="0" applyFont="1" applyFill="1" applyBorder="1" applyAlignment="1">
      <alignment horizontal="center" vertical="center"/>
    </xf>
    <xf numFmtId="9" fontId="37" fillId="0" borderId="59" xfId="6" applyFont="1" applyFill="1" applyBorder="1" applyAlignment="1">
      <alignment horizontal="center" vertical="center" wrapText="1"/>
    </xf>
    <xf numFmtId="9" fontId="37" fillId="0" borderId="24" xfId="6" applyFont="1" applyFill="1" applyBorder="1" applyAlignment="1">
      <alignment horizontal="center" vertical="center" wrapText="1"/>
    </xf>
    <xf numFmtId="0" fontId="37" fillId="17" borderId="61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/>
    </xf>
    <xf numFmtId="0" fontId="24" fillId="4" borderId="62" xfId="4" applyFont="1" applyFill="1" applyBorder="1" applyAlignment="1">
      <alignment horizontal="center" vertical="center" wrapText="1"/>
    </xf>
    <xf numFmtId="10" fontId="23" fillId="0" borderId="22" xfId="3" applyNumberFormat="1" applyFont="1" applyBorder="1" applyAlignment="1">
      <alignment horizontal="center" vertical="center" wrapText="1"/>
    </xf>
    <xf numFmtId="169" fontId="44" fillId="0" borderId="22" xfId="3" applyNumberFormat="1" applyFont="1" applyBorder="1" applyAlignment="1">
      <alignment horizontal="center" vertical="center" wrapText="1"/>
    </xf>
    <xf numFmtId="169" fontId="23" fillId="0" borderId="22" xfId="3" applyNumberFormat="1" applyFont="1" applyBorder="1" applyAlignment="1">
      <alignment horizontal="center" vertical="center" wrapText="1"/>
    </xf>
    <xf numFmtId="4" fontId="23" fillId="0" borderId="63" xfId="1" applyNumberFormat="1" applyFont="1" applyFill="1" applyBorder="1" applyAlignment="1">
      <alignment horizontal="center" vertical="center" wrapText="1"/>
    </xf>
    <xf numFmtId="4" fontId="23" fillId="0" borderId="64" xfId="1" applyNumberFormat="1" applyFont="1" applyFill="1" applyBorder="1" applyAlignment="1">
      <alignment horizontal="center" vertical="center" wrapText="1"/>
    </xf>
    <xf numFmtId="169" fontId="44" fillId="0" borderId="43" xfId="1" applyFont="1" applyBorder="1" applyAlignment="1">
      <alignment horizontal="center" vertical="center" wrapText="1"/>
    </xf>
    <xf numFmtId="0" fontId="24" fillId="0" borderId="62" xfId="4" applyFont="1" applyBorder="1" applyAlignment="1">
      <alignment horizontal="center" vertical="center" wrapText="1"/>
    </xf>
    <xf numFmtId="3" fontId="44" fillId="0" borderId="22" xfId="1" applyNumberFormat="1" applyFont="1" applyFill="1" applyBorder="1" applyAlignment="1">
      <alignment horizontal="center" vertical="center" wrapText="1"/>
    </xf>
    <xf numFmtId="4" fontId="23" fillId="4" borderId="22" xfId="1" applyNumberFormat="1" applyFont="1" applyFill="1" applyBorder="1" applyAlignment="1">
      <alignment horizontal="center" vertical="center" wrapText="1"/>
    </xf>
    <xf numFmtId="4" fontId="23" fillId="4" borderId="63" xfId="1" applyNumberFormat="1" applyFont="1" applyFill="1" applyBorder="1" applyAlignment="1">
      <alignment horizontal="center" vertical="center" wrapText="1"/>
    </xf>
    <xf numFmtId="4" fontId="23" fillId="4" borderId="64" xfId="1" applyNumberFormat="1" applyFont="1" applyFill="1" applyBorder="1" applyAlignment="1">
      <alignment horizontal="center" vertical="center" wrapText="1"/>
    </xf>
    <xf numFmtId="169" fontId="44" fillId="4" borderId="64" xfId="1" applyFont="1" applyFill="1" applyBorder="1" applyAlignment="1">
      <alignment horizontal="center" vertical="center" wrapText="1"/>
    </xf>
    <xf numFmtId="168" fontId="44" fillId="4" borderId="64" xfId="2" applyFont="1" applyFill="1" applyBorder="1" applyAlignment="1">
      <alignment horizontal="center" vertical="center" wrapText="1"/>
    </xf>
    <xf numFmtId="171" fontId="23" fillId="0" borderId="22" xfId="1" applyNumberFormat="1" applyFont="1" applyFill="1" applyBorder="1" applyAlignment="1">
      <alignment horizontal="center" vertical="center" wrapText="1"/>
    </xf>
    <xf numFmtId="169" fontId="23" fillId="0" borderId="22" xfId="1" applyFont="1" applyFill="1" applyBorder="1" applyAlignment="1">
      <alignment horizontal="center" vertical="center" wrapText="1"/>
    </xf>
    <xf numFmtId="168" fontId="23" fillId="0" borderId="22" xfId="2" applyFont="1" applyFill="1" applyBorder="1" applyAlignment="1">
      <alignment horizontal="center" vertical="center" wrapText="1"/>
    </xf>
    <xf numFmtId="4" fontId="23" fillId="0" borderId="22" xfId="1" applyNumberFormat="1" applyFont="1" applyFill="1" applyBorder="1" applyAlignment="1">
      <alignment horizontal="center" vertical="center" wrapText="1"/>
    </xf>
    <xf numFmtId="168" fontId="23" fillId="0" borderId="63" xfId="2" applyFont="1" applyFill="1" applyBorder="1" applyAlignment="1">
      <alignment horizontal="center" vertical="center" wrapText="1"/>
    </xf>
    <xf numFmtId="169" fontId="23" fillId="0" borderId="63" xfId="1" applyFont="1" applyFill="1" applyBorder="1" applyAlignment="1">
      <alignment horizontal="center" vertical="center" wrapText="1"/>
    </xf>
    <xf numFmtId="0" fontId="21" fillId="0" borderId="61" xfId="0" applyFont="1" applyBorder="1" applyAlignment="1">
      <alignment horizontal="center" vertical="center" wrapText="1"/>
    </xf>
    <xf numFmtId="170" fontId="13" fillId="0" borderId="43" xfId="0" applyNumberFormat="1" applyFont="1" applyBorder="1" applyAlignment="1">
      <alignment horizontal="center" vertical="center"/>
    </xf>
    <xf numFmtId="0" fontId="15" fillId="0" borderId="43" xfId="5" applyFont="1" applyBorder="1" applyAlignment="1">
      <alignment horizontal="left" indent="1"/>
    </xf>
    <xf numFmtId="171" fontId="14" fillId="0" borderId="43" xfId="1" applyNumberFormat="1" applyFont="1" applyBorder="1" applyProtection="1">
      <protection locked="0"/>
    </xf>
    <xf numFmtId="171" fontId="14" fillId="0" borderId="43" xfId="1" applyNumberFormat="1" applyFont="1" applyBorder="1"/>
    <xf numFmtId="172" fontId="0" fillId="0" borderId="43" xfId="6" applyNumberFormat="1" applyFont="1" applyBorder="1"/>
    <xf numFmtId="0" fontId="16" fillId="0" borderId="43" xfId="5" applyFont="1" applyBorder="1" applyAlignment="1">
      <alignment horizontal="left"/>
    </xf>
    <xf numFmtId="0" fontId="3" fillId="0" borderId="1" xfId="0" applyFont="1" applyBorder="1"/>
    <xf numFmtId="0" fontId="3" fillId="0" borderId="2" xfId="0" applyFont="1" applyBorder="1" applyAlignment="1">
      <alignment horizontal="left" vertical="center"/>
    </xf>
    <xf numFmtId="0" fontId="3" fillId="0" borderId="3" xfId="0" applyFont="1" applyBorder="1"/>
    <xf numFmtId="0" fontId="3" fillId="0" borderId="4" xfId="0" applyFont="1" applyBorder="1"/>
    <xf numFmtId="9" fontId="3" fillId="0" borderId="4" xfId="6" applyFont="1" applyFill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right"/>
    </xf>
    <xf numFmtId="169" fontId="3" fillId="7" borderId="22" xfId="1" applyFont="1" applyFill="1" applyBorder="1" applyAlignment="1">
      <alignment horizontal="center" vertical="center" wrapText="1"/>
    </xf>
    <xf numFmtId="172" fontId="3" fillId="7" borderId="0" xfId="6" applyNumberFormat="1" applyFont="1" applyFill="1"/>
    <xf numFmtId="0" fontId="3" fillId="7" borderId="19" xfId="0" applyFont="1" applyFill="1" applyBorder="1"/>
    <xf numFmtId="0" fontId="3" fillId="7" borderId="33" xfId="0" applyFont="1" applyFill="1" applyBorder="1"/>
    <xf numFmtId="172" fontId="3" fillId="7" borderId="19" xfId="6" applyNumberFormat="1" applyFont="1" applyFill="1" applyBorder="1"/>
    <xf numFmtId="169" fontId="3" fillId="7" borderId="0" xfId="0" applyNumberFormat="1" applyFont="1" applyFill="1"/>
    <xf numFmtId="167" fontId="3" fillId="7" borderId="0" xfId="0" applyNumberFormat="1" applyFont="1" applyFill="1" applyAlignment="1">
      <alignment horizontal="center"/>
    </xf>
    <xf numFmtId="4" fontId="23" fillId="0" borderId="43" xfId="1" applyNumberFormat="1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textRotation="90" wrapText="1"/>
    </xf>
    <xf numFmtId="3" fontId="8" fillId="2" borderId="43" xfId="0" applyNumberFormat="1" applyFont="1" applyFill="1" applyBorder="1" applyAlignment="1">
      <alignment horizontal="center" vertical="center" textRotation="90" wrapText="1"/>
    </xf>
    <xf numFmtId="0" fontId="9" fillId="0" borderId="43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3" fontId="4" fillId="0" borderId="0" xfId="0" applyNumberFormat="1" applyFont="1" applyAlignment="1">
      <alignment vertical="center" wrapText="1"/>
    </xf>
    <xf numFmtId="171" fontId="4" fillId="0" borderId="0" xfId="1" applyNumberFormat="1" applyFont="1" applyFill="1" applyAlignment="1">
      <alignment vertical="center" wrapText="1"/>
    </xf>
    <xf numFmtId="168" fontId="44" fillId="0" borderId="16" xfId="2" applyFont="1" applyFill="1" applyBorder="1" applyAlignment="1">
      <alignment horizontal="center" vertical="center" wrapText="1"/>
    </xf>
    <xf numFmtId="169" fontId="44" fillId="0" borderId="16" xfId="1" applyFont="1" applyFill="1" applyBorder="1" applyAlignment="1">
      <alignment horizontal="center" vertical="center" wrapText="1"/>
    </xf>
    <xf numFmtId="0" fontId="43" fillId="0" borderId="43" xfId="0" applyFont="1" applyBorder="1" applyAlignment="1">
      <alignment horizontal="center" vertical="center" wrapText="1"/>
    </xf>
    <xf numFmtId="9" fontId="43" fillId="0" borderId="43" xfId="6" applyFont="1" applyFill="1" applyBorder="1" applyAlignment="1">
      <alignment horizontal="center" vertical="center" wrapText="1"/>
    </xf>
    <xf numFmtId="169" fontId="42" fillId="0" borderId="43" xfId="1" applyFont="1" applyFill="1" applyBorder="1" applyAlignment="1">
      <alignment horizontal="center" vertical="center" wrapText="1"/>
    </xf>
    <xf numFmtId="1" fontId="39" fillId="0" borderId="43" xfId="1" applyNumberFormat="1" applyFont="1" applyFill="1" applyBorder="1" applyAlignment="1">
      <alignment horizontal="center" vertical="center"/>
    </xf>
    <xf numFmtId="0" fontId="42" fillId="0" borderId="13" xfId="0" applyFont="1" applyBorder="1" applyAlignment="1">
      <alignment horizontal="center" vertical="center" wrapText="1"/>
    </xf>
    <xf numFmtId="169" fontId="38" fillId="0" borderId="12" xfId="1" applyFont="1" applyBorder="1" applyAlignment="1">
      <alignment vertical="center" wrapText="1"/>
    </xf>
    <xf numFmtId="169" fontId="24" fillId="0" borderId="22" xfId="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23" fillId="18" borderId="20" xfId="4" applyFont="1" applyFill="1" applyBorder="1" applyAlignment="1">
      <alignment horizontal="center" vertical="center" wrapText="1"/>
    </xf>
    <xf numFmtId="169" fontId="23" fillId="18" borderId="14" xfId="1" applyFont="1" applyFill="1" applyBorder="1" applyAlignment="1">
      <alignment horizontal="center" vertical="center" wrapText="1"/>
    </xf>
    <xf numFmtId="10" fontId="23" fillId="18" borderId="14" xfId="3" applyNumberFormat="1" applyFont="1" applyFill="1" applyBorder="1" applyAlignment="1">
      <alignment horizontal="center" vertical="center" wrapText="1"/>
    </xf>
    <xf numFmtId="171" fontId="23" fillId="18" borderId="14" xfId="1" applyNumberFormat="1" applyFont="1" applyFill="1" applyBorder="1" applyAlignment="1">
      <alignment horizontal="center" vertical="center" wrapText="1"/>
    </xf>
    <xf numFmtId="169" fontId="23" fillId="18" borderId="14" xfId="3" applyNumberFormat="1" applyFont="1" applyFill="1" applyBorder="1" applyAlignment="1">
      <alignment horizontal="center" vertical="center" wrapText="1"/>
    </xf>
    <xf numFmtId="169" fontId="23" fillId="18" borderId="40" xfId="1" applyFont="1" applyFill="1" applyBorder="1" applyAlignment="1">
      <alignment horizontal="center" vertical="center" wrapText="1"/>
    </xf>
    <xf numFmtId="0" fontId="21" fillId="18" borderId="38" xfId="0" applyFont="1" applyFill="1" applyBorder="1" applyAlignment="1">
      <alignment horizontal="center" vertical="center" wrapText="1"/>
    </xf>
    <xf numFmtId="0" fontId="24" fillId="18" borderId="13" xfId="4" applyFont="1" applyFill="1" applyBorder="1" applyAlignment="1">
      <alignment horizontal="center" vertical="center" wrapText="1"/>
    </xf>
    <xf numFmtId="169" fontId="24" fillId="18" borderId="43" xfId="1" applyFont="1" applyFill="1" applyBorder="1" applyAlignment="1">
      <alignment horizontal="center" vertical="center" wrapText="1"/>
    </xf>
    <xf numFmtId="10" fontId="23" fillId="18" borderId="43" xfId="3" applyNumberFormat="1" applyFont="1" applyFill="1" applyBorder="1" applyAlignment="1">
      <alignment horizontal="center" vertical="center" wrapText="1"/>
    </xf>
    <xf numFmtId="171" fontId="23" fillId="18" borderId="43" xfId="1" applyNumberFormat="1" applyFont="1" applyFill="1" applyBorder="1" applyAlignment="1">
      <alignment horizontal="center" vertical="center" wrapText="1"/>
    </xf>
    <xf numFmtId="169" fontId="23" fillId="18" borderId="43" xfId="3" applyNumberFormat="1" applyFont="1" applyFill="1" applyBorder="1" applyAlignment="1">
      <alignment horizontal="center" vertical="center" wrapText="1"/>
    </xf>
    <xf numFmtId="169" fontId="23" fillId="18" borderId="43" xfId="1" applyFont="1" applyFill="1" applyBorder="1" applyAlignment="1">
      <alignment horizontal="center" vertical="center" wrapText="1"/>
    </xf>
    <xf numFmtId="168" fontId="23" fillId="18" borderId="43" xfId="2" applyFont="1" applyFill="1" applyBorder="1" applyAlignment="1">
      <alignment horizontal="center" vertical="center" wrapText="1"/>
    </xf>
    <xf numFmtId="4" fontId="23" fillId="18" borderId="43" xfId="1" applyNumberFormat="1" applyFont="1" applyFill="1" applyBorder="1" applyAlignment="1">
      <alignment horizontal="center" vertical="center" wrapText="1"/>
    </xf>
    <xf numFmtId="169" fontId="23" fillId="18" borderId="6" xfId="1" applyFont="1" applyFill="1" applyBorder="1" applyAlignment="1">
      <alignment horizontal="center" vertical="center" wrapText="1"/>
    </xf>
    <xf numFmtId="0" fontId="21" fillId="18" borderId="16" xfId="0" applyFont="1" applyFill="1" applyBorder="1" applyAlignment="1">
      <alignment horizontal="center" vertical="center" wrapText="1"/>
    </xf>
    <xf numFmtId="0" fontId="24" fillId="7" borderId="13" xfId="4" applyFont="1" applyFill="1" applyBorder="1" applyAlignment="1">
      <alignment horizontal="center" vertical="center" wrapText="1"/>
    </xf>
    <xf numFmtId="169" fontId="24" fillId="7" borderId="43" xfId="1" applyFont="1" applyFill="1" applyBorder="1" applyAlignment="1">
      <alignment horizontal="center" vertical="center" wrapText="1"/>
    </xf>
    <xf numFmtId="10" fontId="23" fillId="7" borderId="43" xfId="3" applyNumberFormat="1" applyFont="1" applyFill="1" applyBorder="1" applyAlignment="1">
      <alignment horizontal="center" vertical="center" wrapText="1"/>
    </xf>
    <xf numFmtId="171" fontId="23" fillId="7" borderId="43" xfId="1" applyNumberFormat="1" applyFont="1" applyFill="1" applyBorder="1" applyAlignment="1">
      <alignment horizontal="center" vertical="center" wrapText="1"/>
    </xf>
    <xf numFmtId="169" fontId="23" fillId="7" borderId="43" xfId="3" applyNumberFormat="1" applyFont="1" applyFill="1" applyBorder="1" applyAlignment="1">
      <alignment horizontal="center" vertical="center" wrapText="1"/>
    </xf>
    <xf numFmtId="169" fontId="23" fillId="7" borderId="43" xfId="1" applyFont="1" applyFill="1" applyBorder="1" applyAlignment="1">
      <alignment horizontal="center" vertical="center" wrapText="1"/>
    </xf>
    <xf numFmtId="168" fontId="23" fillId="7" borderId="43" xfId="2" applyFont="1" applyFill="1" applyBorder="1" applyAlignment="1">
      <alignment horizontal="center" vertical="center" wrapText="1"/>
    </xf>
    <xf numFmtId="4" fontId="23" fillId="7" borderId="43" xfId="1" applyNumberFormat="1" applyFont="1" applyFill="1" applyBorder="1" applyAlignment="1">
      <alignment horizontal="center" vertical="center" wrapText="1"/>
    </xf>
    <xf numFmtId="3" fontId="23" fillId="7" borderId="43" xfId="1" applyNumberFormat="1" applyFont="1" applyFill="1" applyBorder="1" applyAlignment="1">
      <alignment horizontal="center" vertical="center" wrapText="1"/>
    </xf>
    <xf numFmtId="169" fontId="23" fillId="7" borderId="6" xfId="1" applyFont="1" applyFill="1" applyBorder="1" applyAlignment="1">
      <alignment horizontal="center" vertical="center" wrapText="1"/>
    </xf>
    <xf numFmtId="0" fontId="21" fillId="7" borderId="16" xfId="0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7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18" xfId="6" quotePrefix="1" applyFont="1" applyFill="1" applyBorder="1" applyAlignment="1">
      <alignment horizontal="center" vertical="center"/>
    </xf>
    <xf numFmtId="9" fontId="4" fillId="3" borderId="30" xfId="6" quotePrefix="1" applyFont="1" applyFill="1" applyBorder="1" applyAlignment="1">
      <alignment horizontal="center" vertical="center"/>
    </xf>
    <xf numFmtId="0" fontId="4" fillId="3" borderId="20" xfId="0" quotePrefix="1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1" fontId="6" fillId="0" borderId="20" xfId="0" applyNumberFormat="1" applyFont="1" applyBorder="1" applyAlignment="1">
      <alignment horizontal="center" vertical="center"/>
    </xf>
    <xf numFmtId="1" fontId="6" fillId="0" borderId="13" xfId="0" applyNumberFormat="1" applyFont="1" applyBorder="1" applyAlignment="1">
      <alignment horizontal="center" vertical="center"/>
    </xf>
    <xf numFmtId="0" fontId="4" fillId="15" borderId="32" xfId="0" applyFont="1" applyFill="1" applyBorder="1" applyAlignment="1">
      <alignment horizontal="center" vertical="center"/>
    </xf>
    <xf numFmtId="0" fontId="4" fillId="15" borderId="19" xfId="0" applyFont="1" applyFill="1" applyBorder="1" applyAlignment="1">
      <alignment horizontal="center" vertical="center"/>
    </xf>
    <xf numFmtId="0" fontId="4" fillId="15" borderId="33" xfId="0" applyFont="1" applyFill="1" applyBorder="1" applyAlignment="1">
      <alignment horizontal="center" vertical="center"/>
    </xf>
    <xf numFmtId="0" fontId="33" fillId="17" borderId="31" xfId="0" applyFont="1" applyFill="1" applyBorder="1" applyAlignment="1">
      <alignment horizontal="center" vertical="center" wrapText="1"/>
    </xf>
    <xf numFmtId="0" fontId="33" fillId="17" borderId="30" xfId="0" applyFont="1" applyFill="1" applyBorder="1" applyAlignment="1">
      <alignment horizontal="center" vertical="center" wrapText="1"/>
    </xf>
    <xf numFmtId="167" fontId="17" fillId="15" borderId="32" xfId="0" applyNumberFormat="1" applyFont="1" applyFill="1" applyBorder="1" applyAlignment="1">
      <alignment horizontal="center" vertical="center" wrapText="1"/>
    </xf>
    <xf numFmtId="167" fontId="17" fillId="15" borderId="33" xfId="0" applyNumberFormat="1" applyFont="1" applyFill="1" applyBorder="1" applyAlignment="1">
      <alignment horizontal="center" vertical="center" wrapText="1"/>
    </xf>
    <xf numFmtId="0" fontId="19" fillId="16" borderId="27" xfId="0" quotePrefix="1" applyFont="1" applyFill="1" applyBorder="1" applyAlignment="1">
      <alignment horizontal="center" vertical="center" wrapText="1"/>
    </xf>
    <xf numFmtId="0" fontId="19" fillId="16" borderId="29" xfId="0" quotePrefix="1" applyFont="1" applyFill="1" applyBorder="1" applyAlignment="1">
      <alignment horizontal="center" vertical="center" wrapText="1"/>
    </xf>
    <xf numFmtId="167" fontId="17" fillId="15" borderId="5" xfId="0" applyNumberFormat="1" applyFont="1" applyFill="1" applyBorder="1" applyAlignment="1">
      <alignment horizontal="center" vertical="center" wrapText="1"/>
    </xf>
    <xf numFmtId="167" fontId="17" fillId="15" borderId="7" xfId="0" applyNumberFormat="1" applyFont="1" applyFill="1" applyBorder="1" applyAlignment="1">
      <alignment horizontal="center" vertical="center" wrapText="1"/>
    </xf>
    <xf numFmtId="0" fontId="19" fillId="16" borderId="14" xfId="0" quotePrefix="1" applyFont="1" applyFill="1" applyBorder="1" applyAlignment="1">
      <alignment horizontal="center" vertical="center" wrapText="1"/>
    </xf>
    <xf numFmtId="0" fontId="19" fillId="16" borderId="15" xfId="0" quotePrefix="1" applyFont="1" applyFill="1" applyBorder="1" applyAlignment="1">
      <alignment horizontal="center" vertical="center" wrapText="1"/>
    </xf>
    <xf numFmtId="0" fontId="19" fillId="16" borderId="37" xfId="0" quotePrefix="1" applyFont="1" applyFill="1" applyBorder="1" applyAlignment="1">
      <alignment horizontal="center" vertical="center" wrapText="1"/>
    </xf>
    <xf numFmtId="0" fontId="17" fillId="11" borderId="44" xfId="0" applyFont="1" applyFill="1" applyBorder="1" applyAlignment="1">
      <alignment horizontal="center" vertical="center" textRotation="90" wrapText="1"/>
    </xf>
    <xf numFmtId="0" fontId="17" fillId="11" borderId="45" xfId="0" applyFont="1" applyFill="1" applyBorder="1" applyAlignment="1">
      <alignment horizontal="center" vertical="center" textRotation="90" wrapText="1"/>
    </xf>
    <xf numFmtId="0" fontId="17" fillId="11" borderId="46" xfId="0" applyFont="1" applyFill="1" applyBorder="1" applyAlignment="1">
      <alignment horizontal="center" vertical="center" textRotation="90" wrapText="1"/>
    </xf>
    <xf numFmtId="0" fontId="17" fillId="10" borderId="34" xfId="0" applyFont="1" applyFill="1" applyBorder="1" applyAlignment="1">
      <alignment horizontal="center" vertical="center" wrapText="1"/>
    </xf>
    <xf numFmtId="0" fontId="17" fillId="10" borderId="21" xfId="0" applyFont="1" applyFill="1" applyBorder="1" applyAlignment="1">
      <alignment horizontal="center" vertical="center" wrapText="1"/>
    </xf>
    <xf numFmtId="0" fontId="17" fillId="10" borderId="38" xfId="0" applyFont="1" applyFill="1" applyBorder="1" applyAlignment="1">
      <alignment horizontal="center" vertical="center" wrapText="1"/>
    </xf>
    <xf numFmtId="0" fontId="19" fillId="16" borderId="18" xfId="0" applyFont="1" applyFill="1" applyBorder="1" applyAlignment="1">
      <alignment horizontal="center" vertical="center" textRotation="90" wrapText="1"/>
    </xf>
    <xf numFmtId="0" fontId="19" fillId="16" borderId="31" xfId="0" applyFont="1" applyFill="1" applyBorder="1" applyAlignment="1">
      <alignment horizontal="center" vertical="center" textRotation="90" wrapText="1"/>
    </xf>
    <xf numFmtId="0" fontId="0" fillId="16" borderId="31" xfId="0" applyFill="1" applyBorder="1" applyAlignment="1">
      <alignment textRotation="90"/>
    </xf>
    <xf numFmtId="0" fontId="17" fillId="16" borderId="18" xfId="0" applyFont="1" applyFill="1" applyBorder="1" applyAlignment="1">
      <alignment horizontal="center" vertical="center" textRotation="90"/>
    </xf>
    <xf numFmtId="0" fontId="17" fillId="16" borderId="31" xfId="0" applyFont="1" applyFill="1" applyBorder="1" applyAlignment="1">
      <alignment horizontal="center" vertical="center" textRotation="90"/>
    </xf>
    <xf numFmtId="0" fontId="17" fillId="16" borderId="30" xfId="0" applyFont="1" applyFill="1" applyBorder="1" applyAlignment="1">
      <alignment horizontal="center" vertical="center" textRotation="90"/>
    </xf>
    <xf numFmtId="0" fontId="17" fillId="16" borderId="18" xfId="0" applyFont="1" applyFill="1" applyBorder="1" applyAlignment="1">
      <alignment horizontal="center" vertical="center" wrapText="1"/>
    </xf>
    <xf numFmtId="0" fontId="17" fillId="16" borderId="31" xfId="0" applyFont="1" applyFill="1" applyBorder="1" applyAlignment="1">
      <alignment horizontal="center" vertical="center" wrapText="1"/>
    </xf>
    <xf numFmtId="167" fontId="17" fillId="16" borderId="18" xfId="0" applyNumberFormat="1" applyFont="1" applyFill="1" applyBorder="1" applyAlignment="1">
      <alignment horizontal="center" vertical="center" wrapText="1"/>
    </xf>
    <xf numFmtId="167" fontId="17" fillId="16" borderId="31" xfId="0" applyNumberFormat="1" applyFont="1" applyFill="1" applyBorder="1" applyAlignment="1">
      <alignment horizontal="center" vertical="center" wrapText="1"/>
    </xf>
    <xf numFmtId="167" fontId="17" fillId="16" borderId="30" xfId="0" applyNumberFormat="1" applyFont="1" applyFill="1" applyBorder="1" applyAlignment="1">
      <alignment horizontal="center" vertical="center" wrapText="1"/>
    </xf>
    <xf numFmtId="9" fontId="17" fillId="16" borderId="18" xfId="6" applyFont="1" applyFill="1" applyBorder="1" applyAlignment="1">
      <alignment horizontal="center" vertical="center" wrapText="1"/>
    </xf>
    <xf numFmtId="9" fontId="17" fillId="16" borderId="31" xfId="6" applyFont="1" applyFill="1" applyBorder="1" applyAlignment="1">
      <alignment horizontal="center" vertical="center" wrapText="1"/>
    </xf>
    <xf numFmtId="0" fontId="17" fillId="16" borderId="31" xfId="0" quotePrefix="1" applyFont="1" applyFill="1" applyBorder="1" applyAlignment="1">
      <alignment horizontal="center" vertical="center" wrapText="1"/>
    </xf>
    <xf numFmtId="169" fontId="17" fillId="16" borderId="31" xfId="1" applyFont="1" applyFill="1" applyBorder="1" applyAlignment="1">
      <alignment horizontal="center" vertical="center" wrapText="1"/>
    </xf>
    <xf numFmtId="167" fontId="7" fillId="16" borderId="18" xfId="0" applyNumberFormat="1" applyFont="1" applyFill="1" applyBorder="1" applyAlignment="1">
      <alignment horizontal="center" vertical="center" textRotation="90" wrapText="1"/>
    </xf>
    <xf numFmtId="167" fontId="7" fillId="16" borderId="31" xfId="0" applyNumberFormat="1" applyFont="1" applyFill="1" applyBorder="1" applyAlignment="1">
      <alignment horizontal="center" vertical="center" textRotation="90" wrapText="1"/>
    </xf>
    <xf numFmtId="167" fontId="7" fillId="16" borderId="30" xfId="0" applyNumberFormat="1" applyFont="1" applyFill="1" applyBorder="1" applyAlignment="1">
      <alignment horizontal="center" vertical="center" textRotation="90" wrapText="1"/>
    </xf>
    <xf numFmtId="0" fontId="19" fillId="16" borderId="5" xfId="0" quotePrefix="1" applyFont="1" applyFill="1" applyBorder="1" applyAlignment="1">
      <alignment horizontal="center" vertical="center" wrapText="1"/>
    </xf>
    <xf numFmtId="0" fontId="19" fillId="16" borderId="7" xfId="0" quotePrefix="1" applyFont="1" applyFill="1" applyBorder="1" applyAlignment="1">
      <alignment horizontal="center" vertical="center" wrapText="1"/>
    </xf>
    <xf numFmtId="169" fontId="19" fillId="15" borderId="9" xfId="1" applyFont="1" applyFill="1" applyBorder="1" applyAlignment="1">
      <alignment horizontal="center" vertical="center" wrapText="1"/>
    </xf>
    <xf numFmtId="169" fontId="19" fillId="15" borderId="8" xfId="1" applyFont="1" applyFill="1" applyBorder="1" applyAlignment="1">
      <alignment horizontal="center" vertical="center" wrapText="1"/>
    </xf>
    <xf numFmtId="0" fontId="17" fillId="16" borderId="2" xfId="0" quotePrefix="1" applyFont="1" applyFill="1" applyBorder="1" applyAlignment="1">
      <alignment horizontal="center" vertical="center" wrapText="1"/>
    </xf>
    <xf numFmtId="0" fontId="17" fillId="16" borderId="3" xfId="0" quotePrefix="1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/>
    </xf>
    <xf numFmtId="0" fontId="7" fillId="4" borderId="0" xfId="0" applyFont="1" applyFill="1"/>
    <xf numFmtId="0" fontId="28" fillId="4" borderId="0" xfId="0" applyFont="1" applyFill="1" applyAlignment="1">
      <alignment horizontal="left"/>
    </xf>
    <xf numFmtId="0" fontId="29" fillId="4" borderId="0" xfId="0" applyFont="1" applyFill="1" applyAlignment="1">
      <alignment horizontal="left"/>
    </xf>
    <xf numFmtId="0" fontId="17" fillId="16" borderId="7" xfId="0" applyFont="1" applyFill="1" applyBorder="1" applyAlignment="1">
      <alignment horizontal="center" vertical="center" textRotation="90"/>
    </xf>
    <xf numFmtId="0" fontId="17" fillId="16" borderId="9" xfId="0" applyFont="1" applyFill="1" applyBorder="1" applyAlignment="1">
      <alignment horizontal="center" vertical="center" textRotation="90"/>
    </xf>
    <xf numFmtId="0" fontId="17" fillId="16" borderId="8" xfId="0" applyFont="1" applyFill="1" applyBorder="1" applyAlignment="1">
      <alignment horizontal="center" vertical="center" textRotation="90"/>
    </xf>
    <xf numFmtId="9" fontId="17" fillId="16" borderId="9" xfId="6" applyFont="1" applyFill="1" applyBorder="1" applyAlignment="1">
      <alignment horizontal="center" vertical="center" wrapText="1"/>
    </xf>
    <xf numFmtId="0" fontId="18" fillId="15" borderId="32" xfId="0" applyFont="1" applyFill="1" applyBorder="1" applyAlignment="1">
      <alignment horizontal="center" vertical="center" wrapText="1"/>
    </xf>
    <xf numFmtId="0" fontId="18" fillId="15" borderId="19" xfId="0" applyFont="1" applyFill="1" applyBorder="1" applyAlignment="1">
      <alignment horizontal="center" vertical="center" wrapText="1"/>
    </xf>
    <xf numFmtId="0" fontId="18" fillId="15" borderId="33" xfId="0" applyFont="1" applyFill="1" applyBorder="1" applyAlignment="1">
      <alignment horizontal="center" vertical="center" wrapText="1"/>
    </xf>
    <xf numFmtId="0" fontId="17" fillId="15" borderId="32" xfId="0" applyFont="1" applyFill="1" applyBorder="1" applyAlignment="1">
      <alignment horizontal="center" vertical="center"/>
    </xf>
    <xf numFmtId="0" fontId="17" fillId="15" borderId="19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/>
    </xf>
    <xf numFmtId="169" fontId="24" fillId="0" borderId="19" xfId="1" applyFont="1" applyFill="1" applyBorder="1" applyAlignment="1">
      <alignment horizontal="center" vertical="center" wrapText="1"/>
    </xf>
    <xf numFmtId="169" fontId="24" fillId="0" borderId="33" xfId="1" applyFont="1" applyFill="1" applyBorder="1" applyAlignment="1">
      <alignment horizontal="center" vertical="center" wrapText="1"/>
    </xf>
    <xf numFmtId="0" fontId="19" fillId="15" borderId="40" xfId="3" applyFont="1" applyFill="1" applyBorder="1" applyAlignment="1">
      <alignment horizontal="center" vertical="center" wrapText="1"/>
    </xf>
    <xf numFmtId="0" fontId="19" fillId="15" borderId="29" xfId="3" applyFont="1" applyFill="1" applyBorder="1" applyAlignment="1">
      <alignment horizontal="center" vertical="center" wrapText="1"/>
    </xf>
    <xf numFmtId="0" fontId="27" fillId="7" borderId="0" xfId="0" applyFont="1" applyFill="1" applyAlignment="1">
      <alignment horizontal="center" vertical="center" wrapText="1"/>
    </xf>
    <xf numFmtId="0" fontId="30" fillId="7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19" fillId="15" borderId="34" xfId="4" applyFont="1" applyFill="1" applyBorder="1" applyAlignment="1">
      <alignment horizontal="center" vertical="center" textRotation="90" wrapText="1"/>
    </xf>
    <xf numFmtId="0" fontId="19" fillId="15" borderId="41" xfId="4" applyFont="1" applyFill="1" applyBorder="1" applyAlignment="1">
      <alignment horizontal="center" vertical="center" textRotation="90" wrapText="1"/>
    </xf>
    <xf numFmtId="9" fontId="17" fillId="15" borderId="21" xfId="6" applyFont="1" applyFill="1" applyBorder="1" applyAlignment="1">
      <alignment horizontal="center" vertical="center" wrapText="1"/>
    </xf>
    <xf numFmtId="9" fontId="17" fillId="15" borderId="42" xfId="6" applyFont="1" applyFill="1" applyBorder="1" applyAlignment="1">
      <alignment horizontal="center" vertical="center" wrapText="1"/>
    </xf>
    <xf numFmtId="4" fontId="19" fillId="15" borderId="21" xfId="3" applyNumberFormat="1" applyFont="1" applyFill="1" applyBorder="1" applyAlignment="1">
      <alignment horizontal="center" vertical="center" wrapText="1"/>
    </xf>
    <xf numFmtId="4" fontId="19" fillId="15" borderId="42" xfId="3" applyNumberFormat="1" applyFont="1" applyFill="1" applyBorder="1" applyAlignment="1">
      <alignment horizontal="center" vertical="center" wrapText="1"/>
    </xf>
    <xf numFmtId="0" fontId="24" fillId="4" borderId="19" xfId="4" applyFont="1" applyFill="1" applyBorder="1" applyAlignment="1">
      <alignment horizontal="center" vertical="center" wrapText="1"/>
    </xf>
    <xf numFmtId="0" fontId="24" fillId="4" borderId="33" xfId="4" applyFont="1" applyFill="1" applyBorder="1" applyAlignment="1">
      <alignment horizontal="center" vertical="center" wrapText="1"/>
    </xf>
    <xf numFmtId="0" fontId="19" fillId="15" borderId="21" xfId="3" applyFont="1" applyFill="1" applyBorder="1" applyAlignment="1">
      <alignment horizontal="center" vertical="center" wrapText="1"/>
    </xf>
    <xf numFmtId="0" fontId="19" fillId="15" borderId="42" xfId="3" applyFont="1" applyFill="1" applyBorder="1" applyAlignment="1">
      <alignment horizontal="center" vertical="center" wrapText="1"/>
    </xf>
    <xf numFmtId="0" fontId="19" fillId="15" borderId="38" xfId="3" applyFont="1" applyFill="1" applyBorder="1" applyAlignment="1">
      <alignment horizontal="center" vertical="center" wrapText="1"/>
    </xf>
    <xf numFmtId="0" fontId="19" fillId="15" borderId="39" xfId="3" applyFont="1" applyFill="1" applyBorder="1" applyAlignment="1">
      <alignment horizontal="center" vertical="center" wrapText="1"/>
    </xf>
    <xf numFmtId="0" fontId="4" fillId="15" borderId="26" xfId="3" applyFont="1" applyFill="1" applyBorder="1" applyAlignment="1">
      <alignment horizontal="center" vertical="center" wrapText="1"/>
    </xf>
    <xf numFmtId="0" fontId="4" fillId="15" borderId="39" xfId="3" applyFont="1" applyFill="1" applyBorder="1" applyAlignment="1">
      <alignment horizontal="center" vertical="center" wrapText="1"/>
    </xf>
    <xf numFmtId="4" fontId="19" fillId="15" borderId="23" xfId="3" applyNumberFormat="1" applyFont="1" applyFill="1" applyBorder="1" applyAlignment="1">
      <alignment horizontal="center" vertical="center" wrapText="1"/>
    </xf>
    <xf numFmtId="0" fontId="17" fillId="15" borderId="18" xfId="0" applyFont="1" applyFill="1" applyBorder="1" applyAlignment="1">
      <alignment horizontal="center" vertical="center" textRotation="90"/>
    </xf>
    <xf numFmtId="0" fontId="17" fillId="15" borderId="31" xfId="0" applyFont="1" applyFill="1" applyBorder="1" applyAlignment="1">
      <alignment horizontal="center" vertical="center" textRotation="90"/>
    </xf>
    <xf numFmtId="0" fontId="17" fillId="15" borderId="30" xfId="0" applyFont="1" applyFill="1" applyBorder="1" applyAlignment="1">
      <alignment horizontal="center" vertical="center" textRotation="90"/>
    </xf>
    <xf numFmtId="167" fontId="17" fillId="15" borderId="18" xfId="0" applyNumberFormat="1" applyFont="1" applyFill="1" applyBorder="1" applyAlignment="1">
      <alignment horizontal="center" vertical="center" wrapText="1"/>
    </xf>
    <xf numFmtId="167" fontId="17" fillId="15" borderId="31" xfId="0" applyNumberFormat="1" applyFont="1" applyFill="1" applyBorder="1" applyAlignment="1">
      <alignment horizontal="center" vertical="center" wrapText="1"/>
    </xf>
    <xf numFmtId="167" fontId="17" fillId="15" borderId="30" xfId="0" applyNumberFormat="1" applyFont="1" applyFill="1" applyBorder="1" applyAlignment="1">
      <alignment horizontal="center" vertical="center" wrapText="1"/>
    </xf>
    <xf numFmtId="0" fontId="19" fillId="17" borderId="23" xfId="3" applyFont="1" applyFill="1" applyBorder="1" applyAlignment="1">
      <alignment horizontal="center" vertical="center" wrapText="1"/>
    </xf>
    <xf numFmtId="0" fontId="19" fillId="17" borderId="42" xfId="3" applyFont="1" applyFill="1" applyBorder="1" applyAlignment="1">
      <alignment horizontal="center" vertical="center" wrapText="1"/>
    </xf>
    <xf numFmtId="0" fontId="19" fillId="15" borderId="23" xfId="3" applyFont="1" applyFill="1" applyBorder="1" applyAlignment="1">
      <alignment horizontal="center" vertical="center" wrapText="1"/>
    </xf>
    <xf numFmtId="0" fontId="19" fillId="15" borderId="35" xfId="4" applyFont="1" applyFill="1" applyBorder="1" applyAlignment="1">
      <alignment horizontal="center" vertical="center" textRotation="90" wrapText="1"/>
    </xf>
    <xf numFmtId="9" fontId="17" fillId="15" borderId="24" xfId="6" applyFont="1" applyFill="1" applyBorder="1" applyAlignment="1">
      <alignment horizontal="center" vertical="center" wrapText="1"/>
    </xf>
    <xf numFmtId="171" fontId="17" fillId="15" borderId="21" xfId="1" applyNumberFormat="1" applyFont="1" applyFill="1" applyBorder="1" applyAlignment="1">
      <alignment horizontal="center" vertical="center" textRotation="90"/>
    </xf>
    <xf numFmtId="171" fontId="17" fillId="15" borderId="24" xfId="1" applyNumberFormat="1" applyFont="1" applyFill="1" applyBorder="1" applyAlignment="1">
      <alignment horizontal="center" vertical="center" textRotation="90"/>
    </xf>
    <xf numFmtId="171" fontId="17" fillId="15" borderId="42" xfId="1" applyNumberFormat="1" applyFont="1" applyFill="1" applyBorder="1" applyAlignment="1">
      <alignment horizontal="center" vertical="center" textRotation="90"/>
    </xf>
    <xf numFmtId="0" fontId="17" fillId="15" borderId="21" xfId="0" applyFont="1" applyFill="1" applyBorder="1" applyAlignment="1">
      <alignment horizontal="center" vertical="center" textRotation="90" wrapText="1"/>
    </xf>
    <xf numFmtId="0" fontId="17" fillId="15" borderId="24" xfId="0" applyFont="1" applyFill="1" applyBorder="1" applyAlignment="1">
      <alignment horizontal="center" vertical="center" textRotation="90" wrapText="1"/>
    </xf>
    <xf numFmtId="0" fontId="17" fillId="15" borderId="42" xfId="0" applyFont="1" applyFill="1" applyBorder="1" applyAlignment="1">
      <alignment horizontal="center" vertical="center" textRotation="90" wrapText="1"/>
    </xf>
    <xf numFmtId="0" fontId="34" fillId="0" borderId="0" xfId="0" applyFont="1" applyAlignment="1">
      <alignment horizontal="center" vertical="center"/>
    </xf>
  </cellXfs>
  <cellStyles count="33">
    <cellStyle name="Millares" xfId="1" builtinId="3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" xfId="2" builtinId="4"/>
    <cellStyle name="Moneda 2" xfId="9" xr:uid="{00000000-0005-0000-0000-00000D000000}"/>
    <cellStyle name="Normal" xfId="0" builtinId="0"/>
    <cellStyle name="Normal 10" xfId="20" xr:uid="{00000000-0005-0000-0000-00000F000000}"/>
    <cellStyle name="Normal 11 45 9" xfId="27" xr:uid="{00000000-0005-0000-0000-000010000000}"/>
    <cellStyle name="Normal 12 2" xfId="26" xr:uid="{00000000-0005-0000-0000-000011000000}"/>
    <cellStyle name="Normal 2" xfId="7" xr:uid="{00000000-0005-0000-0000-000012000000}"/>
    <cellStyle name="Normal 2 2" xfId="3" xr:uid="{00000000-0005-0000-0000-000013000000}"/>
    <cellStyle name="Normal 3" xfId="4" xr:uid="{00000000-0005-0000-0000-000014000000}"/>
    <cellStyle name="Normal 4" xfId="8" xr:uid="{00000000-0005-0000-0000-000015000000}"/>
    <cellStyle name="Normal 4 3 2" xfId="16" xr:uid="{00000000-0005-0000-0000-000016000000}"/>
    <cellStyle name="Normal 5" xfId="10" xr:uid="{00000000-0005-0000-0000-000017000000}"/>
    <cellStyle name="Normal 68 2 2" xfId="31" xr:uid="{00000000-0005-0000-0000-000018000000}"/>
    <cellStyle name="Normal 73" xfId="18" xr:uid="{00000000-0005-0000-0000-000019000000}"/>
    <cellStyle name="Normal_Los 100 Grupos Tramos - 4 ABR 2005" xfId="5" xr:uid="{00000000-0005-0000-0000-00001A000000}"/>
    <cellStyle name="Porcentaje" xfId="6" builtinId="5"/>
    <cellStyle name="Porcentaje 2" xfId="19" xr:uid="{00000000-0005-0000-0000-00001C000000}"/>
    <cellStyle name="Porcentaje 3" xfId="15" xr:uid="{00000000-0005-0000-0000-00001D000000}"/>
    <cellStyle name="Porcentaje 3 2 2" xfId="17" xr:uid="{00000000-0005-0000-0000-00001E000000}"/>
    <cellStyle name="Porcentaje 8" xfId="25" xr:uid="{00000000-0005-0000-0000-00001F000000}"/>
    <cellStyle name="Porcentaje 8 2" xfId="29" xr:uid="{00000000-0005-0000-0000-000020000000}"/>
    <cellStyle name="Porcentual 2" xfId="12" xr:uid="{00000000-0005-0000-0000-000021000000}"/>
    <cellStyle name="Porcentual 2 2" xfId="32" xr:uid="{00000000-0005-0000-0000-000022000000}"/>
  </cellStyles>
  <dxfs count="33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50B4C8"/>
        </patternFill>
      </fill>
      <alignment horizontal="center" vertical="center" textRotation="0" wrapText="0" indent="0" justifyLastLine="0" shrinkToFit="0" readingOrder="0"/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F0DCC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F0DCC8"/>
        </patternFill>
      </fill>
    </dxf>
    <dxf>
      <fill>
        <patternFill>
          <bgColor theme="0"/>
        </patternFill>
      </fill>
    </dxf>
    <dxf>
      <fill>
        <patternFill>
          <bgColor rgb="FFD28660"/>
        </patternFill>
      </fill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</dxfs>
  <tableStyles count="2" defaultTableStyle="Estilo de tabla 1" defaultPivotStyle="PivotStyleLight16">
    <tableStyle name="Estilo de tabla 1" pivot="0" count="4" xr9:uid="{00000000-0011-0000-FFFF-FFFF00000000}">
      <tableStyleElement type="wholeTable" dxfId="338"/>
      <tableStyleElement type="headerRow" dxfId="337"/>
      <tableStyleElement type="firstRowStripe" dxfId="336"/>
      <tableStyleElement type="secondRowStripe" dxfId="335"/>
    </tableStyle>
    <tableStyle name="Estilo de tabla dinámica 1" table="0" count="1" xr9:uid="{00000000-0011-0000-FFFF-FFFF01000000}">
      <tableStyleElement type="headerRow" dxfId="334"/>
    </tableStyle>
  </tableStyles>
  <colors>
    <mruColors>
      <color rgb="FFFFC8FF"/>
      <color rgb="FF50B4C8"/>
      <color rgb="FFE1EBFA"/>
      <color rgb="FF508228"/>
      <color rgb="FFD28660"/>
      <color rgb="FFF0DCC8"/>
      <color rgb="FFE903CE"/>
      <color rgb="FFE26B0A"/>
      <color rgb="FFFFEBFF"/>
      <color rgb="FFFFE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20053</xdr:colOff>
      <xdr:row>0</xdr:row>
      <xdr:rowOff>120316</xdr:rowOff>
    </xdr:from>
    <xdr:to>
      <xdr:col>1</xdr:col>
      <xdr:colOff>20053</xdr:colOff>
      <xdr:row>1</xdr:row>
      <xdr:rowOff>160422</xdr:rowOff>
    </xdr:to>
    <xdr:sp macro="[0]!ELIMCELVAC" textlink="">
      <xdr:nvSpPr>
        <xdr:cNvPr id="11" name="Rectángulo: esquinas redondeadas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 bwMode="auto">
        <a:xfrm>
          <a:off x="20053" y="120316"/>
          <a:ext cx="1323474" cy="270711"/>
        </a:xfrm>
        <a:prstGeom prst="roundRect">
          <a:avLst/>
        </a:prstGeom>
        <a:solidFill>
          <a:srgbClr val="E1EBFA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/>
              <a:ea typeface="+mn-ea"/>
              <a:cs typeface="+mn-cs"/>
            </a:rPr>
            <a:t>ELIMINAR FILAS VACIAS</a:t>
          </a:r>
        </a:p>
      </xdr:txBody>
    </xdr:sp>
    <xdr:clientData/>
  </xdr:twoCellAnchor>
  <xdr:twoCellAnchor>
    <xdr:from>
      <xdr:col>0</xdr:col>
      <xdr:colOff>10026</xdr:colOff>
      <xdr:row>2</xdr:row>
      <xdr:rowOff>130343</xdr:rowOff>
    </xdr:from>
    <xdr:to>
      <xdr:col>1</xdr:col>
      <xdr:colOff>10026</xdr:colOff>
      <xdr:row>3</xdr:row>
      <xdr:rowOff>170448</xdr:rowOff>
    </xdr:to>
    <xdr:sp macro="[0]!copiar" textlink="">
      <xdr:nvSpPr>
        <xdr:cNvPr id="14" name="Rectángulo: esquinas redondeadas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 bwMode="auto">
        <a:xfrm>
          <a:off x="10026" y="651711"/>
          <a:ext cx="1323474" cy="270711"/>
        </a:xfrm>
        <a:prstGeom prst="roundRect">
          <a:avLst/>
        </a:prstGeom>
        <a:solidFill>
          <a:srgbClr val="50B4C8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NUMERO DE PROPUESTAS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222250</xdr:colOff>
          <xdr:row>2</xdr:row>
          <xdr:rowOff>114300</xdr:rowOff>
        </xdr:from>
        <xdr:to>
          <xdr:col>1</xdr:col>
          <xdr:colOff>0</xdr:colOff>
          <xdr:row>4</xdr:row>
          <xdr:rowOff>25400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6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0</xdr:row>
      <xdr:rowOff>66675</xdr:rowOff>
    </xdr:from>
    <xdr:to>
      <xdr:col>7</xdr:col>
      <xdr:colOff>752475</xdr:colOff>
      <xdr:row>0</xdr:row>
      <xdr:rowOff>337386</xdr:rowOff>
    </xdr:to>
    <xdr:sp macro="[0]!RESUMEN" textlink="">
      <xdr:nvSpPr>
        <xdr:cNvPr id="14" name="FIG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/>
      </xdr:nvSpPr>
      <xdr:spPr bwMode="auto">
        <a:xfrm>
          <a:off x="5848350" y="66675"/>
          <a:ext cx="714375" cy="270711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RESUMEN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a2" displayName="Tabla2" ref="B2:F4" totalsRowShown="0" headerRowDxfId="0">
  <autoFilter ref="B2:F4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o."/>
    <tableColumn id="2" xr3:uid="{00000000-0010-0000-0000-000002000000}" name="NOMBRE DEL PROPONENTE"/>
    <tableColumn id="3" xr3:uid="{00000000-0010-0000-0000-000003000000}" name="CAP. FINANCIERA"/>
    <tableColumn id="4" xr3:uid="{00000000-0010-0000-0000-000004000000}" name="CAP. ORGANIZACIÓN"/>
    <tableColumn id="5" xr3:uid="{00000000-0010-0000-0000-000005000000}" name="CAP. RESIDUAL"/>
  </tableColumns>
  <tableStyleInfo name="Estilo de tabla 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B3:AF39"/>
  <sheetViews>
    <sheetView topLeftCell="B2" zoomScale="75" workbookViewId="0">
      <pane xSplit="3" ySplit="5" topLeftCell="E7" activePane="bottomRight" state="frozen"/>
      <selection pane="topRight" activeCell="E34" sqref="E34"/>
      <selection pane="bottomLeft" activeCell="E34" sqref="E34"/>
      <selection pane="bottomRight" activeCell="I8" sqref="I8"/>
    </sheetView>
  </sheetViews>
  <sheetFormatPr baseColWidth="10" defaultColWidth="11.453125" defaultRowHeight="12.5"/>
  <cols>
    <col min="2" max="2" width="3.6328125" customWidth="1"/>
    <col min="3" max="3" width="6.90625" customWidth="1"/>
    <col min="4" max="4" width="43" bestFit="1" customWidth="1"/>
    <col min="5" max="5" width="14.08984375" bestFit="1" customWidth="1"/>
    <col min="6" max="6" width="13.90625" bestFit="1" customWidth="1"/>
    <col min="7" max="7" width="14.08984375" bestFit="1" customWidth="1"/>
    <col min="8" max="8" width="14" bestFit="1" customWidth="1"/>
    <col min="9" max="9" width="14.08984375" bestFit="1" customWidth="1"/>
    <col min="10" max="11" width="13.90625" bestFit="1" customWidth="1"/>
    <col min="12" max="12" width="14.08984375" bestFit="1" customWidth="1"/>
    <col min="13" max="13" width="13.90625" bestFit="1" customWidth="1"/>
    <col min="14" max="15" width="13.08984375" bestFit="1" customWidth="1"/>
    <col min="16" max="18" width="14.08984375" bestFit="1" customWidth="1"/>
    <col min="19" max="19" width="13.08984375" bestFit="1" customWidth="1"/>
  </cols>
  <sheetData>
    <row r="3" spans="2:32" ht="13" thickBot="1"/>
    <row r="4" spans="2:32" ht="13">
      <c r="B4" s="373" t="s">
        <v>0</v>
      </c>
      <c r="C4" s="374"/>
      <c r="D4" s="377" t="s">
        <v>1</v>
      </c>
      <c r="E4" s="379" t="s">
        <v>2</v>
      </c>
      <c r="F4" s="380"/>
      <c r="G4" s="380"/>
      <c r="H4" s="380"/>
      <c r="I4" s="380"/>
      <c r="J4" s="380"/>
      <c r="K4" s="380"/>
      <c r="L4" s="380"/>
      <c r="M4" s="380"/>
      <c r="N4" s="380"/>
      <c r="O4" s="381"/>
      <c r="P4" s="370" t="s">
        <v>3</v>
      </c>
      <c r="Q4" s="371"/>
      <c r="R4" s="371"/>
      <c r="S4" s="372"/>
      <c r="T4" s="370" t="s">
        <v>4</v>
      </c>
      <c r="U4" s="371"/>
      <c r="V4" s="371"/>
      <c r="W4" s="372"/>
    </row>
    <row r="5" spans="2:32" ht="39.5" thickBot="1">
      <c r="B5" s="375"/>
      <c r="C5" s="376"/>
      <c r="D5" s="378"/>
      <c r="E5" s="17" t="s">
        <v>5</v>
      </c>
      <c r="F5" s="18" t="s">
        <v>6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12</v>
      </c>
      <c r="M5" s="18" t="s">
        <v>13</v>
      </c>
      <c r="N5" s="18" t="s">
        <v>14</v>
      </c>
      <c r="O5" s="19" t="s">
        <v>15</v>
      </c>
      <c r="P5" s="20" t="s">
        <v>16</v>
      </c>
      <c r="Q5" s="21" t="s">
        <v>11</v>
      </c>
      <c r="R5" s="21" t="s">
        <v>17</v>
      </c>
      <c r="S5" s="22" t="s">
        <v>18</v>
      </c>
      <c r="T5" s="20" t="s">
        <v>16</v>
      </c>
      <c r="U5" s="21" t="s">
        <v>11</v>
      </c>
      <c r="V5" s="21" t="s">
        <v>17</v>
      </c>
      <c r="W5" s="22" t="s">
        <v>18</v>
      </c>
      <c r="X5" s="9"/>
      <c r="Y5" s="9"/>
      <c r="Z5" s="9"/>
      <c r="AA5" s="9"/>
      <c r="AB5" s="9"/>
      <c r="AC5" s="9"/>
      <c r="AD5" s="9"/>
      <c r="AE5" s="9"/>
      <c r="AF5" s="9"/>
    </row>
    <row r="6" spans="2:32" ht="13.5" thickBot="1">
      <c r="B6" s="3"/>
      <c r="C6" s="3"/>
      <c r="D6" s="4"/>
      <c r="L6" s="41"/>
      <c r="T6" s="10"/>
      <c r="U6" s="10"/>
      <c r="V6" s="10"/>
      <c r="W6" s="10"/>
    </row>
    <row r="7" spans="2:32" ht="14">
      <c r="B7" s="382">
        <v>1</v>
      </c>
      <c r="C7" s="31"/>
      <c r="D7" s="46" t="s">
        <v>19</v>
      </c>
      <c r="E7" s="32"/>
      <c r="F7" s="32"/>
      <c r="G7" s="32"/>
      <c r="H7" s="33"/>
      <c r="I7" s="32"/>
      <c r="J7" s="32"/>
      <c r="K7" s="33"/>
      <c r="L7" s="32"/>
      <c r="M7" s="33"/>
      <c r="N7" s="44"/>
      <c r="O7" s="44"/>
      <c r="P7" s="44"/>
      <c r="Q7" s="44"/>
      <c r="R7" s="44"/>
      <c r="S7" s="44"/>
      <c r="T7" s="34"/>
      <c r="U7" s="34"/>
      <c r="V7" s="34"/>
      <c r="W7" s="35"/>
    </row>
    <row r="8" spans="2:32" ht="14">
      <c r="B8" s="383"/>
      <c r="C8" s="303">
        <v>1.1000000000000001</v>
      </c>
      <c r="D8" s="304" t="s">
        <v>20</v>
      </c>
      <c r="E8" s="305">
        <v>661279000</v>
      </c>
      <c r="F8" s="305">
        <v>586850000</v>
      </c>
      <c r="G8" s="305"/>
      <c r="H8" s="306">
        <f>SUM(E8:G8)</f>
        <v>1248129000</v>
      </c>
      <c r="I8" s="305">
        <v>133995725</v>
      </c>
      <c r="J8" s="305">
        <v>243009275</v>
      </c>
      <c r="K8" s="306">
        <f>SUM(I8:J8)</f>
        <v>377005000</v>
      </c>
      <c r="L8" s="305">
        <f>+H8-K8</f>
        <v>871124000</v>
      </c>
      <c r="M8" s="306">
        <f>+K8+L8</f>
        <v>1248129000</v>
      </c>
      <c r="N8" s="305">
        <v>89170000</v>
      </c>
      <c r="O8" s="305">
        <v>65583000</v>
      </c>
      <c r="P8" s="305">
        <v>1248129000</v>
      </c>
      <c r="Q8" s="305">
        <v>353418000</v>
      </c>
      <c r="R8" s="305">
        <v>894711000</v>
      </c>
      <c r="S8" s="305">
        <v>93656000</v>
      </c>
      <c r="T8" s="307">
        <f>(H8-P8)/P8</f>
        <v>0</v>
      </c>
      <c r="U8" s="307">
        <f>+(K8-Q8)/Q8</f>
        <v>6.673966804180885E-2</v>
      </c>
      <c r="V8" s="307">
        <f>(L8-R8)/R8</f>
        <v>-2.6362702593351373E-2</v>
      </c>
      <c r="W8" s="36">
        <f>(O8-S8)/S8</f>
        <v>-0.29974587853421031</v>
      </c>
    </row>
    <row r="9" spans="2:32" ht="14">
      <c r="B9" s="383"/>
      <c r="C9" s="303">
        <v>1.2</v>
      </c>
      <c r="D9" s="304" t="s">
        <v>21</v>
      </c>
      <c r="E9" s="305">
        <v>902790808</v>
      </c>
      <c r="F9" s="305">
        <v>22582416</v>
      </c>
      <c r="G9" s="305">
        <v>15532940</v>
      </c>
      <c r="H9" s="306">
        <f t="shared" ref="H9:H31" si="0">SUM(E9:G9)</f>
        <v>940906164</v>
      </c>
      <c r="I9" s="305">
        <v>69497421</v>
      </c>
      <c r="J9" s="305">
        <v>467428657</v>
      </c>
      <c r="K9" s="306">
        <f t="shared" ref="K9:K31" si="1">SUM(I9:J9)</f>
        <v>536926078</v>
      </c>
      <c r="L9" s="305">
        <v>403980086</v>
      </c>
      <c r="M9" s="306">
        <f t="shared" ref="M9:M31" si="2">+K9+L9</f>
        <v>940906164</v>
      </c>
      <c r="N9" s="305">
        <v>18766695</v>
      </c>
      <c r="O9" s="305">
        <v>20396695</v>
      </c>
      <c r="P9" s="305"/>
      <c r="Q9" s="305"/>
      <c r="R9" s="305"/>
      <c r="S9" s="305"/>
      <c r="T9" s="307" t="e">
        <f t="shared" ref="T9:T31" si="3">(H9-P9)/P9</f>
        <v>#DIV/0!</v>
      </c>
      <c r="U9" s="307" t="e">
        <f t="shared" ref="U9:U31" si="4">+(K9-Q9)/Q9</f>
        <v>#DIV/0!</v>
      </c>
      <c r="V9" s="307" t="e">
        <f t="shared" ref="V9:V31" si="5">(L9-R9)/R9</f>
        <v>#DIV/0!</v>
      </c>
      <c r="W9" s="36" t="e">
        <f t="shared" ref="W9:W31" si="6">(O9-S9)/S9</f>
        <v>#DIV/0!</v>
      </c>
    </row>
    <row r="10" spans="2:32" ht="14">
      <c r="B10" s="383"/>
      <c r="C10" s="303">
        <v>1.3</v>
      </c>
      <c r="D10" s="304" t="s">
        <v>22</v>
      </c>
      <c r="E10" s="305">
        <v>300353422</v>
      </c>
      <c r="F10" s="305">
        <v>251940082</v>
      </c>
      <c r="G10" s="305">
        <v>69532472</v>
      </c>
      <c r="H10" s="306">
        <f t="shared" si="0"/>
        <v>621825976</v>
      </c>
      <c r="I10" s="305">
        <v>153716887</v>
      </c>
      <c r="J10" s="305">
        <v>54587444</v>
      </c>
      <c r="K10" s="306">
        <f t="shared" si="1"/>
        <v>208304331</v>
      </c>
      <c r="L10" s="305">
        <v>413521645</v>
      </c>
      <c r="M10" s="306">
        <f t="shared" si="2"/>
        <v>621825976</v>
      </c>
      <c r="N10" s="305">
        <v>16241438</v>
      </c>
      <c r="O10" s="305">
        <v>16221673</v>
      </c>
      <c r="P10" s="305">
        <v>611957000</v>
      </c>
      <c r="Q10" s="305">
        <v>208285000</v>
      </c>
      <c r="R10" s="305">
        <v>403672000</v>
      </c>
      <c r="S10" s="305">
        <v>17042000</v>
      </c>
      <c r="T10" s="307">
        <f t="shared" si="3"/>
        <v>1.6126910877725067E-2</v>
      </c>
      <c r="U10" s="307">
        <f t="shared" si="4"/>
        <v>9.2810331997023312E-5</v>
      </c>
      <c r="V10" s="307">
        <f t="shared" si="5"/>
        <v>2.4400119403872451E-2</v>
      </c>
      <c r="W10" s="36">
        <f t="shared" si="6"/>
        <v>-4.8135606149512969E-2</v>
      </c>
    </row>
    <row r="11" spans="2:32" ht="14">
      <c r="B11" s="383"/>
      <c r="C11" s="303">
        <v>1.4</v>
      </c>
      <c r="D11" s="304" t="s">
        <v>23</v>
      </c>
      <c r="E11" s="305">
        <v>506655816</v>
      </c>
      <c r="F11" s="305">
        <v>152054516</v>
      </c>
      <c r="G11" s="305">
        <v>245059330</v>
      </c>
      <c r="H11" s="306">
        <f t="shared" si="0"/>
        <v>903769662</v>
      </c>
      <c r="I11" s="305">
        <v>137779007</v>
      </c>
      <c r="J11" s="305">
        <v>42562365</v>
      </c>
      <c r="K11" s="306">
        <f t="shared" si="1"/>
        <v>180341372</v>
      </c>
      <c r="L11" s="305">
        <v>723428291</v>
      </c>
      <c r="M11" s="306">
        <f t="shared" si="2"/>
        <v>903769663</v>
      </c>
      <c r="N11" s="305">
        <v>50395207</v>
      </c>
      <c r="O11" s="305">
        <v>42647207</v>
      </c>
      <c r="P11" s="305">
        <v>903769000</v>
      </c>
      <c r="Q11" s="305">
        <v>180341000</v>
      </c>
      <c r="R11" s="305">
        <v>723428000</v>
      </c>
      <c r="S11" s="305">
        <v>46988000</v>
      </c>
      <c r="T11" s="307">
        <f t="shared" si="3"/>
        <v>7.3248805834234188E-7</v>
      </c>
      <c r="U11" s="307">
        <f t="shared" si="4"/>
        <v>2.0627588845575881E-6</v>
      </c>
      <c r="V11" s="307">
        <f t="shared" si="5"/>
        <v>4.0225150256832744E-7</v>
      </c>
      <c r="W11" s="36">
        <f t="shared" si="6"/>
        <v>-9.2380884481144121E-2</v>
      </c>
    </row>
    <row r="12" spans="2:32" ht="14">
      <c r="B12" s="383"/>
      <c r="C12" s="303">
        <v>1.5</v>
      </c>
      <c r="D12" s="304" t="s">
        <v>24</v>
      </c>
      <c r="E12" s="305">
        <v>378072865</v>
      </c>
      <c r="F12" s="305">
        <v>103601233</v>
      </c>
      <c r="G12" s="305">
        <v>955950</v>
      </c>
      <c r="H12" s="306">
        <f t="shared" si="0"/>
        <v>482630048</v>
      </c>
      <c r="I12" s="305">
        <v>36771662</v>
      </c>
      <c r="J12" s="305">
        <v>134085789</v>
      </c>
      <c r="K12" s="306">
        <f t="shared" si="1"/>
        <v>170857451</v>
      </c>
      <c r="L12" s="305">
        <v>311772597</v>
      </c>
      <c r="M12" s="306">
        <f t="shared" si="2"/>
        <v>482630048</v>
      </c>
      <c r="N12" s="305">
        <v>15703386</v>
      </c>
      <c r="O12" s="305">
        <v>7048986</v>
      </c>
      <c r="P12" s="305">
        <v>482631000</v>
      </c>
      <c r="Q12" s="305">
        <v>170858000</v>
      </c>
      <c r="R12" s="305">
        <v>311773000</v>
      </c>
      <c r="S12" s="305">
        <v>22479000</v>
      </c>
      <c r="T12" s="307">
        <f t="shared" si="3"/>
        <v>-1.9725214501347823E-6</v>
      </c>
      <c r="U12" s="307">
        <f t="shared" si="4"/>
        <v>-3.2131945826358732E-6</v>
      </c>
      <c r="V12" s="307">
        <f t="shared" si="5"/>
        <v>-1.2926071212067754E-6</v>
      </c>
      <c r="W12" s="36">
        <f t="shared" si="6"/>
        <v>-0.68641905778726808</v>
      </c>
    </row>
    <row r="13" spans="2:32" ht="14">
      <c r="B13" s="383"/>
      <c r="C13" s="303">
        <v>1.6</v>
      </c>
      <c r="D13" s="304" t="s">
        <v>25</v>
      </c>
      <c r="E13" s="305">
        <v>69932426</v>
      </c>
      <c r="F13" s="305">
        <v>460250218</v>
      </c>
      <c r="G13" s="305">
        <v>107112095</v>
      </c>
      <c r="H13" s="306">
        <f t="shared" si="0"/>
        <v>637294739</v>
      </c>
      <c r="I13" s="305">
        <v>29489669</v>
      </c>
      <c r="J13" s="305">
        <v>80572256</v>
      </c>
      <c r="K13" s="306">
        <f t="shared" si="1"/>
        <v>110061925</v>
      </c>
      <c r="L13" s="305">
        <v>527232814</v>
      </c>
      <c r="M13" s="306">
        <f t="shared" si="2"/>
        <v>637294739</v>
      </c>
      <c r="N13" s="305">
        <v>8363847</v>
      </c>
      <c r="O13" s="305">
        <v>3783847</v>
      </c>
      <c r="P13" s="305">
        <v>637294000</v>
      </c>
      <c r="Q13" s="305">
        <v>110061000</v>
      </c>
      <c r="R13" s="305">
        <v>527233000</v>
      </c>
      <c r="S13" s="305">
        <v>11897000</v>
      </c>
      <c r="T13" s="307">
        <f t="shared" si="3"/>
        <v>1.1595903931309569E-6</v>
      </c>
      <c r="U13" s="307">
        <f t="shared" si="4"/>
        <v>8.4044302704863674E-6</v>
      </c>
      <c r="V13" s="307">
        <f t="shared" si="5"/>
        <v>-3.527852012298168E-7</v>
      </c>
      <c r="W13" s="36">
        <f t="shared" si="6"/>
        <v>-0.681949483062957</v>
      </c>
    </row>
    <row r="14" spans="2:32" ht="14">
      <c r="B14" s="30">
        <v>2</v>
      </c>
      <c r="C14" s="303"/>
      <c r="D14" s="308" t="s">
        <v>26</v>
      </c>
      <c r="E14" s="305">
        <v>40069494079</v>
      </c>
      <c r="F14" s="305">
        <v>5482697057</v>
      </c>
      <c r="G14" s="305">
        <v>13667555753</v>
      </c>
      <c r="H14" s="306">
        <f t="shared" si="0"/>
        <v>59219746889</v>
      </c>
      <c r="I14" s="305">
        <v>21914617588</v>
      </c>
      <c r="J14" s="305">
        <v>7301680273</v>
      </c>
      <c r="K14" s="306">
        <f t="shared" si="1"/>
        <v>29216297861</v>
      </c>
      <c r="L14" s="305">
        <v>30003449028</v>
      </c>
      <c r="M14" s="306">
        <f t="shared" si="2"/>
        <v>59219746889</v>
      </c>
      <c r="N14" s="305">
        <v>6682012591</v>
      </c>
      <c r="O14" s="305">
        <v>6273203591</v>
      </c>
      <c r="P14" s="305">
        <v>42778874000</v>
      </c>
      <c r="Q14" s="305">
        <v>22139102000</v>
      </c>
      <c r="R14" s="305">
        <v>20639772000</v>
      </c>
      <c r="S14" s="305">
        <v>1168027000</v>
      </c>
      <c r="T14" s="307">
        <f t="shared" si="3"/>
        <v>0.3843222448772261</v>
      </c>
      <c r="U14" s="307">
        <f t="shared" si="4"/>
        <v>0.31966950877230704</v>
      </c>
      <c r="V14" s="307">
        <f t="shared" si="5"/>
        <v>0.453671534162296</v>
      </c>
      <c r="W14" s="36">
        <f t="shared" si="6"/>
        <v>4.3707693323870078</v>
      </c>
    </row>
    <row r="15" spans="2:32" ht="14">
      <c r="B15" s="383">
        <v>3</v>
      </c>
      <c r="C15" s="303"/>
      <c r="D15" s="308" t="s">
        <v>27</v>
      </c>
      <c r="E15" s="305"/>
      <c r="F15" s="305"/>
      <c r="G15" s="305"/>
      <c r="H15" s="306"/>
      <c r="I15" s="305"/>
      <c r="J15" s="305"/>
      <c r="K15" s="306"/>
      <c r="L15" s="305"/>
      <c r="M15" s="306"/>
      <c r="N15" s="305"/>
      <c r="O15" s="305"/>
      <c r="P15" s="305"/>
      <c r="Q15" s="305"/>
      <c r="R15" s="305"/>
      <c r="S15" s="305"/>
      <c r="T15" s="307"/>
      <c r="U15" s="307"/>
      <c r="V15" s="307"/>
      <c r="W15" s="36"/>
    </row>
    <row r="16" spans="2:32" ht="14">
      <c r="B16" s="383"/>
      <c r="C16" s="303">
        <v>3.1</v>
      </c>
      <c r="D16" s="304" t="s">
        <v>28</v>
      </c>
      <c r="E16" s="305">
        <v>1044688000</v>
      </c>
      <c r="F16" s="305">
        <v>114208000</v>
      </c>
      <c r="G16" s="305">
        <v>507125000</v>
      </c>
      <c r="H16" s="306">
        <f t="shared" si="0"/>
        <v>1666021000</v>
      </c>
      <c r="I16" s="305">
        <v>89341000</v>
      </c>
      <c r="J16" s="305">
        <v>920563000</v>
      </c>
      <c r="K16" s="306">
        <f t="shared" si="1"/>
        <v>1009904000</v>
      </c>
      <c r="L16" s="305">
        <v>656117000</v>
      </c>
      <c r="M16" s="306">
        <f t="shared" si="2"/>
        <v>1666021000</v>
      </c>
      <c r="N16" s="305">
        <v>82940000</v>
      </c>
      <c r="O16" s="305">
        <v>65192000</v>
      </c>
      <c r="P16" s="305">
        <v>1666021000</v>
      </c>
      <c r="Q16" s="305">
        <v>1009904000</v>
      </c>
      <c r="R16" s="305">
        <v>656117000</v>
      </c>
      <c r="S16" s="305">
        <v>82940000</v>
      </c>
      <c r="T16" s="307">
        <f t="shared" si="3"/>
        <v>0</v>
      </c>
      <c r="U16" s="307">
        <f t="shared" si="4"/>
        <v>0</v>
      </c>
      <c r="V16" s="307">
        <f t="shared" si="5"/>
        <v>0</v>
      </c>
      <c r="W16" s="36">
        <f t="shared" si="6"/>
        <v>-0.213986013986014</v>
      </c>
    </row>
    <row r="17" spans="2:23" ht="14">
      <c r="B17" s="383"/>
      <c r="C17" s="303">
        <v>3.2</v>
      </c>
      <c r="D17" s="304" t="s">
        <v>29</v>
      </c>
      <c r="E17" s="305">
        <v>2210583412</v>
      </c>
      <c r="F17" s="305">
        <v>1796245413</v>
      </c>
      <c r="G17" s="305">
        <v>950172658</v>
      </c>
      <c r="H17" s="306">
        <f t="shared" si="0"/>
        <v>4957001483</v>
      </c>
      <c r="I17" s="305">
        <v>578205453</v>
      </c>
      <c r="J17" s="305">
        <v>2306752990</v>
      </c>
      <c r="K17" s="306">
        <f t="shared" si="1"/>
        <v>2884958443</v>
      </c>
      <c r="L17" s="305">
        <v>2072043050</v>
      </c>
      <c r="M17" s="306">
        <f t="shared" si="2"/>
        <v>4957001493</v>
      </c>
      <c r="N17" s="305">
        <v>126050800</v>
      </c>
      <c r="O17" s="305">
        <v>81933020</v>
      </c>
      <c r="P17" s="305">
        <v>4957002000</v>
      </c>
      <c r="Q17" s="305">
        <v>2884958000</v>
      </c>
      <c r="R17" s="305">
        <v>2072044000</v>
      </c>
      <c r="S17" s="305">
        <v>126051000</v>
      </c>
      <c r="T17" s="307">
        <f t="shared" si="3"/>
        <v>-1.042969117220449E-7</v>
      </c>
      <c r="U17" s="307">
        <f t="shared" si="4"/>
        <v>1.5355509508284004E-7</v>
      </c>
      <c r="V17" s="307">
        <f t="shared" si="5"/>
        <v>-4.5848447233746003E-7</v>
      </c>
      <c r="W17" s="36">
        <f t="shared" si="6"/>
        <v>-0.35000103132858923</v>
      </c>
    </row>
    <row r="18" spans="2:23" ht="14">
      <c r="B18" s="383"/>
      <c r="C18" s="303">
        <v>3.3</v>
      </c>
      <c r="D18" s="304" t="s">
        <v>30</v>
      </c>
      <c r="E18" s="305">
        <v>1128389590</v>
      </c>
      <c r="F18" s="305">
        <v>497010730</v>
      </c>
      <c r="G18" s="305">
        <v>450516529</v>
      </c>
      <c r="H18" s="306">
        <f t="shared" si="0"/>
        <v>2075916849</v>
      </c>
      <c r="I18" s="305">
        <v>843827380</v>
      </c>
      <c r="J18" s="305">
        <v>171544974</v>
      </c>
      <c r="K18" s="306">
        <f t="shared" si="1"/>
        <v>1015372354</v>
      </c>
      <c r="L18" s="305">
        <v>1060544495</v>
      </c>
      <c r="M18" s="306">
        <f t="shared" si="2"/>
        <v>2075916849</v>
      </c>
      <c r="N18" s="305">
        <v>150152888</v>
      </c>
      <c r="O18" s="305">
        <v>84818888</v>
      </c>
      <c r="P18" s="305">
        <v>2075917000</v>
      </c>
      <c r="Q18" s="305">
        <v>1014364000</v>
      </c>
      <c r="R18" s="305">
        <v>1061553000</v>
      </c>
      <c r="S18" s="305">
        <v>186669000</v>
      </c>
      <c r="T18" s="307">
        <f t="shared" si="3"/>
        <v>-7.2738938984554782E-8</v>
      </c>
      <c r="U18" s="307">
        <f t="shared" si="4"/>
        <v>9.9407510518906435E-4</v>
      </c>
      <c r="V18" s="307">
        <f t="shared" si="5"/>
        <v>-9.5002793077689012E-4</v>
      </c>
      <c r="W18" s="36">
        <f t="shared" si="6"/>
        <v>-0.54561877976525297</v>
      </c>
    </row>
    <row r="19" spans="2:23" ht="14">
      <c r="B19" s="383"/>
      <c r="C19" s="303">
        <v>3.4</v>
      </c>
      <c r="D19" s="304" t="s">
        <v>31</v>
      </c>
      <c r="E19" s="305"/>
      <c r="F19" s="305"/>
      <c r="G19" s="305"/>
      <c r="H19" s="306">
        <f t="shared" si="0"/>
        <v>0</v>
      </c>
      <c r="I19" s="305"/>
      <c r="J19" s="305"/>
      <c r="K19" s="306">
        <f t="shared" si="1"/>
        <v>0</v>
      </c>
      <c r="L19" s="305"/>
      <c r="M19" s="306">
        <f t="shared" si="2"/>
        <v>0</v>
      </c>
      <c r="N19" s="305"/>
      <c r="O19" s="305"/>
      <c r="P19" s="305"/>
      <c r="Q19" s="305"/>
      <c r="R19" s="305"/>
      <c r="S19" s="305"/>
      <c r="T19" s="307" t="e">
        <f t="shared" si="3"/>
        <v>#DIV/0!</v>
      </c>
      <c r="U19" s="307" t="e">
        <f t="shared" si="4"/>
        <v>#DIV/0!</v>
      </c>
      <c r="V19" s="307" t="e">
        <f t="shared" si="5"/>
        <v>#DIV/0!</v>
      </c>
      <c r="W19" s="36" t="e">
        <f t="shared" si="6"/>
        <v>#DIV/0!</v>
      </c>
    </row>
    <row r="20" spans="2:23" ht="14">
      <c r="B20" s="383"/>
      <c r="C20" s="303">
        <v>3.5</v>
      </c>
      <c r="D20" s="304" t="s">
        <v>32</v>
      </c>
      <c r="E20" s="305">
        <v>397516649</v>
      </c>
      <c r="F20" s="305">
        <v>44535519</v>
      </c>
      <c r="G20" s="305"/>
      <c r="H20" s="306">
        <f t="shared" si="0"/>
        <v>442052168</v>
      </c>
      <c r="I20" s="305">
        <v>205584360</v>
      </c>
      <c r="J20" s="305"/>
      <c r="K20" s="306">
        <f t="shared" si="1"/>
        <v>205584360</v>
      </c>
      <c r="L20" s="305">
        <v>236467808</v>
      </c>
      <c r="M20" s="306">
        <f t="shared" si="2"/>
        <v>442052168</v>
      </c>
      <c r="N20" s="305">
        <v>52120000</v>
      </c>
      <c r="O20" s="305">
        <v>52120000</v>
      </c>
      <c r="P20" s="305">
        <v>442053000</v>
      </c>
      <c r="Q20" s="305">
        <v>205584000</v>
      </c>
      <c r="R20" s="305">
        <f>P20-Q20</f>
        <v>236469000</v>
      </c>
      <c r="S20" s="305">
        <v>52120000</v>
      </c>
      <c r="T20" s="307">
        <f t="shared" si="3"/>
        <v>-1.8821272562339809E-6</v>
      </c>
      <c r="U20" s="307">
        <f t="shared" si="4"/>
        <v>1.7511090357226243E-6</v>
      </c>
      <c r="V20" s="307">
        <f t="shared" si="5"/>
        <v>-5.0408298762205619E-6</v>
      </c>
      <c r="W20" s="36">
        <f t="shared" si="6"/>
        <v>0</v>
      </c>
    </row>
    <row r="21" spans="2:23" ht="14">
      <c r="B21" s="383"/>
      <c r="C21" s="303">
        <v>3.6</v>
      </c>
      <c r="D21" s="304" t="s">
        <v>33</v>
      </c>
      <c r="E21" s="305">
        <v>230187357</v>
      </c>
      <c r="F21" s="305">
        <v>487735892</v>
      </c>
      <c r="G21" s="305">
        <v>9625046</v>
      </c>
      <c r="H21" s="306">
        <f t="shared" si="0"/>
        <v>727548295</v>
      </c>
      <c r="I21" s="305">
        <v>117145481</v>
      </c>
      <c r="J21" s="305">
        <v>76862715</v>
      </c>
      <c r="K21" s="306">
        <f t="shared" si="1"/>
        <v>194008196</v>
      </c>
      <c r="L21" s="305">
        <v>533540099</v>
      </c>
      <c r="M21" s="306">
        <f t="shared" si="2"/>
        <v>727548295</v>
      </c>
      <c r="N21" s="305"/>
      <c r="O21" s="305"/>
      <c r="P21" s="305">
        <v>727548000</v>
      </c>
      <c r="Q21" s="305">
        <v>194008000</v>
      </c>
      <c r="R21" s="305">
        <v>533540000</v>
      </c>
      <c r="S21" s="305"/>
      <c r="T21" s="307">
        <f t="shared" si="3"/>
        <v>4.0547152902626356E-7</v>
      </c>
      <c r="U21" s="307">
        <f t="shared" si="4"/>
        <v>1.0102676178301925E-6</v>
      </c>
      <c r="V21" s="307">
        <f t="shared" si="5"/>
        <v>1.855530981744574E-7</v>
      </c>
      <c r="W21" s="36" t="e">
        <f t="shared" si="6"/>
        <v>#DIV/0!</v>
      </c>
    </row>
    <row r="22" spans="2:23" ht="14">
      <c r="B22" s="383">
        <v>4</v>
      </c>
      <c r="C22" s="303"/>
      <c r="D22" s="308" t="s">
        <v>34</v>
      </c>
      <c r="E22" s="305"/>
      <c r="F22" s="305"/>
      <c r="G22" s="305"/>
      <c r="H22" s="306"/>
      <c r="I22" s="305"/>
      <c r="J22" s="305"/>
      <c r="K22" s="306"/>
      <c r="L22" s="305"/>
      <c r="M22" s="306"/>
      <c r="N22" s="305"/>
      <c r="O22" s="305"/>
      <c r="P22" s="305"/>
      <c r="Q22" s="305"/>
      <c r="R22" s="305"/>
      <c r="S22" s="305"/>
      <c r="T22" s="307"/>
      <c r="U22" s="307"/>
      <c r="V22" s="307"/>
      <c r="W22" s="36"/>
    </row>
    <row r="23" spans="2:23" ht="14">
      <c r="B23" s="383"/>
      <c r="C23" s="303">
        <v>4.0999999999999996</v>
      </c>
      <c r="D23" s="304" t="s">
        <v>35</v>
      </c>
      <c r="E23" s="305">
        <v>940500000</v>
      </c>
      <c r="F23" s="305">
        <v>220000000</v>
      </c>
      <c r="G23" s="305">
        <v>19500000</v>
      </c>
      <c r="H23" s="306">
        <f t="shared" si="0"/>
        <v>1180000000</v>
      </c>
      <c r="I23" s="305">
        <v>50000000</v>
      </c>
      <c r="J23" s="305">
        <v>50000000</v>
      </c>
      <c r="K23" s="306">
        <f t="shared" si="1"/>
        <v>100000000</v>
      </c>
      <c r="L23" s="305">
        <v>1080000000</v>
      </c>
      <c r="M23" s="306">
        <f t="shared" si="2"/>
        <v>1180000000</v>
      </c>
      <c r="N23" s="305">
        <v>38000000</v>
      </c>
      <c r="O23" s="305">
        <v>38000000</v>
      </c>
      <c r="P23" s="305">
        <v>1180000000</v>
      </c>
      <c r="Q23" s="305">
        <v>100000000</v>
      </c>
      <c r="R23" s="305">
        <v>1080000000</v>
      </c>
      <c r="S23" s="305">
        <v>35000000</v>
      </c>
      <c r="T23" s="307">
        <f t="shared" si="3"/>
        <v>0</v>
      </c>
      <c r="U23" s="307">
        <f t="shared" si="4"/>
        <v>0</v>
      </c>
      <c r="V23" s="307">
        <f t="shared" si="5"/>
        <v>0</v>
      </c>
      <c r="W23" s="36">
        <f t="shared" si="6"/>
        <v>8.5714285714285715E-2</v>
      </c>
    </row>
    <row r="24" spans="2:23" ht="14">
      <c r="B24" s="383"/>
      <c r="C24" s="303">
        <v>4.2</v>
      </c>
      <c r="D24" s="304" t="s">
        <v>36</v>
      </c>
      <c r="E24" s="305">
        <v>1215892000</v>
      </c>
      <c r="F24" s="305">
        <v>443008000</v>
      </c>
      <c r="G24" s="305">
        <v>283790000</v>
      </c>
      <c r="H24" s="306">
        <f t="shared" si="0"/>
        <v>1942690000</v>
      </c>
      <c r="I24" s="305">
        <v>374625000</v>
      </c>
      <c r="J24" s="305">
        <v>55000000</v>
      </c>
      <c r="K24" s="306">
        <f t="shared" si="1"/>
        <v>429625000</v>
      </c>
      <c r="L24" s="305">
        <v>1513065000</v>
      </c>
      <c r="M24" s="306">
        <f t="shared" si="2"/>
        <v>1942690000</v>
      </c>
      <c r="N24" s="305">
        <v>47375000</v>
      </c>
      <c r="O24" s="305">
        <v>47375000</v>
      </c>
      <c r="P24" s="305">
        <v>1942690000</v>
      </c>
      <c r="Q24" s="305">
        <v>429625000</v>
      </c>
      <c r="R24" s="305">
        <v>1513065000</v>
      </c>
      <c r="S24" s="305">
        <v>47375000</v>
      </c>
      <c r="T24" s="307">
        <f t="shared" si="3"/>
        <v>0</v>
      </c>
      <c r="U24" s="307">
        <f t="shared" si="4"/>
        <v>0</v>
      </c>
      <c r="V24" s="307">
        <f t="shared" si="5"/>
        <v>0</v>
      </c>
      <c r="W24" s="36">
        <f t="shared" si="6"/>
        <v>0</v>
      </c>
    </row>
    <row r="25" spans="2:23" ht="14">
      <c r="B25" s="383"/>
      <c r="C25" s="303">
        <v>4.3</v>
      </c>
      <c r="D25" s="304" t="s">
        <v>37</v>
      </c>
      <c r="E25" s="305">
        <v>2149248232</v>
      </c>
      <c r="F25" s="305">
        <v>390736722</v>
      </c>
      <c r="G25" s="305"/>
      <c r="H25" s="306">
        <f t="shared" si="0"/>
        <v>2539984954</v>
      </c>
      <c r="I25" s="305">
        <v>1922763807</v>
      </c>
      <c r="J25" s="305">
        <v>93405043</v>
      </c>
      <c r="K25" s="306">
        <f t="shared" si="1"/>
        <v>2016168850</v>
      </c>
      <c r="L25" s="305">
        <v>523816104</v>
      </c>
      <c r="M25" s="306">
        <f t="shared" si="2"/>
        <v>2539984954</v>
      </c>
      <c r="N25" s="305">
        <v>41060626</v>
      </c>
      <c r="O25" s="305">
        <v>54549620</v>
      </c>
      <c r="P25" s="305">
        <v>2539984000</v>
      </c>
      <c r="Q25" s="305">
        <v>2016168000</v>
      </c>
      <c r="R25" s="305">
        <v>523816000</v>
      </c>
      <c r="S25" s="305">
        <v>71993000</v>
      </c>
      <c r="T25" s="307">
        <f t="shared" si="3"/>
        <v>3.7559291712073775E-7</v>
      </c>
      <c r="U25" s="307">
        <f t="shared" si="4"/>
        <v>4.2159185147269473E-7</v>
      </c>
      <c r="V25" s="307">
        <f t="shared" si="5"/>
        <v>1.9854299983200209E-7</v>
      </c>
      <c r="W25" s="36">
        <f t="shared" si="6"/>
        <v>-0.24229272290361564</v>
      </c>
    </row>
    <row r="26" spans="2:23" ht="14">
      <c r="B26" s="383"/>
      <c r="C26" s="303">
        <v>4.4000000000000004</v>
      </c>
      <c r="D26" s="304" t="s">
        <v>38</v>
      </c>
      <c r="E26" s="305">
        <v>1286602000</v>
      </c>
      <c r="F26" s="305">
        <v>529776000</v>
      </c>
      <c r="G26" s="305">
        <v>367025000</v>
      </c>
      <c r="H26" s="306">
        <f t="shared" si="0"/>
        <v>2183403000</v>
      </c>
      <c r="I26" s="305">
        <v>631956000</v>
      </c>
      <c r="J26" s="305">
        <v>6584000</v>
      </c>
      <c r="K26" s="306">
        <f t="shared" si="1"/>
        <v>638540000</v>
      </c>
      <c r="L26" s="305">
        <v>1544863000</v>
      </c>
      <c r="M26" s="306">
        <f t="shared" si="2"/>
        <v>2183403000</v>
      </c>
      <c r="N26" s="305"/>
      <c r="O26" s="305"/>
      <c r="P26" s="305">
        <v>2183403000</v>
      </c>
      <c r="Q26" s="305">
        <v>638540000</v>
      </c>
      <c r="R26" s="305">
        <f>P26-Q26</f>
        <v>1544863000</v>
      </c>
      <c r="S26" s="305"/>
      <c r="T26" s="307">
        <f t="shared" si="3"/>
        <v>0</v>
      </c>
      <c r="U26" s="307">
        <f t="shared" si="4"/>
        <v>0</v>
      </c>
      <c r="V26" s="307">
        <f t="shared" si="5"/>
        <v>0</v>
      </c>
      <c r="W26" s="36" t="e">
        <f t="shared" si="6"/>
        <v>#DIV/0!</v>
      </c>
    </row>
    <row r="27" spans="2:23" ht="14">
      <c r="B27" s="383">
        <v>5</v>
      </c>
      <c r="C27" s="303"/>
      <c r="D27" s="308" t="s">
        <v>39</v>
      </c>
      <c r="E27" s="305"/>
      <c r="F27" s="305"/>
      <c r="G27" s="305"/>
      <c r="H27" s="306"/>
      <c r="I27" s="305"/>
      <c r="J27" s="305"/>
      <c r="K27" s="306"/>
      <c r="L27" s="305"/>
      <c r="M27" s="306"/>
      <c r="N27" s="305"/>
      <c r="O27" s="305"/>
      <c r="P27" s="305"/>
      <c r="Q27" s="305"/>
      <c r="R27" s="305"/>
      <c r="S27" s="305"/>
      <c r="T27" s="307"/>
      <c r="U27" s="307"/>
      <c r="V27" s="307"/>
      <c r="W27" s="36"/>
    </row>
    <row r="28" spans="2:23" ht="14">
      <c r="B28" s="383"/>
      <c r="C28" s="303">
        <v>5.0999999999999996</v>
      </c>
      <c r="D28" s="304" t="s">
        <v>40</v>
      </c>
      <c r="E28" s="305">
        <v>3662005000</v>
      </c>
      <c r="F28" s="305">
        <v>457085000</v>
      </c>
      <c r="G28" s="305">
        <v>114779000</v>
      </c>
      <c r="H28" s="306">
        <f t="shared" si="0"/>
        <v>4233869000</v>
      </c>
      <c r="I28" s="305">
        <v>530721000</v>
      </c>
      <c r="J28" s="305">
        <v>160038000</v>
      </c>
      <c r="K28" s="306">
        <f t="shared" si="1"/>
        <v>690759000</v>
      </c>
      <c r="L28" s="305">
        <v>3543110000</v>
      </c>
      <c r="M28" s="306">
        <f t="shared" si="2"/>
        <v>4233869000</v>
      </c>
      <c r="N28" s="305">
        <v>457250000</v>
      </c>
      <c r="O28" s="305">
        <v>297212000</v>
      </c>
      <c r="P28" s="305">
        <v>4229443000</v>
      </c>
      <c r="Q28" s="305">
        <v>686333000</v>
      </c>
      <c r="R28" s="305">
        <v>3543110000</v>
      </c>
      <c r="S28" s="305">
        <v>457250000</v>
      </c>
      <c r="T28" s="307">
        <f t="shared" si="3"/>
        <v>1.0464734954460906E-3</v>
      </c>
      <c r="U28" s="307">
        <f t="shared" si="4"/>
        <v>6.4487646667142628E-3</v>
      </c>
      <c r="V28" s="307">
        <f t="shared" si="5"/>
        <v>0</v>
      </c>
      <c r="W28" s="36">
        <f t="shared" si="6"/>
        <v>-0.35000109349371239</v>
      </c>
    </row>
    <row r="29" spans="2:23" ht="14">
      <c r="B29" s="383"/>
      <c r="C29" s="303">
        <v>5.2</v>
      </c>
      <c r="D29" s="304" t="s">
        <v>41</v>
      </c>
      <c r="E29" s="305">
        <v>1345051857</v>
      </c>
      <c r="F29" s="305">
        <v>622683311</v>
      </c>
      <c r="G29" s="305">
        <v>1888148909</v>
      </c>
      <c r="H29" s="306">
        <f t="shared" si="0"/>
        <v>3855884077</v>
      </c>
      <c r="I29" s="305">
        <v>235974264</v>
      </c>
      <c r="J29" s="305">
        <v>1059293810</v>
      </c>
      <c r="K29" s="306">
        <f t="shared" si="1"/>
        <v>1295268074</v>
      </c>
      <c r="L29" s="305">
        <v>2560616003</v>
      </c>
      <c r="M29" s="306">
        <f t="shared" si="2"/>
        <v>3855884077</v>
      </c>
      <c r="N29" s="305">
        <v>211804765</v>
      </c>
      <c r="O29" s="305">
        <v>128144765</v>
      </c>
      <c r="P29" s="305">
        <v>1968115000</v>
      </c>
      <c r="Q29" s="305">
        <v>1295268000</v>
      </c>
      <c r="R29" s="305">
        <v>672847000</v>
      </c>
      <c r="S29" s="305">
        <v>239030000</v>
      </c>
      <c r="T29" s="307">
        <f t="shared" si="3"/>
        <v>0.95917620515061364</v>
      </c>
      <c r="U29" s="307">
        <f t="shared" si="4"/>
        <v>5.7131033886423504E-8</v>
      </c>
      <c r="V29" s="307">
        <f t="shared" si="5"/>
        <v>2.8056437838022612</v>
      </c>
      <c r="W29" s="36">
        <f t="shared" si="6"/>
        <v>-0.46389672844412833</v>
      </c>
    </row>
    <row r="30" spans="2:23" ht="14">
      <c r="B30" s="383"/>
      <c r="C30" s="303">
        <v>5.3</v>
      </c>
      <c r="D30" s="304" t="s">
        <v>42</v>
      </c>
      <c r="E30" s="305">
        <v>68481000</v>
      </c>
      <c r="F30" s="305">
        <v>248149000</v>
      </c>
      <c r="G30" s="305">
        <v>1829723000</v>
      </c>
      <c r="H30" s="306">
        <f t="shared" si="0"/>
        <v>2146353000</v>
      </c>
      <c r="I30" s="305">
        <v>20336000</v>
      </c>
      <c r="J30" s="305">
        <v>1030069000</v>
      </c>
      <c r="K30" s="306">
        <f t="shared" si="1"/>
        <v>1050405000</v>
      </c>
      <c r="L30" s="305">
        <v>1095948000</v>
      </c>
      <c r="M30" s="306">
        <f t="shared" si="2"/>
        <v>2146353000</v>
      </c>
      <c r="N30" s="305">
        <v>63435000</v>
      </c>
      <c r="O30" s="305">
        <v>51635000</v>
      </c>
      <c r="P30" s="305">
        <v>2146353000</v>
      </c>
      <c r="Q30" s="305">
        <v>1050405000</v>
      </c>
      <c r="R30" s="305">
        <v>1095948000</v>
      </c>
      <c r="S30" s="305">
        <v>63435000</v>
      </c>
      <c r="T30" s="307">
        <f t="shared" si="3"/>
        <v>0</v>
      </c>
      <c r="U30" s="307">
        <f t="shared" si="4"/>
        <v>0</v>
      </c>
      <c r="V30" s="307">
        <f t="shared" si="5"/>
        <v>0</v>
      </c>
      <c r="W30" s="36">
        <f t="shared" si="6"/>
        <v>-0.18601718294317018</v>
      </c>
    </row>
    <row r="31" spans="2:23" ht="14">
      <c r="B31" s="383"/>
      <c r="C31" s="303">
        <v>5.4</v>
      </c>
      <c r="D31" s="304" t="s">
        <v>43</v>
      </c>
      <c r="E31" s="305">
        <v>9098479232</v>
      </c>
      <c r="F31" s="305">
        <v>531593591</v>
      </c>
      <c r="G31" s="305">
        <f>1377315265+27043045</f>
        <v>1404358310</v>
      </c>
      <c r="H31" s="306">
        <f t="shared" si="0"/>
        <v>11034431133</v>
      </c>
      <c r="I31" s="305">
        <v>1681476244</v>
      </c>
      <c r="J31" s="305">
        <v>4212950518</v>
      </c>
      <c r="K31" s="306">
        <f t="shared" si="1"/>
        <v>5894426762</v>
      </c>
      <c r="L31" s="305">
        <v>5140004372</v>
      </c>
      <c r="M31" s="306">
        <f t="shared" si="2"/>
        <v>11034431134</v>
      </c>
      <c r="N31" s="305">
        <v>101528025</v>
      </c>
      <c r="O31" s="305">
        <v>54379630</v>
      </c>
      <c r="P31" s="305">
        <v>11007389000</v>
      </c>
      <c r="Q31" s="305">
        <v>5894427000</v>
      </c>
      <c r="R31" s="305">
        <v>5112962000</v>
      </c>
      <c r="S31" s="305">
        <v>122857000</v>
      </c>
      <c r="T31" s="307">
        <f t="shared" si="3"/>
        <v>2.4567254777677068E-3</v>
      </c>
      <c r="U31" s="307">
        <f t="shared" si="4"/>
        <v>-4.0377122322492076E-8</v>
      </c>
      <c r="V31" s="307">
        <f t="shared" si="5"/>
        <v>5.2889835676463073E-3</v>
      </c>
      <c r="W31" s="36">
        <f t="shared" si="6"/>
        <v>-0.55737458997045342</v>
      </c>
    </row>
    <row r="32" spans="2:23" ht="14.5" thickBot="1">
      <c r="B32" s="43"/>
      <c r="C32" s="45"/>
      <c r="D32" s="42"/>
      <c r="E32" s="37"/>
      <c r="F32" s="37"/>
      <c r="G32" s="37"/>
      <c r="H32" s="38"/>
      <c r="I32" s="37"/>
      <c r="J32" s="37"/>
      <c r="K32" s="38"/>
      <c r="L32" s="37"/>
      <c r="M32" s="38"/>
      <c r="N32" s="37"/>
      <c r="O32" s="37"/>
      <c r="P32" s="37"/>
      <c r="Q32" s="37"/>
      <c r="R32" s="37"/>
      <c r="S32" s="37"/>
      <c r="T32" s="39"/>
      <c r="U32" s="39"/>
      <c r="V32" s="39"/>
      <c r="W32" s="40"/>
    </row>
    <row r="33" spans="2:23" ht="13" thickBot="1"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</row>
    <row r="34" spans="2:23" ht="13">
      <c r="B34" s="2" t="s">
        <v>44</v>
      </c>
      <c r="C34" s="1"/>
      <c r="D34" s="309"/>
      <c r="E34" s="24"/>
      <c r="F34" s="25"/>
      <c r="G34" s="26"/>
      <c r="H34" s="25"/>
      <c r="I34" s="27"/>
      <c r="J34" s="27"/>
      <c r="K34" s="28"/>
      <c r="L34" s="25"/>
      <c r="M34" s="29"/>
      <c r="N34" s="25"/>
      <c r="O34" s="29"/>
      <c r="P34" s="25"/>
      <c r="Q34" s="29"/>
      <c r="R34" s="29"/>
      <c r="S34" s="29"/>
      <c r="T34" s="12"/>
      <c r="U34" s="12"/>
      <c r="V34" s="12"/>
      <c r="W34" s="13"/>
    </row>
    <row r="35" spans="2:23">
      <c r="B35" s="310"/>
      <c r="C35" s="368" t="s">
        <v>45</v>
      </c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69"/>
      <c r="T35" s="369"/>
      <c r="U35" s="369"/>
      <c r="V35" s="369"/>
      <c r="W35" s="16"/>
    </row>
    <row r="36" spans="2:23">
      <c r="B36" s="310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69"/>
      <c r="T36" s="369"/>
      <c r="U36" s="369"/>
      <c r="V36" s="369"/>
      <c r="W36" s="16"/>
    </row>
    <row r="37" spans="2:23">
      <c r="B37" s="310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69"/>
      <c r="T37" s="369"/>
      <c r="U37" s="369"/>
      <c r="V37" s="369"/>
      <c r="W37" s="16"/>
    </row>
    <row r="38" spans="2:23">
      <c r="B38" s="310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69"/>
      <c r="T38" s="369"/>
      <c r="U38" s="369"/>
      <c r="V38" s="369"/>
      <c r="W38" s="16"/>
    </row>
    <row r="39" spans="2:23" ht="13" thickBot="1">
      <c r="B39" s="311"/>
      <c r="C39" s="312"/>
      <c r="D39" s="312"/>
      <c r="E39" s="313"/>
      <c r="F39" s="314"/>
      <c r="G39" s="314"/>
      <c r="H39" s="314"/>
      <c r="I39" s="314"/>
      <c r="J39" s="314"/>
      <c r="K39" s="315"/>
      <c r="L39" s="314"/>
      <c r="M39" s="312"/>
      <c r="N39" s="314"/>
      <c r="O39" s="312"/>
      <c r="P39" s="314"/>
      <c r="Q39" s="14"/>
      <c r="R39" s="14"/>
      <c r="S39" s="14"/>
      <c r="T39" s="14"/>
      <c r="U39" s="14"/>
      <c r="V39" s="14"/>
      <c r="W39" s="15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" right="0" top="0" bottom="0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333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L16"/>
  <sheetViews>
    <sheetView workbookViewId="0">
      <selection activeCell="A3" sqref="A3"/>
    </sheetView>
  </sheetViews>
  <sheetFormatPr baseColWidth="10" defaultColWidth="11.453125" defaultRowHeight="12.5"/>
  <cols>
    <col min="1" max="1" width="11.453125" style="105"/>
    <col min="2" max="2" width="21" style="105" bestFit="1" customWidth="1"/>
    <col min="3" max="3" width="16.54296875" style="105" bestFit="1" customWidth="1"/>
    <col min="4" max="4" width="21" style="105" bestFit="1" customWidth="1"/>
    <col min="5" max="5" width="4.6328125" style="105" customWidth="1"/>
    <col min="6" max="6" width="14.453125" style="105" hidden="1" customWidth="1"/>
    <col min="7" max="7" width="4.6328125" style="103" customWidth="1"/>
    <col min="8" max="8" width="21" style="103" bestFit="1" customWidth="1"/>
    <col min="9" max="9" width="4.6328125" style="103" customWidth="1"/>
    <col min="10" max="10" width="21.453125" style="103" customWidth="1"/>
    <col min="11" max="11" width="12.90625" style="106" bestFit="1" customWidth="1"/>
    <col min="12" max="12" width="13.90625" style="106" bestFit="1" customWidth="1"/>
    <col min="13" max="16384" width="11.453125" style="103"/>
  </cols>
  <sheetData>
    <row r="1" spans="1:10" ht="43.5" customHeight="1" thickBot="1">
      <c r="A1" s="140" t="s">
        <v>46</v>
      </c>
      <c r="B1" s="141">
        <v>1</v>
      </c>
      <c r="C1" s="141" t="s">
        <v>47</v>
      </c>
      <c r="D1" s="142" t="s">
        <v>48</v>
      </c>
      <c r="E1" s="102"/>
      <c r="F1" s="143" t="s">
        <v>49</v>
      </c>
      <c r="H1" s="143" t="s">
        <v>50</v>
      </c>
      <c r="J1" s="143" t="s">
        <v>51</v>
      </c>
    </row>
    <row r="2" spans="1:10">
      <c r="A2" s="122">
        <v>1</v>
      </c>
      <c r="B2" s="316">
        <v>1200000000</v>
      </c>
      <c r="C2" s="123">
        <v>4</v>
      </c>
      <c r="D2" s="316">
        <f>+B2*0.1</f>
        <v>120000000</v>
      </c>
      <c r="E2" s="104"/>
      <c r="F2" s="124">
        <v>1160000</v>
      </c>
      <c r="H2" s="125">
        <f>+B2*J2</f>
        <v>120000000</v>
      </c>
      <c r="J2" s="126">
        <f>IF(B2&lt;=10000000000,0.1,IF(AND(B2&gt;=10000000001,B2&lt;=20000000000),0.2,IF(B2&gt;=20000000001,0.3,0)))</f>
        <v>0.1</v>
      </c>
    </row>
    <row r="9" spans="1:10">
      <c r="C9" s="255"/>
    </row>
    <row r="16" spans="1:10">
      <c r="E16" s="256"/>
    </row>
  </sheetData>
  <customSheetViews>
    <customSheetView guid="{7043DB3C-32B3-43B5-9ACE-4B1C78863594}" topLeftCell="A4">
      <selection activeCell="F24" sqref="F24"/>
      <pageMargins left="0" right="0" top="0" bottom="0" header="0" footer="0"/>
      <headerFooter alignWithMargins="0"/>
    </customSheetView>
  </customSheetViews>
  <phoneticPr fontId="22" type="noConversion"/>
  <conditionalFormatting sqref="A2:D2 F2 H2 J2">
    <cfRule type="expression" dxfId="332" priority="1">
      <formula>MOD(ROW(),2)=0</formula>
    </cfRule>
  </conditionalFormatting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4">
    <tabColor rgb="FFFFC000"/>
  </sheetPr>
  <dimension ref="B1:L8"/>
  <sheetViews>
    <sheetView zoomScale="85" zoomScaleNormal="85" workbookViewId="0">
      <selection activeCell="K30" sqref="K30"/>
    </sheetView>
  </sheetViews>
  <sheetFormatPr baseColWidth="10" defaultColWidth="11.453125" defaultRowHeight="12.5"/>
  <cols>
    <col min="1" max="2" width="11.453125" style="62"/>
    <col min="3" max="3" width="15.36328125" style="62" bestFit="1" customWidth="1"/>
    <col min="4" max="4" width="11.453125" style="62"/>
    <col min="5" max="5" width="4.6328125" style="62" customWidth="1"/>
    <col min="6" max="6" width="11.453125" style="62"/>
    <col min="7" max="7" width="11.453125" style="62" customWidth="1"/>
    <col min="8" max="8" width="11.453125" style="62"/>
    <col min="9" max="9" width="4.6328125" style="62" customWidth="1"/>
    <col min="10" max="12" width="11.453125" style="62"/>
    <col min="13" max="13" width="4.6328125" style="62" customWidth="1"/>
    <col min="14" max="16384" width="11.453125" style="62"/>
  </cols>
  <sheetData>
    <row r="1" spans="2:12" ht="13" thickBot="1"/>
    <row r="2" spans="2:12" ht="13.5" thickBot="1">
      <c r="B2" s="384" t="s">
        <v>52</v>
      </c>
      <c r="C2" s="385"/>
      <c r="D2" s="386"/>
      <c r="F2" s="384" t="s">
        <v>53</v>
      </c>
      <c r="G2" s="385"/>
      <c r="H2" s="386"/>
      <c r="J2" s="384" t="s">
        <v>54</v>
      </c>
      <c r="K2" s="385"/>
      <c r="L2" s="386"/>
    </row>
    <row r="3" spans="2:12" ht="13.5" thickBot="1">
      <c r="B3" s="144" t="s">
        <v>55</v>
      </c>
      <c r="C3" s="145" t="s">
        <v>56</v>
      </c>
      <c r="D3" s="146" t="s">
        <v>57</v>
      </c>
      <c r="F3" s="144" t="s">
        <v>55</v>
      </c>
      <c r="G3" s="145" t="s">
        <v>56</v>
      </c>
      <c r="H3" s="146" t="s">
        <v>57</v>
      </c>
      <c r="J3" s="144" t="s">
        <v>58</v>
      </c>
      <c r="K3" s="145" t="s">
        <v>59</v>
      </c>
      <c r="L3" s="146" t="s">
        <v>57</v>
      </c>
    </row>
    <row r="4" spans="2:12">
      <c r="B4" s="78">
        <v>0</v>
      </c>
      <c r="C4" s="78">
        <v>0.5</v>
      </c>
      <c r="D4" s="78">
        <v>20</v>
      </c>
      <c r="F4" s="78">
        <v>0</v>
      </c>
      <c r="G4" s="78">
        <v>3</v>
      </c>
      <c r="H4" s="78">
        <v>60</v>
      </c>
      <c r="J4" s="78">
        <v>1</v>
      </c>
      <c r="K4" s="78">
        <v>5</v>
      </c>
      <c r="L4" s="78">
        <v>20</v>
      </c>
    </row>
    <row r="5" spans="2:12">
      <c r="B5" s="79">
        <v>0.5</v>
      </c>
      <c r="C5" s="79">
        <v>0.75</v>
      </c>
      <c r="D5" s="79">
        <v>25</v>
      </c>
      <c r="F5" s="79">
        <v>3</v>
      </c>
      <c r="G5" s="79">
        <v>6</v>
      </c>
      <c r="H5" s="79">
        <v>80</v>
      </c>
      <c r="J5" s="79">
        <v>6</v>
      </c>
      <c r="K5" s="79">
        <v>10</v>
      </c>
      <c r="L5" s="79">
        <v>30</v>
      </c>
    </row>
    <row r="6" spans="2:12" ht="13" thickBot="1">
      <c r="B6" s="79">
        <v>0.75</v>
      </c>
      <c r="C6" s="85">
        <v>1</v>
      </c>
      <c r="D6" s="79">
        <v>30</v>
      </c>
      <c r="F6" s="79">
        <v>6</v>
      </c>
      <c r="G6" s="79">
        <v>10</v>
      </c>
      <c r="H6" s="79">
        <v>100</v>
      </c>
      <c r="J6" s="80">
        <v>11</v>
      </c>
      <c r="K6" s="81" t="s">
        <v>60</v>
      </c>
      <c r="L6" s="80">
        <v>40</v>
      </c>
    </row>
    <row r="7" spans="2:12" ht="13" thickBot="1">
      <c r="B7" s="84">
        <v>1</v>
      </c>
      <c r="C7" s="83">
        <v>1.5</v>
      </c>
      <c r="D7" s="82">
        <v>35</v>
      </c>
      <c r="F7" s="80">
        <v>10</v>
      </c>
      <c r="G7" s="81" t="s">
        <v>60</v>
      </c>
      <c r="H7" s="80">
        <v>120</v>
      </c>
      <c r="J7" s="86"/>
      <c r="K7" s="87"/>
      <c r="L7" s="86"/>
    </row>
    <row r="8" spans="2:12" ht="13" thickBot="1">
      <c r="B8" s="80">
        <v>1.5</v>
      </c>
      <c r="C8" s="81" t="s">
        <v>60</v>
      </c>
      <c r="D8" s="80">
        <v>40</v>
      </c>
    </row>
  </sheetData>
  <mergeCells count="3">
    <mergeCell ref="B2:D2"/>
    <mergeCell ref="J2:L2"/>
    <mergeCell ref="F2:H2"/>
  </mergeCells>
  <conditionalFormatting sqref="B4:D8 F4:H7 J4:L6">
    <cfRule type="expression" dxfId="331" priority="1">
      <formula>MOD(ROW(),2)=0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J45"/>
  <sheetViews>
    <sheetView topLeftCell="R1" zoomScale="70" zoomScaleNormal="70" zoomScaleSheetLayoutView="100" workbookViewId="0">
      <pane ySplit="5" topLeftCell="A14" activePane="bottomLeft" state="frozen"/>
      <selection pane="bottomLeft" activeCell="AL21" sqref="AL21"/>
    </sheetView>
  </sheetViews>
  <sheetFormatPr baseColWidth="10" defaultColWidth="11.453125" defaultRowHeight="18" customHeight="1"/>
  <cols>
    <col min="1" max="1" width="19.90625" style="55" customWidth="1"/>
    <col min="2" max="2" width="8.90625" style="55" bestFit="1" customWidth="1"/>
    <col min="3" max="3" width="64" style="55" customWidth="1"/>
    <col min="4" max="4" width="17.453125" style="55" customWidth="1"/>
    <col min="5" max="5" width="25" style="55" customWidth="1"/>
    <col min="6" max="6" width="26.6328125" style="57" customWidth="1"/>
    <col min="7" max="7" width="25" style="57" bestFit="1" customWidth="1"/>
    <col min="8" max="9" width="23.08984375" style="57" customWidth="1"/>
    <col min="10" max="10" width="28.6328125" style="58" customWidth="1"/>
    <col min="11" max="11" width="23" style="58" customWidth="1"/>
    <col min="12" max="12" width="20.90625" style="58" customWidth="1"/>
    <col min="13" max="13" width="4.08984375" style="59" bestFit="1" customWidth="1"/>
    <col min="14" max="14" width="8" style="59" bestFit="1" customWidth="1"/>
    <col min="15" max="15" width="8" style="59" hidden="1" customWidth="1"/>
    <col min="16" max="16" width="19.54296875" style="59" hidden="1" customWidth="1"/>
    <col min="17" max="17" width="21.6328125" style="59" bestFit="1" customWidth="1"/>
    <col min="18" max="18" width="24.90625" style="59" customWidth="1"/>
    <col min="19" max="19" width="21.54296875" style="59" customWidth="1"/>
    <col min="20" max="20" width="11" style="59" customWidth="1"/>
    <col min="21" max="22" width="14.6328125" style="59" customWidth="1"/>
    <col min="23" max="23" width="19.6328125" style="59" customWidth="1"/>
    <col min="24" max="24" width="21.6328125" style="59" customWidth="1"/>
    <col min="25" max="25" width="20.453125" style="59" hidden="1" customWidth="1"/>
    <col min="26" max="26" width="25.6328125" style="59" customWidth="1"/>
    <col min="27" max="27" width="14.6328125" style="59" customWidth="1"/>
    <col min="28" max="28" width="15.90625" style="57" customWidth="1"/>
    <col min="29" max="29" width="7.90625" style="55" hidden="1" customWidth="1"/>
    <col min="30" max="30" width="17.08984375" style="55" hidden="1" customWidth="1"/>
    <col min="31" max="31" width="19.453125" style="55" hidden="1" customWidth="1"/>
    <col min="32" max="32" width="18.54296875" style="60" customWidth="1"/>
    <col min="33" max="33" width="14.08984375" style="55" bestFit="1" customWidth="1"/>
    <col min="34" max="34" width="20.90625" style="60" customWidth="1"/>
    <col min="35" max="35" width="14.08984375" style="55" bestFit="1" customWidth="1"/>
    <col min="36" max="36" width="17.36328125" style="55" customWidth="1"/>
    <col min="37" max="16384" width="11.453125" style="55"/>
  </cols>
  <sheetData>
    <row r="1" spans="1:36" ht="18" customHeight="1">
      <c r="A1" s="257"/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257"/>
      <c r="AD1" s="257"/>
      <c r="AE1" s="257"/>
      <c r="AF1" s="317"/>
      <c r="AG1" s="257"/>
      <c r="AH1" s="317"/>
      <c r="AI1" s="257"/>
      <c r="AJ1" s="257"/>
    </row>
    <row r="2" spans="1:36" s="56" customFormat="1" ht="23">
      <c r="B2" s="431" t="s">
        <v>61</v>
      </c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1"/>
      <c r="AH2" s="431"/>
      <c r="AI2" s="431"/>
      <c r="AJ2" s="431"/>
    </row>
    <row r="3" spans="1:36" s="56" customFormat="1">
      <c r="B3" s="430" t="s">
        <v>62</v>
      </c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0"/>
      <c r="T3" s="430"/>
      <c r="U3" s="430"/>
      <c r="V3" s="430"/>
      <c r="W3" s="430"/>
      <c r="X3" s="430"/>
      <c r="Y3" s="430"/>
      <c r="Z3" s="430"/>
      <c r="AA3" s="430"/>
      <c r="AB3" s="430"/>
      <c r="AC3" s="430"/>
      <c r="AD3" s="430"/>
      <c r="AE3" s="430"/>
      <c r="AF3" s="430"/>
      <c r="AG3" s="430"/>
      <c r="AH3" s="430"/>
      <c r="AI3" s="430"/>
      <c r="AJ3" s="430"/>
    </row>
    <row r="4" spans="1:36" ht="18" customHeight="1">
      <c r="A4" s="257"/>
      <c r="B4" s="429" t="s">
        <v>63</v>
      </c>
      <c r="C4" s="429"/>
      <c r="D4" s="429"/>
      <c r="E4" s="429"/>
      <c r="F4" s="429"/>
      <c r="G4" s="429"/>
      <c r="H4" s="429"/>
      <c r="I4" s="429"/>
      <c r="J4" s="429"/>
      <c r="K4" s="429"/>
      <c r="L4" s="429"/>
      <c r="M4" s="429"/>
      <c r="N4" s="429"/>
      <c r="O4" s="429"/>
      <c r="P4" s="429"/>
      <c r="Q4" s="429"/>
      <c r="R4" s="429"/>
      <c r="S4" s="429"/>
      <c r="T4" s="429"/>
      <c r="U4" s="429"/>
      <c r="V4" s="429"/>
      <c r="W4" s="429"/>
      <c r="X4" s="429"/>
      <c r="Y4" s="429"/>
      <c r="Z4" s="429"/>
      <c r="AA4" s="429"/>
      <c r="AB4" s="429"/>
      <c r="AC4" s="429"/>
      <c r="AD4" s="429"/>
      <c r="AE4" s="429"/>
      <c r="AF4" s="429"/>
      <c r="AG4" s="429"/>
      <c r="AH4" s="429"/>
      <c r="AI4" s="429"/>
      <c r="AJ4" s="429"/>
    </row>
    <row r="5" spans="1:36" ht="18" customHeight="1">
      <c r="A5" s="257"/>
      <c r="B5" s="441" t="s">
        <v>64</v>
      </c>
      <c r="C5" s="441"/>
      <c r="D5" s="441"/>
      <c r="E5" s="441"/>
      <c r="F5" s="441"/>
      <c r="G5" s="441"/>
      <c r="H5" s="441"/>
      <c r="I5" s="441"/>
      <c r="J5" s="441"/>
      <c r="K5" s="441"/>
      <c r="L5" s="441"/>
      <c r="M5" s="441"/>
      <c r="N5" s="441"/>
      <c r="O5" s="441"/>
      <c r="P5" s="441"/>
      <c r="Q5" s="441"/>
      <c r="R5" s="441"/>
      <c r="S5" s="441"/>
      <c r="T5" s="441"/>
      <c r="U5" s="441"/>
      <c r="V5" s="441"/>
      <c r="W5" s="441"/>
      <c r="X5" s="441"/>
      <c r="Y5" s="441"/>
      <c r="Z5" s="441"/>
      <c r="AA5" s="441"/>
      <c r="AB5" s="441"/>
      <c r="AC5" s="441"/>
      <c r="AD5" s="441"/>
      <c r="AE5" s="441"/>
      <c r="AF5" s="441"/>
      <c r="AG5" s="441"/>
      <c r="AH5" s="441"/>
      <c r="AI5" s="441"/>
      <c r="AJ5" s="441"/>
    </row>
    <row r="6" spans="1:36" ht="18" customHeight="1" thickBot="1">
      <c r="A6" s="257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120"/>
      <c r="R6" s="61"/>
      <c r="S6" s="61"/>
      <c r="T6" s="61" t="s">
        <v>65</v>
      </c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</row>
    <row r="7" spans="1:36" ht="44.25" customHeight="1" thickBot="1">
      <c r="A7" s="257"/>
      <c r="B7" s="436" t="s">
        <v>66</v>
      </c>
      <c r="C7" s="437"/>
      <c r="D7" s="438"/>
      <c r="E7" s="439" t="s">
        <v>67</v>
      </c>
      <c r="F7" s="440"/>
      <c r="G7" s="440"/>
      <c r="H7" s="440"/>
      <c r="I7" s="440"/>
      <c r="J7" s="440"/>
      <c r="K7" s="147"/>
      <c r="L7" s="147"/>
      <c r="M7" s="147"/>
      <c r="N7" s="147"/>
      <c r="O7" s="147"/>
      <c r="P7" s="147"/>
      <c r="Q7" s="148"/>
      <c r="R7" s="389" t="s">
        <v>68</v>
      </c>
      <c r="S7" s="390"/>
      <c r="T7" s="419" t="s">
        <v>69</v>
      </c>
      <c r="U7" s="389" t="s">
        <v>70</v>
      </c>
      <c r="V7" s="390"/>
      <c r="W7" s="389" t="s">
        <v>71</v>
      </c>
      <c r="X7" s="390"/>
      <c r="Y7" s="149"/>
      <c r="Z7" s="389" t="s">
        <v>72</v>
      </c>
      <c r="AA7" s="390"/>
      <c r="AB7" s="201" t="s">
        <v>73</v>
      </c>
      <c r="AC7" s="401" t="s">
        <v>74</v>
      </c>
      <c r="AD7" s="402"/>
      <c r="AE7" s="403"/>
      <c r="AF7" s="393" t="s">
        <v>75</v>
      </c>
      <c r="AG7" s="394"/>
      <c r="AH7" s="389" t="s">
        <v>76</v>
      </c>
      <c r="AI7" s="390"/>
      <c r="AJ7" s="201" t="s">
        <v>77</v>
      </c>
    </row>
    <row r="8" spans="1:36" ht="33.75" customHeight="1">
      <c r="A8" s="257"/>
      <c r="B8" s="404" t="s">
        <v>78</v>
      </c>
      <c r="C8" s="435" t="s">
        <v>79</v>
      </c>
      <c r="D8" s="415" t="s">
        <v>80</v>
      </c>
      <c r="E8" s="415" t="s">
        <v>81</v>
      </c>
      <c r="F8" s="410" t="s">
        <v>82</v>
      </c>
      <c r="G8" s="410" t="s">
        <v>83</v>
      </c>
      <c r="H8" s="411" t="s">
        <v>84</v>
      </c>
      <c r="I8" s="418" t="s">
        <v>85</v>
      </c>
      <c r="J8" s="418" t="s">
        <v>86</v>
      </c>
      <c r="K8" s="172"/>
      <c r="L8" s="172"/>
      <c r="M8" s="432" t="s">
        <v>87</v>
      </c>
      <c r="N8" s="407" t="s">
        <v>88</v>
      </c>
      <c r="O8" s="407" t="s">
        <v>89</v>
      </c>
      <c r="P8" s="413" t="s">
        <v>90</v>
      </c>
      <c r="Q8" s="413" t="s">
        <v>91</v>
      </c>
      <c r="R8" s="422" t="s">
        <v>92</v>
      </c>
      <c r="S8" s="423"/>
      <c r="T8" s="420"/>
      <c r="U8" s="391" t="s">
        <v>93</v>
      </c>
      <c r="V8" s="392"/>
      <c r="W8" s="391" t="s">
        <v>94</v>
      </c>
      <c r="X8" s="392"/>
      <c r="Y8" s="412" t="s">
        <v>95</v>
      </c>
      <c r="Z8" s="391" t="s">
        <v>96</v>
      </c>
      <c r="AA8" s="392"/>
      <c r="AB8" s="387" t="s">
        <v>97</v>
      </c>
      <c r="AC8" s="398" t="s">
        <v>98</v>
      </c>
      <c r="AD8" s="116">
        <v>2019</v>
      </c>
      <c r="AE8" s="112">
        <v>828211</v>
      </c>
      <c r="AF8" s="395" t="s">
        <v>99</v>
      </c>
      <c r="AG8" s="396"/>
      <c r="AH8" s="397" t="s">
        <v>100</v>
      </c>
      <c r="AI8" s="396"/>
      <c r="AJ8" s="387" t="s">
        <v>97</v>
      </c>
    </row>
    <row r="9" spans="1:36" ht="38.15" customHeight="1">
      <c r="A9" s="257"/>
      <c r="B9" s="405"/>
      <c r="C9" s="435"/>
      <c r="D9" s="416"/>
      <c r="E9" s="416"/>
      <c r="F9" s="411"/>
      <c r="G9" s="411"/>
      <c r="H9" s="411"/>
      <c r="I9" s="418"/>
      <c r="J9" s="418"/>
      <c r="K9" s="172" t="s">
        <v>101</v>
      </c>
      <c r="L9" s="172" t="s">
        <v>102</v>
      </c>
      <c r="M9" s="433"/>
      <c r="N9" s="408"/>
      <c r="O9" s="408"/>
      <c r="P9" s="413"/>
      <c r="Q9" s="413"/>
      <c r="R9" s="426" t="s">
        <v>103</v>
      </c>
      <c r="S9" s="424" t="s">
        <v>104</v>
      </c>
      <c r="T9" s="420"/>
      <c r="U9" s="169" t="s">
        <v>105</v>
      </c>
      <c r="V9" s="150">
        <v>1.1100000000000001</v>
      </c>
      <c r="W9" s="169" t="s">
        <v>106</v>
      </c>
      <c r="X9" s="152">
        <v>0.75</v>
      </c>
      <c r="Y9" s="413"/>
      <c r="Z9" s="170" t="s">
        <v>107</v>
      </c>
      <c r="AA9" s="154">
        <v>0</v>
      </c>
      <c r="AB9" s="387"/>
      <c r="AC9" s="399"/>
      <c r="AD9" s="117">
        <v>2020</v>
      </c>
      <c r="AE9" s="113">
        <v>877803</v>
      </c>
      <c r="AF9" s="158" t="s">
        <v>108</v>
      </c>
      <c r="AG9" s="156">
        <v>0</v>
      </c>
      <c r="AH9" s="161" t="s">
        <v>109</v>
      </c>
      <c r="AI9" s="156">
        <v>0</v>
      </c>
      <c r="AJ9" s="387"/>
    </row>
    <row r="10" spans="1:36" ht="38.15" customHeight="1" thickBot="1">
      <c r="A10" s="257"/>
      <c r="B10" s="406"/>
      <c r="C10" s="435"/>
      <c r="D10" s="416"/>
      <c r="E10" s="416"/>
      <c r="F10" s="417"/>
      <c r="G10" s="411"/>
      <c r="H10" s="417"/>
      <c r="I10" s="418"/>
      <c r="J10" s="418"/>
      <c r="K10" s="172" t="s">
        <v>101</v>
      </c>
      <c r="L10" s="172" t="s">
        <v>102</v>
      </c>
      <c r="M10" s="433"/>
      <c r="N10" s="408"/>
      <c r="O10" s="408"/>
      <c r="P10" s="413"/>
      <c r="Q10" s="413"/>
      <c r="R10" s="427"/>
      <c r="S10" s="425"/>
      <c r="T10" s="420"/>
      <c r="U10" s="168" t="s">
        <v>110</v>
      </c>
      <c r="V10" s="151">
        <v>1.21</v>
      </c>
      <c r="W10" s="168" t="s">
        <v>111</v>
      </c>
      <c r="X10" s="153">
        <v>0.7</v>
      </c>
      <c r="Y10" s="413"/>
      <c r="Z10" s="171" t="s">
        <v>112</v>
      </c>
      <c r="AA10" s="155">
        <v>1</v>
      </c>
      <c r="AB10" s="387"/>
      <c r="AC10" s="399"/>
      <c r="AD10" s="118">
        <v>2021</v>
      </c>
      <c r="AE10" s="114">
        <v>908526</v>
      </c>
      <c r="AF10" s="159" t="s">
        <v>113</v>
      </c>
      <c r="AG10" s="157">
        <v>0.04</v>
      </c>
      <c r="AH10" s="162" t="s">
        <v>114</v>
      </c>
      <c r="AI10" s="157">
        <v>0.02</v>
      </c>
      <c r="AJ10" s="387"/>
    </row>
    <row r="11" spans="1:36" ht="44.25" customHeight="1" thickBot="1">
      <c r="A11" s="257"/>
      <c r="B11" s="406"/>
      <c r="C11" s="435"/>
      <c r="D11" s="416"/>
      <c r="E11" s="416"/>
      <c r="F11" s="417"/>
      <c r="G11" s="411"/>
      <c r="H11" s="417"/>
      <c r="I11" s="418"/>
      <c r="J11" s="418"/>
      <c r="K11" s="172"/>
      <c r="L11" s="172"/>
      <c r="M11" s="434"/>
      <c r="N11" s="409"/>
      <c r="O11" s="409"/>
      <c r="P11" s="413"/>
      <c r="Q11" s="413"/>
      <c r="R11" s="167" t="s">
        <v>115</v>
      </c>
      <c r="S11" s="166" t="s">
        <v>116</v>
      </c>
      <c r="T11" s="421"/>
      <c r="U11" s="167" t="s">
        <v>115</v>
      </c>
      <c r="V11" s="166" t="s">
        <v>116</v>
      </c>
      <c r="W11" s="167" t="s">
        <v>115</v>
      </c>
      <c r="X11" s="166" t="s">
        <v>116</v>
      </c>
      <c r="Y11" s="414"/>
      <c r="Z11" s="167" t="s">
        <v>115</v>
      </c>
      <c r="AA11" s="166" t="s">
        <v>116</v>
      </c>
      <c r="AB11" s="388"/>
      <c r="AC11" s="400"/>
      <c r="AD11" s="119" t="s">
        <v>117</v>
      </c>
      <c r="AE11" s="115" t="s">
        <v>118</v>
      </c>
      <c r="AF11" s="160" t="s">
        <v>115</v>
      </c>
      <c r="AG11" s="164" t="s">
        <v>116</v>
      </c>
      <c r="AH11" s="163" t="s">
        <v>115</v>
      </c>
      <c r="AI11" s="165" t="s">
        <v>116</v>
      </c>
      <c r="AJ11" s="388"/>
    </row>
    <row r="12" spans="1:36" ht="18" customHeight="1" thickBot="1">
      <c r="A12" s="257"/>
      <c r="B12" s="108"/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10"/>
      <c r="O12" s="109"/>
      <c r="P12" s="109"/>
      <c r="Q12" s="109"/>
      <c r="R12" s="109"/>
      <c r="S12" s="109"/>
      <c r="T12" s="121" t="str">
        <f>IF(AE14="","",IF(AND(D14&gt;=10%,AE14="MIPYME"),"SI","NO"))</f>
        <v>SI</v>
      </c>
      <c r="U12" s="109"/>
      <c r="V12" s="109"/>
      <c r="W12" s="109"/>
      <c r="X12" s="109"/>
      <c r="Y12" s="109"/>
      <c r="Z12" s="109"/>
      <c r="AA12" s="109"/>
      <c r="AB12" s="202"/>
      <c r="AC12" s="318"/>
      <c r="AD12" s="318"/>
      <c r="AE12" s="319"/>
      <c r="AF12" s="320"/>
      <c r="AG12" s="318"/>
      <c r="AH12" s="320"/>
      <c r="AI12" s="318"/>
      <c r="AJ12" s="319"/>
    </row>
    <row r="13" spans="1:36" ht="33.75" customHeight="1">
      <c r="A13" s="257"/>
      <c r="B13" s="203">
        <v>1</v>
      </c>
      <c r="C13" s="204" t="s">
        <v>263</v>
      </c>
      <c r="D13" s="205">
        <f t="shared" ref="D13:L13" si="0">IF(ISERROR(SUM(D14:D15)),"",SUM(D14:D15))</f>
        <v>1</v>
      </c>
      <c r="E13" s="206">
        <f t="shared" si="0"/>
        <v>13761426295</v>
      </c>
      <c r="F13" s="206">
        <f t="shared" si="0"/>
        <v>18399586205</v>
      </c>
      <c r="G13" s="206">
        <f t="shared" si="0"/>
        <v>3812591122</v>
      </c>
      <c r="H13" s="206">
        <f t="shared" si="0"/>
        <v>3812591122</v>
      </c>
      <c r="I13" s="206">
        <f t="shared" si="0"/>
        <v>9948835173</v>
      </c>
      <c r="J13" s="206">
        <f t="shared" si="0"/>
        <v>14586995083</v>
      </c>
      <c r="K13" s="206">
        <f t="shared" si="0"/>
        <v>2980181487</v>
      </c>
      <c r="L13" s="207">
        <f t="shared" si="0"/>
        <v>139617111</v>
      </c>
      <c r="M13" s="208">
        <v>1</v>
      </c>
      <c r="N13" s="209">
        <f>IF(ISERROR(VLOOKUP(M13,POA!$A$2:$C$7,3,0)),"",VLOOKUP(M13,POA!$A$2:$C$7,3,0))</f>
        <v>4</v>
      </c>
      <c r="O13" s="210"/>
      <c r="P13" s="211">
        <f>+SUM(P14:P44)</f>
        <v>0</v>
      </c>
      <c r="Q13" s="212">
        <f>IF(ISERROR(VLOOKUP(M13,POA!$A$2:$C$7,2,0)),"",VLOOKUP(M13,POA!$A$2:$C$7,2,0))</f>
        <v>1200000000</v>
      </c>
      <c r="R13" s="206">
        <f>IF(M13="","",I13)</f>
        <v>9948835173</v>
      </c>
      <c r="S13" s="213" t="str">
        <f>IF(OR(M13="",Q13=""),"",IF($R13&gt;=(VLOOKUP(M13,POA!$A$2:$J$2,10,FALSE)*Q13),"CUMPLE","NO CUMPLE"))</f>
        <v>CUMPLE</v>
      </c>
      <c r="T13" s="214" t="str">
        <f>IF(M13="","",IF(COUNTIF(T14:T44,"SI")&gt;=1,"SI","NO"))</f>
        <v>SI</v>
      </c>
      <c r="U13" s="206">
        <f>IF(M13&lt;&gt;"",IF(ISERROR(SUM(E13/G13)),0,SUM(E13/G13)),"")</f>
        <v>3.6094681686666319</v>
      </c>
      <c r="V13" s="213" t="str">
        <f>IF(M13&lt;&gt;"",IF(OR(U13=0,M13="",Q13=""),"",IF(AND(T13="SI",U13&gt;=$V$9),"CUMPLE",IF(U13&gt;=$V$10,"CUMPLE","NO CUMPLE"))),"")</f>
        <v>CUMPLE</v>
      </c>
      <c r="W13" s="215">
        <f>IF(M13&lt;&gt;"",IF(ISERROR(SUM(H13/F13)),0,SUM(H13/F13)),"")</f>
        <v>0.20721069917126433</v>
      </c>
      <c r="X13" s="213" t="str">
        <f>IF(OR(W13=0,M13="",Q13=""),"",IF(AND(T13="SI",W13&lt;=$X$9),"CUMPLE",IF(W13&lt;=$X$10,"CUMPLE","NO CUMPLE")))</f>
        <v>CUMPLE</v>
      </c>
      <c r="Y13" s="211">
        <f>+SUM(Y14:Y44)</f>
        <v>0</v>
      </c>
      <c r="Z13" s="216">
        <f>IF(ISERROR(SUM(K13/L13)),0,SUM(K13/L13))</f>
        <v>21.345388582062839</v>
      </c>
      <c r="AA13" s="213" t="str">
        <f>IF(M13&lt;&gt;"",IF(OR(M13="",Q13=""),"",IF(AND(T13="SI",Z13&gt;=$AA$9),"CUMPLE",IF(Z13&gt;=$AA$10,"CUMPLE","NO CUMPLE"))),"")</f>
        <v>CUMPLE</v>
      </c>
      <c r="AB13" s="217" t="str">
        <f>IF(OR(S13="",V13="",X13="",AA13=""),"",IF(OR(S13="NO CUMPLE",V13="NO CUMPLE",X13="NO CUMPLE",AA13="NO CUMPLE",COUNTIF(AB14:AB44,"NO CUMPLE")&gt;0),"NO CUMPLE"," CUMPLE"))</f>
        <v xml:space="preserve"> CUMPLE</v>
      </c>
      <c r="AC13" s="218">
        <v>2021</v>
      </c>
      <c r="AD13" s="219">
        <f>IF(ISERROR(F13/VLOOKUP(AC13,$AD$8:$AE$10,2)),"",F13/VLOOKUP(AC13,$AD$8:$AE$10,2))</f>
        <v>20252.129498770537</v>
      </c>
      <c r="AE13" s="220"/>
      <c r="AF13" s="221">
        <f>IF(AC13="","",IF(ISNUMBER(AC13),IF(ISERROR(SUM(K13/J13)),0,SUM(K13/J13))))</f>
        <v>0.20430400298641138</v>
      </c>
      <c r="AG13" s="213" t="str">
        <f>IF(OR(M13="",Q13=""),"",IF(AND(T13="SI",AF13&gt;=$AG$9),"CUMPLE",IF(AF13&gt;=$AG$10,"CUMPLE","NO CUMPLE")))</f>
        <v>CUMPLE</v>
      </c>
      <c r="AH13" s="222">
        <f>IF(ISERROR(SUM(K13/F13)),0,SUM(K13/F13))</f>
        <v>0.16197002768410901</v>
      </c>
      <c r="AI13" s="213" t="str">
        <f>IF(OR(M13="",Q13=""),"",IF(AND(T13="SI",AH13&gt;=$AI$9),"CUMPLE",IF(AH13&gt;=$AI$10,"CUMPLE","NO CUMPLE")))</f>
        <v>CUMPLE</v>
      </c>
      <c r="AJ13" s="223" t="str">
        <f>IF(OR(AG13="",AI13=""),"",IF(OR(AG13="NO CUMPLE",AI13="NO CUMPLE",COUNTIF(AJ14:AJ44,"NO CUMPLE")&gt;0),"NO CUMPLE","CUMPLE"))</f>
        <v>CUMPLE</v>
      </c>
    </row>
    <row r="14" spans="1:36" ht="14.5">
      <c r="A14" s="321"/>
      <c r="B14" s="224">
        <v>1.1000000000000001</v>
      </c>
      <c r="C14" s="281" t="s">
        <v>264</v>
      </c>
      <c r="D14" s="226">
        <v>0.9</v>
      </c>
      <c r="E14" s="227">
        <v>644027281</v>
      </c>
      <c r="F14" s="227">
        <v>767775781</v>
      </c>
      <c r="G14" s="227">
        <v>260831249</v>
      </c>
      <c r="H14" s="227">
        <v>260831249</v>
      </c>
      <c r="I14" s="227">
        <f t="shared" ref="I14:J44" si="1">IF(ISERROR(E14-G14),"",E14-G14)</f>
        <v>383196032</v>
      </c>
      <c r="J14" s="227">
        <f t="shared" si="1"/>
        <v>506944532</v>
      </c>
      <c r="K14" s="227">
        <v>709793631</v>
      </c>
      <c r="L14" s="227">
        <v>2017847</v>
      </c>
      <c r="M14" s="228"/>
      <c r="N14" s="229" t="str">
        <f>IF(ISERROR(VLOOKUP(M14,POA!$A$2:$C$7,3,0)),"",VLOOKUP(M14,POA!$A$2:$C$7,3,0))</f>
        <v/>
      </c>
      <c r="O14" s="230"/>
      <c r="P14" s="230" t="str">
        <f>IF(ISERROR(VLOOKUP(O14,POA!$A$2:$F$7,4,0)),"",VLOOKUP(O14,POA!$A$2:$F$7,4,0))</f>
        <v/>
      </c>
      <c r="Q14" s="231" t="str">
        <f>IF(ISERROR(VLOOKUP(M14,POA!$A$2:$C$7,2,0)),"",VLOOKUP(M14,POA!$A$2:$C$7,2,0))</f>
        <v/>
      </c>
      <c r="R14" s="232" t="str">
        <f t="shared" ref="R14:R44" si="2">IF(M14="","",I14)</f>
        <v/>
      </c>
      <c r="S14" s="233" t="str">
        <f>IF(OR(M14="",Q14=""),"",IF($R13&gt;=(VLOOKUP(M14,POA!$A$2:$J$2,10,FALSE)*Q14),"CUMPLE","NO CUMPLE"))</f>
        <v/>
      </c>
      <c r="T14" s="234" t="s">
        <v>119</v>
      </c>
      <c r="U14" s="232"/>
      <c r="V14" s="233" t="str">
        <f>IF(M14&lt;&gt;"",IF(OR(U13=0,M14="",Q14=""),"",IF(AND(T13="SI",U13&gt;=$V$9),"CUMPLE",IF(U13&gt;=$V$10,"CUMPLE","NO CUMPLE"))),"")</f>
        <v/>
      </c>
      <c r="W14" s="235"/>
      <c r="X14" s="233" t="str">
        <f>IF(OR(W13=0,M14="",Q14=""),"",IF(AND(T13="SI",W13&lt;=$X$9),"CUMPLE",IF(W13&lt;=$X$10,"CUMPLE","NO CUMPLE")))</f>
        <v/>
      </c>
      <c r="Y14" s="236" t="s">
        <v>120</v>
      </c>
      <c r="Z14" s="236"/>
      <c r="AA14" s="233" t="str">
        <f>IF(M14&lt;&gt;"",IF(OR(M14="",Q14=""),"",IF(AND(T13="SI",Z13&gt;=$AA$9),"CUMPLE",IF(Z13&gt;=$AA$10,"CUMPLE","NO CUMPLE"))),"")</f>
        <v/>
      </c>
      <c r="AB14" s="237" t="str">
        <f>IF(OR(S14="",V14="",X14="",AA14=""),"",IF(S14="NO CUMPLE","NO CUMPLE",IF(V14="NO  CUMPLE","NO CUMPLE",IF(X14="NO  CUMPLE","NO  CUMPLE",IF(AA14="NO  CUMPLE","NO  CUMPLE",IF(AA14="NO  CUMPLE","NO  CUMPLE"," CUMPLE"))))))</f>
        <v/>
      </c>
      <c r="AC14" s="238">
        <v>2021</v>
      </c>
      <c r="AD14" s="239">
        <f>IF(ISERROR(F14/VLOOKUP(AC14,$AD$8:$AE$10,2)),"",F14/VLOOKUP(AC14,$AD$8:$AE$10,2))</f>
        <v>845.07849087422926</v>
      </c>
      <c r="AE14" s="240" t="str">
        <f t="shared" ref="AE14:AE44" si="3">IF(OR(B14="",C14=""),"",IF(AND(AD14&gt;=500,AD14&lt;=30000),"MIPYME","NO CUMPLE"))</f>
        <v>MIPYME</v>
      </c>
      <c r="AF14" s="241"/>
      <c r="AG14" s="233" t="str">
        <f>IF(OR(M14="",Q14=""),"",IF(AND(T13="SI",AF13&gt;=$AG$9),"CUMPLE",IF(AF13&gt;=$AG$10,"CUMPLE","NO CUMPLE")))</f>
        <v/>
      </c>
      <c r="AH14" s="241"/>
      <c r="AI14" s="233" t="str">
        <f>IF(OR(M14="",Q14=""),"",IF(AND(T13="SI",AH13&gt;=$AI$9),"CUMPLE",IF(AH13&gt;=$AI$10,"CUMPLE","NO CUMPLE")))</f>
        <v/>
      </c>
      <c r="AJ14" s="242" t="str">
        <f>IF(OR(AG14="",AI14=""),"",IF(AG14="NO CUMPLE","NO CUMPLE",IF(AI14="NO CUMPLE","NO CUMPLE",IF(AI14="NO CUMPLE","NO CUMPLE","CUMPLE"))))</f>
        <v/>
      </c>
    </row>
    <row r="15" spans="1:36" ht="14.5" thickBot="1">
      <c r="A15" s="321"/>
      <c r="B15" s="224">
        <v>1.2</v>
      </c>
      <c r="C15" s="243" t="s">
        <v>265</v>
      </c>
      <c r="D15" s="226">
        <v>0.1</v>
      </c>
      <c r="E15" s="227">
        <v>13117399014</v>
      </c>
      <c r="F15" s="227">
        <v>17631810424</v>
      </c>
      <c r="G15" s="227">
        <v>3551759873</v>
      </c>
      <c r="H15" s="227">
        <v>3551759873</v>
      </c>
      <c r="I15" s="227">
        <f t="shared" si="1"/>
        <v>9565639141</v>
      </c>
      <c r="J15" s="227">
        <f t="shared" si="1"/>
        <v>14080050551</v>
      </c>
      <c r="K15" s="227">
        <v>2270387856</v>
      </c>
      <c r="L15" s="227">
        <v>137599264</v>
      </c>
      <c r="M15" s="228"/>
      <c r="N15" s="229" t="str">
        <f>IF(ISERROR(VLOOKUP(M15,POA!$A$2:$C$7,3,0)),"",VLOOKUP(M15,POA!$A$2:$C$7,3,0))</f>
        <v/>
      </c>
      <c r="O15" s="230"/>
      <c r="P15" s="230" t="str">
        <f>IF(ISERROR(VLOOKUP(O15,POA!$A$2:$F$7,4,0)),"",VLOOKUP(O15,POA!$A$2:$F$7,4,0))</f>
        <v/>
      </c>
      <c r="Q15" s="231" t="str">
        <f>IF(ISERROR(VLOOKUP(M15,POA!$A$2:$C$7,2,0)),"",VLOOKUP(M15,POA!$A$2:$C$7,2,0))</f>
        <v/>
      </c>
      <c r="R15" s="232" t="str">
        <f t="shared" si="2"/>
        <v/>
      </c>
      <c r="S15" s="233" t="str">
        <f>IF(OR(M15="",Q15=""),"",IF($R13&gt;=(VLOOKUP(M15,POA!$A$2:$J$2,10,FALSE)*Q15),"CUMPLE","NO CUMPLE"))</f>
        <v/>
      </c>
      <c r="T15" s="234" t="s">
        <v>119</v>
      </c>
      <c r="U15" s="232"/>
      <c r="V15" s="233" t="str">
        <f>IF(M15&lt;&gt;"",IF(OR(U13=0,M15="",Q15=""),"",IF(AND(T13="SI",U13&gt;=$V$9),"CUMPLE",IF(U13&gt;=$V$10,"CUMPLE","NO CUMPLE"))),"")</f>
        <v/>
      </c>
      <c r="W15" s="235"/>
      <c r="X15" s="233" t="str">
        <f>IF(OR(W13=0,M15="",Q15=""),"",IF(AND(T13="SI",W13&lt;=$X$9),"CUMPLE",IF(W13&lt;=$X$10,"CUMPLE","NO CUMPLE")))</f>
        <v/>
      </c>
      <c r="Y15" s="236" t="s">
        <v>120</v>
      </c>
      <c r="Z15" s="236"/>
      <c r="AA15" s="233" t="str">
        <f>IF(M15&lt;&gt;"",IF(OR(M15="",Q15=""),"",IF(AND(T13="SI",Z13&gt;=$AA$9),"CUMPLE",IF(Z13&gt;=$AA$10,"CUMPLE","NO CUMPLE"))),"")</f>
        <v/>
      </c>
      <c r="AB15" s="237" t="str">
        <f>IF(OR(S15="",V15="",X15="",AA15=""),"",IF(S15="NO CUMPLE","NO CUMPLE",IF(V15="NO  CUMPLE","NO CUMPLE",IF(X15="NO  CUMPLE","NO  CUMPLE",IF(AA15="NO  CUMPLE","NO  CUMPLE",IF(AA15="NO  CUMPLE","NO  CUMPLE"," CUMPLE"))))))</f>
        <v/>
      </c>
      <c r="AC15" s="238">
        <v>2021</v>
      </c>
      <c r="AD15" s="239">
        <f t="shared" ref="AD15:AD44" si="4">IF(ISERROR(F15/VLOOKUP(AC15,$AD$8:$AE$10,2)),"",F15/VLOOKUP(AC15,$AD$8:$AE$10,2))</f>
        <v>19407.051007896305</v>
      </c>
      <c r="AE15" s="240" t="str">
        <f t="shared" si="3"/>
        <v>MIPYME</v>
      </c>
      <c r="AF15" s="241"/>
      <c r="AG15" s="233" t="str">
        <f>IF(OR(M15="",Q15=""),"",IF(AND(T13="SI",AF13&gt;=$AG$9),"CUMPLE",IF(AF13&gt;=$AG$10,"CUMPLE","NO CUMPLE")))</f>
        <v/>
      </c>
      <c r="AH15" s="241"/>
      <c r="AI15" s="233" t="str">
        <f>IF(OR(M15="",Q15=""),"",IF(AND(T13="SI",AH13&gt;=$AI$9),"CUMPLE",IF(AH13&gt;=$AI$10,"CUMPLE","NO CUMPLE")))</f>
        <v/>
      </c>
      <c r="AJ15" s="242" t="str">
        <f t="shared" ref="AJ15:AJ44" si="5">IF(OR(AG15="",AI15=""),"",IF(AG15="NO CUMPLE","NO CUMPLE",IF(AI15="NO CUMPLE","NO CUMPLE",IF(AI15="NO CUMPLE","NO CUMPLE","CUMPLE"))))</f>
        <v/>
      </c>
    </row>
    <row r="16" spans="1:36" ht="33.75" customHeight="1">
      <c r="A16" s="257"/>
      <c r="B16" s="203">
        <v>2</v>
      </c>
      <c r="C16" s="204" t="s">
        <v>266</v>
      </c>
      <c r="D16" s="205">
        <f t="shared" ref="D16:L16" si="6">IF(ISERROR(SUM(D17:D19)),"",SUM(D17:D19))</f>
        <v>1</v>
      </c>
      <c r="E16" s="206">
        <f t="shared" si="6"/>
        <v>1220423662</v>
      </c>
      <c r="F16" s="206">
        <f t="shared" si="6"/>
        <v>2256423662</v>
      </c>
      <c r="G16" s="206">
        <f t="shared" si="6"/>
        <v>70538048</v>
      </c>
      <c r="H16" s="206">
        <f t="shared" si="6"/>
        <v>70538048</v>
      </c>
      <c r="I16" s="206">
        <f t="shared" si="6"/>
        <v>1149885614</v>
      </c>
      <c r="J16" s="206">
        <f t="shared" si="6"/>
        <v>2185885614</v>
      </c>
      <c r="K16" s="206">
        <f t="shared" si="6"/>
        <v>251921600</v>
      </c>
      <c r="L16" s="207">
        <f t="shared" si="6"/>
        <v>2300000</v>
      </c>
      <c r="M16" s="208">
        <v>1</v>
      </c>
      <c r="N16" s="209">
        <f>IF(ISERROR(VLOOKUP(M16,POA!$A$2:$C$7,3,0)),"",VLOOKUP(M16,POA!$A$2:$C$7,3,0))</f>
        <v>4</v>
      </c>
      <c r="O16" s="210"/>
      <c r="P16" s="211">
        <f>+SUM(P17:P47)</f>
        <v>0</v>
      </c>
      <c r="Q16" s="212">
        <f>IF(ISERROR(VLOOKUP(M16,POA!$A$2:$C$7,2,0)),"",VLOOKUP(M16,POA!$A$2:$C$7,2,0))</f>
        <v>1200000000</v>
      </c>
      <c r="R16" s="206">
        <f>IF(M16="","",I16)</f>
        <v>1149885614</v>
      </c>
      <c r="S16" s="213" t="str">
        <f>IF(OR(M16="",Q16=""),"",IF($R16&gt;=(VLOOKUP(M16,POA!$A$2:$J$2,10,FALSE)*Q16),"CUMPLE","NO CUMPLE"))</f>
        <v>CUMPLE</v>
      </c>
      <c r="T16" s="214" t="str">
        <f>IF(M16="","",IF(COUNTIF(T17:T47,"SI")&gt;=1,"SI","NO"))</f>
        <v>SI</v>
      </c>
      <c r="U16" s="206">
        <f>IF(M16&lt;&gt;"",IF(ISERROR(SUM(E16/G16)),0,SUM(E16/G16)),"")</f>
        <v>17.301636444490214</v>
      </c>
      <c r="V16" s="213" t="str">
        <f>IF(M16&lt;&gt;"",IF(OR(U16=0,M16="",Q16=""),"",IF(AND(T16="SI",U16&gt;=$V$9),"CUMPLE",IF(U16&gt;=$V$10,"CUMPLE","NO CUMPLE"))),"")</f>
        <v>CUMPLE</v>
      </c>
      <c r="W16" s="215">
        <f>IF(M16&lt;&gt;"",IF(ISERROR(SUM(H16/F16)),0,SUM(H16/F16)),"")</f>
        <v>3.1260994638514832E-2</v>
      </c>
      <c r="X16" s="213" t="str">
        <f>IF(OR(W16=0,M16="",Q16=""),"",IF(AND(T16="SI",W16&lt;=$X$9),"CUMPLE",IF(W16&lt;=$X$10,"CUMPLE","NO CUMPLE")))</f>
        <v>CUMPLE</v>
      </c>
      <c r="Y16" s="211">
        <f>+SUM(Y17:Y47)</f>
        <v>0</v>
      </c>
      <c r="Z16" s="216">
        <f>IF(ISERROR(SUM(K16/L16)),0,SUM(K16/L16))</f>
        <v>109.53113043478261</v>
      </c>
      <c r="AA16" s="213" t="str">
        <f>IF(M16&lt;&gt;"",IF(OR(M16="",Q16=""),"",IF(AND(T16="SI",Z16&gt;=$AA$9),"CUMPLE",IF(Z16&gt;=$AA$10,"CUMPLE","NO CUMPLE"))),"")</f>
        <v>CUMPLE</v>
      </c>
      <c r="AB16" s="217" t="str">
        <f>IF(OR(S16="",V16="",X16="",AA16=""),"",IF(OR(S16="NO CUMPLE",V16="NO CUMPLE",X16="NO CUMPLE",AA16="NO CUMPLE",COUNTIF(AB17:AB47,"NO CUMPLE")&gt;0),"NO CUMPLE"," CUMPLE"))</f>
        <v xml:space="preserve"> CUMPLE</v>
      </c>
      <c r="AC16" s="218">
        <v>2021</v>
      </c>
      <c r="AD16" s="219">
        <f>IF(ISERROR(F16/VLOOKUP(AC16,$AD$8:$AE$10,2)),"",F16/VLOOKUP(AC16,$AD$8:$AE$10,2))</f>
        <v>2483.6093430457686</v>
      </c>
      <c r="AE16" s="220"/>
      <c r="AF16" s="221">
        <f>IF(AC16="","",IF(ISNUMBER(AC16),IF(ISERROR(SUM(K16/J16)),0,SUM(K16/J16))))</f>
        <v>0.11524921449983978</v>
      </c>
      <c r="AG16" s="213" t="str">
        <f>IF(OR(M16="",Q16=""),"",IF(AND(T16="SI",AF16&gt;=$AG$9),"CUMPLE",IF(AF16&gt;=$AG$10,"CUMPLE","NO CUMPLE")))</f>
        <v>CUMPLE</v>
      </c>
      <c r="AH16" s="222">
        <f>IF(ISERROR(SUM(K16/F16)),0,SUM(K16/F16))</f>
        <v>0.11164640942326726</v>
      </c>
      <c r="AI16" s="213" t="str">
        <f>IF(OR(M16="",Q16=""),"",IF(AND(T16="SI",AH16&gt;=$AI$9),"CUMPLE",IF(AH16&gt;=$AI$10,"CUMPLE","NO CUMPLE")))</f>
        <v>CUMPLE</v>
      </c>
      <c r="AJ16" s="223" t="str">
        <f>IF(OR(AG16="",AI16=""),"",IF(OR(AG16="NO CUMPLE",AI16="NO CUMPLE",COUNTIF(AJ17:AJ47,"NO CUMPLE")&gt;0),"NO CUMPLE","CUMPLE"))</f>
        <v>CUMPLE</v>
      </c>
    </row>
    <row r="17" spans="1:36" ht="14">
      <c r="A17" s="321"/>
      <c r="B17" s="224">
        <v>2.1</v>
      </c>
      <c r="C17" s="225" t="s">
        <v>266</v>
      </c>
      <c r="D17" s="226">
        <v>1</v>
      </c>
      <c r="E17" s="227">
        <v>1220423662</v>
      </c>
      <c r="F17" s="227">
        <v>2256423662</v>
      </c>
      <c r="G17" s="227">
        <v>70538048</v>
      </c>
      <c r="H17" s="227">
        <v>70538048</v>
      </c>
      <c r="I17" s="227">
        <f t="shared" ref="I17:I18" si="7">IF(ISERROR(E17-G17),"",E17-G17)</f>
        <v>1149885614</v>
      </c>
      <c r="J17" s="227">
        <f t="shared" ref="J17:J18" si="8">IF(ISERROR(F17-H17),"",F17-H17)</f>
        <v>2185885614</v>
      </c>
      <c r="K17" s="227">
        <v>251921600</v>
      </c>
      <c r="L17" s="227">
        <v>2300000</v>
      </c>
      <c r="M17" s="228"/>
      <c r="N17" s="229" t="str">
        <f>IF(ISERROR(VLOOKUP(M17,POA!$A$2:$C$7,3,0)),"",VLOOKUP(M17,POA!$A$2:$C$7,3,0))</f>
        <v/>
      </c>
      <c r="O17" s="230"/>
      <c r="P17" s="230" t="str">
        <f>IF(ISERROR(VLOOKUP(O17,POA!$A$2:$F$7,4,0)),"",VLOOKUP(O17,POA!$A$2:$F$7,4,0))</f>
        <v/>
      </c>
      <c r="Q17" s="231" t="str">
        <f>IF(ISERROR(VLOOKUP(M17,POA!$A$2:$C$7,2,0)),"",VLOOKUP(M17,POA!$A$2:$C$7,2,0))</f>
        <v/>
      </c>
      <c r="R17" s="232" t="str">
        <f t="shared" ref="R17:R18" si="9">IF(M17="","",I17)</f>
        <v/>
      </c>
      <c r="S17" s="233" t="str">
        <f>IF(OR(M17="",Q17=""),"",IF($R16&gt;=(VLOOKUP(M17,POA!$A$2:$J$2,10,FALSE)*Q17),"CUMPLE","NO CUMPLE"))</f>
        <v/>
      </c>
      <c r="T17" s="234" t="s">
        <v>119</v>
      </c>
      <c r="U17" s="232"/>
      <c r="V17" s="233" t="str">
        <f>IF(M17&lt;&gt;"",IF(OR(U16=0,M17="",Q17=""),"",IF(AND(T16="SI",U16&gt;=$V$9),"CUMPLE",IF(U16&gt;=$V$10,"CUMPLE","NO CUMPLE"))),"")</f>
        <v/>
      </c>
      <c r="W17" s="235"/>
      <c r="X17" s="233" t="str">
        <f>IF(OR(W16=0,M17="",Q17=""),"",IF(AND(T16="SI",W16&lt;=$X$9),"CUMPLE",IF(W16&lt;=$X$10,"CUMPLE","NO CUMPLE")))</f>
        <v/>
      </c>
      <c r="Y17" s="236" t="s">
        <v>120</v>
      </c>
      <c r="Z17" s="236"/>
      <c r="AA17" s="233" t="str">
        <f>IF(M17&lt;&gt;"",IF(OR(M17="",Q17=""),"",IF(AND(T16="SI",Z16&gt;=$AA$9),"CUMPLE",IF(Z16&gt;=$AA$10,"CUMPLE","NO CUMPLE"))),"")</f>
        <v/>
      </c>
      <c r="AB17" s="237" t="str">
        <f>IF(OR(S17="",V17="",X17="",AA17=""),"",IF(S17="NO CUMPLE","NO CUMPLE",IF(V17="NO  CUMPLE","NO CUMPLE",IF(X17="NO  CUMPLE","NO  CUMPLE",IF(AA17="NO  CUMPLE","NO  CUMPLE",IF(AA17="NO  CUMPLE","NO  CUMPLE"," CUMPLE"))))))</f>
        <v/>
      </c>
      <c r="AC17" s="238">
        <v>2021</v>
      </c>
      <c r="AD17" s="239">
        <f>IF(ISERROR(F17/VLOOKUP(AC17,$AD$8:$AE$10,2)),"",F17/VLOOKUP(AC17,$AD$8:$AE$10,2))</f>
        <v>2483.6093430457686</v>
      </c>
      <c r="AE17" s="240" t="str">
        <f t="shared" ref="AE17:AE18" si="10">IF(OR(B17="",C17=""),"",IF(AND(AD17&gt;=500,AD17&lt;=30000),"MIPYME","NO CUMPLE"))</f>
        <v>MIPYME</v>
      </c>
      <c r="AF17" s="241"/>
      <c r="AG17" s="233" t="str">
        <f>IF(OR(M17="",Q17=""),"",IF(AND(T16="SI",AF16&gt;=$AG$9),"CUMPLE",IF(AF16&gt;=$AG$10,"CUMPLE","NO CUMPLE")))</f>
        <v/>
      </c>
      <c r="AH17" s="241"/>
      <c r="AI17" s="233" t="str">
        <f>IF(OR(M17="",Q17=""),"",IF(AND(T16="SI",AH16&gt;=$AI$9),"CUMPLE",IF(AH16&gt;=$AI$10,"CUMPLE","NO CUMPLE")))</f>
        <v/>
      </c>
      <c r="AJ17" s="242" t="str">
        <f>IF(OR(AG17="",AI17=""),"",IF(AG17="NO CUMPLE","NO CUMPLE",IF(AI17="NO CUMPLE","NO CUMPLE",IF(AI17="NO CUMPLE","NO CUMPLE","CUMPLE"))))</f>
        <v/>
      </c>
    </row>
    <row r="18" spans="1:36" ht="14">
      <c r="A18" s="321"/>
      <c r="B18" s="224"/>
      <c r="C18" s="258"/>
      <c r="D18" s="226"/>
      <c r="E18" s="227"/>
      <c r="F18" s="227"/>
      <c r="G18" s="227"/>
      <c r="H18" s="227"/>
      <c r="I18" s="227">
        <f t="shared" si="7"/>
        <v>0</v>
      </c>
      <c r="J18" s="227">
        <f t="shared" si="8"/>
        <v>0</v>
      </c>
      <c r="K18" s="227"/>
      <c r="L18" s="227"/>
      <c r="M18" s="228"/>
      <c r="N18" s="229" t="str">
        <f>IF(ISERROR(VLOOKUP(M18,POA!$A$2:$C$7,3,0)),"",VLOOKUP(M18,POA!$A$2:$C$7,3,0))</f>
        <v/>
      </c>
      <c r="O18" s="230"/>
      <c r="P18" s="230" t="str">
        <f>IF(ISERROR(VLOOKUP(O18,POA!$A$2:$F$7,4,0)),"",VLOOKUP(O18,POA!$A$2:$F$7,4,0))</f>
        <v/>
      </c>
      <c r="Q18" s="231" t="str">
        <f>IF(ISERROR(VLOOKUP(M18,POA!$A$2:$C$7,2,0)),"",VLOOKUP(M18,POA!$A$2:$C$7,2,0))</f>
        <v/>
      </c>
      <c r="R18" s="232" t="str">
        <f t="shared" si="9"/>
        <v/>
      </c>
      <c r="S18" s="233" t="str">
        <f>IF(OR(M18="",Q18=""),"",IF($R16&gt;=(VLOOKUP(M18,POA!$A$2:$J$2,10,FALSE)*Q18),"CUMPLE","NO CUMPLE"))</f>
        <v/>
      </c>
      <c r="T18" s="234" t="s">
        <v>119</v>
      </c>
      <c r="U18" s="232"/>
      <c r="V18" s="233" t="str">
        <f>IF(M18&lt;&gt;"",IF(OR(U16=0,M18="",Q18=""),"",IF(AND(T16="SI",U16&gt;=$V$9),"CUMPLE",IF(U16&gt;=$V$10,"CUMPLE","NO CUMPLE"))),"")</f>
        <v/>
      </c>
      <c r="W18" s="235"/>
      <c r="X18" s="233" t="str">
        <f>IF(OR(W16=0,M18="",Q18=""),"",IF(AND(T16="SI",W16&lt;=$X$9),"CUMPLE",IF(W16&lt;=$X$10,"CUMPLE","NO CUMPLE")))</f>
        <v/>
      </c>
      <c r="Y18" s="236" t="s">
        <v>120</v>
      </c>
      <c r="Z18" s="236"/>
      <c r="AA18" s="233" t="str">
        <f>IF(M18&lt;&gt;"",IF(OR(M18="",Q18=""),"",IF(AND(T16="SI",Z16&gt;=$AA$9),"CUMPLE",IF(Z16&gt;=$AA$10,"CUMPLE","NO CUMPLE"))),"")</f>
        <v/>
      </c>
      <c r="AB18" s="237" t="str">
        <f>IF(OR(S18="",V18="",X18="",AA18=""),"",IF(S18="NO CUMPLE","NO CUMPLE",IF(V18="NO  CUMPLE","NO CUMPLE",IF(X18="NO  CUMPLE","NO  CUMPLE",IF(AA18="NO  CUMPLE","NO  CUMPLE",IF(AA18="NO  CUMPLE","NO  CUMPLE"," CUMPLE"))))))</f>
        <v/>
      </c>
      <c r="AC18" s="238">
        <v>2021</v>
      </c>
      <c r="AD18" s="239">
        <f t="shared" ref="AD18" si="11">IF(ISERROR(F18/VLOOKUP(AC18,$AD$8:$AE$10,2)),"",F18/VLOOKUP(AC18,$AD$8:$AE$10,2))</f>
        <v>0</v>
      </c>
      <c r="AE18" s="240" t="str">
        <f t="shared" si="10"/>
        <v/>
      </c>
      <c r="AF18" s="241"/>
      <c r="AG18" s="233" t="str">
        <f>IF(OR(M18="",Q18=""),"",IF(AND(T16="SI",AF16&gt;=$AG$9),"CUMPLE",IF(AF16&gt;=$AG$10,"CUMPLE","NO CUMPLE")))</f>
        <v/>
      </c>
      <c r="AH18" s="241"/>
      <c r="AI18" s="233" t="str">
        <f>IF(OR(M18="",Q18=""),"",IF(AND(T16="SI",AH16&gt;=$AI$9),"CUMPLE",IF(AH16&gt;=$AI$10,"CUMPLE","NO CUMPLE")))</f>
        <v/>
      </c>
      <c r="AJ18" s="242" t="str">
        <f t="shared" ref="AJ18" si="12">IF(OR(AG18="",AI18=""),"",IF(AG18="NO CUMPLE","NO CUMPLE",IF(AI18="NO CUMPLE","NO CUMPLE",IF(AI18="NO CUMPLE","NO CUMPLE","CUMPLE"))))</f>
        <v/>
      </c>
    </row>
    <row r="19" spans="1:36" ht="14.5" thickBot="1">
      <c r="A19" s="321"/>
      <c r="B19" s="224" t="str">
        <f t="shared" ref="B19" si="13">IF(C19="","",B18+0.1)</f>
        <v/>
      </c>
      <c r="C19" s="260"/>
      <c r="D19" s="226"/>
      <c r="E19" s="227"/>
      <c r="F19" s="227"/>
      <c r="G19" s="227"/>
      <c r="H19" s="227"/>
      <c r="I19" s="227">
        <f t="shared" ref="I19" si="14">IF(ISERROR(E19-G19),"",E19-G19)</f>
        <v>0</v>
      </c>
      <c r="J19" s="227">
        <f t="shared" ref="J19" si="15">IF(ISERROR(F19-H19),"",F19-H19)</f>
        <v>0</v>
      </c>
      <c r="K19" s="227"/>
      <c r="L19" s="227"/>
      <c r="M19" s="228"/>
      <c r="N19" s="229" t="str">
        <f>IF(ISERROR(VLOOKUP(M19,POA!$A$2:$C$7,3,0)),"",VLOOKUP(M19,POA!$A$2:$C$7,3,0))</f>
        <v/>
      </c>
      <c r="O19" s="230"/>
      <c r="P19" s="230" t="str">
        <f>IF(ISERROR(VLOOKUP(O19,POA!$A$2:$F$7,4,0)),"",VLOOKUP(O19,POA!$A$2:$F$7,4,0))</f>
        <v/>
      </c>
      <c r="Q19" s="231" t="str">
        <f>IF(ISERROR(VLOOKUP(M19,POA!$A$2:$C$7,2,0)),"",VLOOKUP(M19,POA!$A$2:$C$7,2,0))</f>
        <v/>
      </c>
      <c r="R19" s="232" t="str">
        <f t="shared" ref="R19" si="16">IF(M19="","",I19)</f>
        <v/>
      </c>
      <c r="S19" s="233" t="str">
        <f>IF(OR(M19="",Q19=""),"",IF($R17&gt;=(VLOOKUP(M19,POA!$A$2:$J$2,10,FALSE)*Q19),"CUMPLE","NO CUMPLE"))</f>
        <v/>
      </c>
      <c r="T19" s="234" t="s">
        <v>119</v>
      </c>
      <c r="U19" s="232"/>
      <c r="V19" s="233" t="str">
        <f>IF(M19&lt;&gt;"",IF(OR(U17=0,M19="",Q19=""),"",IF(AND(T17="SI",U17&gt;=$V$9),"CUMPLE",IF(U17&gt;=$V$10,"CUMPLE","NO CUMPLE"))),"")</f>
        <v/>
      </c>
      <c r="W19" s="235"/>
      <c r="X19" s="233" t="str">
        <f>IF(OR(W17=0,M19="",Q19=""),"",IF(AND(T17="SI",W17&lt;=$X$9),"CUMPLE",IF(W17&lt;=$X$10,"CUMPLE","NO CUMPLE")))</f>
        <v/>
      </c>
      <c r="Y19" s="236" t="s">
        <v>120</v>
      </c>
      <c r="Z19" s="236"/>
      <c r="AA19" s="233" t="str">
        <f>IF(M19&lt;&gt;"",IF(OR(M19="",Q19=""),"",IF(AND(T17="SI",Z17&gt;=$AA$9),"CUMPLE",IF(Z17&gt;=$AA$10,"CUMPLE","NO CUMPLE"))),"")</f>
        <v/>
      </c>
      <c r="AB19" s="237" t="str">
        <f>IF(OR(S19="",V19="",X19="",AA19=""),"",IF(S19="NO CUMPLE","NO CUMPLE",IF(V19="NO  CUMPLE","NO CUMPLE",IF(X19="NO  CUMPLE","NO  CUMPLE",IF(AA19="NO  CUMPLE","NO  CUMPLE",IF(AA19="NO  CUMPLE","NO  CUMPLE"," CUMPLE"))))))</f>
        <v/>
      </c>
      <c r="AC19" s="238">
        <v>2021</v>
      </c>
      <c r="AD19" s="239">
        <f t="shared" ref="AD19" si="17">IF(ISERROR(F19/VLOOKUP(AC19,$AD$8:$AE$10,2)),"",F19/VLOOKUP(AC19,$AD$8:$AE$10,2))</f>
        <v>0</v>
      </c>
      <c r="AE19" s="240" t="str">
        <f t="shared" ref="AE19" si="18">IF(OR(B19="",C19=""),"",IF(AND(AD19&gt;=500,AD19&lt;=30000),"MIPYME","NO CUMPLE"))</f>
        <v/>
      </c>
      <c r="AF19" s="241"/>
      <c r="AG19" s="233" t="str">
        <f>IF(OR(M19="",Q19=""),"",IF(AND(T17="SI",AF17&gt;=$AG$9),"CUMPLE",IF(AF17&gt;=$AG$10,"CUMPLE","NO CUMPLE")))</f>
        <v/>
      </c>
      <c r="AH19" s="241"/>
      <c r="AI19" s="233" t="str">
        <f>IF(OR(M19="",Q19=""),"",IF(AND(T17="SI",AH17&gt;=$AI$9),"CUMPLE",IF(AH17&gt;=$AI$10,"CUMPLE","NO CUMPLE")))</f>
        <v/>
      </c>
      <c r="AJ19" s="242" t="str">
        <f t="shared" ref="AJ19" si="19">IF(OR(AG19="",AI19=""),"",IF(AG19="NO CUMPLE","NO CUMPLE",IF(AI19="NO CUMPLE","NO CUMPLE",IF(AI19="NO CUMPLE","NO CUMPLE","CUMPLE"))))</f>
        <v/>
      </c>
    </row>
    <row r="20" spans="1:36" ht="33.75" customHeight="1">
      <c r="A20" s="257"/>
      <c r="B20" s="203">
        <v>3</v>
      </c>
      <c r="C20" s="204" t="s">
        <v>267</v>
      </c>
      <c r="D20" s="205">
        <f t="shared" ref="D20:L20" si="20">IF(ISERROR(SUM(D21:D21)),"",SUM(D21:D21))</f>
        <v>1</v>
      </c>
      <c r="E20" s="206">
        <f t="shared" si="20"/>
        <v>1901444969.75</v>
      </c>
      <c r="F20" s="206">
        <f t="shared" si="20"/>
        <v>2764278303.0999999</v>
      </c>
      <c r="G20" s="206">
        <f t="shared" si="20"/>
        <v>36968370</v>
      </c>
      <c r="H20" s="206">
        <f t="shared" si="20"/>
        <v>122196657</v>
      </c>
      <c r="I20" s="206">
        <f t="shared" si="20"/>
        <v>1864476599.75</v>
      </c>
      <c r="J20" s="206">
        <f t="shared" si="20"/>
        <v>2642081646.0999999</v>
      </c>
      <c r="K20" s="206">
        <f t="shared" si="20"/>
        <v>540834000</v>
      </c>
      <c r="L20" s="207">
        <f t="shared" si="20"/>
        <v>12560810</v>
      </c>
      <c r="M20" s="208">
        <v>1</v>
      </c>
      <c r="N20" s="209">
        <f>IF(ISERROR(VLOOKUP(M20,POA!$A$2:$C$7,3,0)),"",VLOOKUP(M20,POA!$A$2:$C$7,3,0))</f>
        <v>4</v>
      </c>
      <c r="O20" s="210"/>
      <c r="P20" s="211">
        <f>+SUM(P21:P51)</f>
        <v>0</v>
      </c>
      <c r="Q20" s="212">
        <f>IF(ISERROR(VLOOKUP(M20,POA!$A$2:$C$7,2,0)),"",VLOOKUP(M20,POA!$A$2:$C$7,2,0))</f>
        <v>1200000000</v>
      </c>
      <c r="R20" s="206">
        <f>IF(M20="","",I20)</f>
        <v>1864476599.75</v>
      </c>
      <c r="S20" s="213" t="str">
        <f>IF(OR(M20="",Q20=""),"",IF($R20&gt;=(VLOOKUP(M20,POA!$A$2:$J$2,10,FALSE)*Q20),"CUMPLE","NO CUMPLE"))</f>
        <v>CUMPLE</v>
      </c>
      <c r="T20" s="214" t="str">
        <f>IF(M20="","",IF(COUNTIF(T21:T51,"SI")&gt;=1,"SI","NO"))</f>
        <v>SI</v>
      </c>
      <c r="U20" s="206">
        <f>IF(M20&lt;&gt;"",IF(ISERROR(SUM(E20/G20)),0,SUM(E20/G20)),"")</f>
        <v>51.434374027039873</v>
      </c>
      <c r="V20" s="213" t="str">
        <f>IF(M20&lt;&gt;"",IF(OR(U20=0,M20="",Q20=""),"",IF(AND(T20="SI",U20&gt;=$V$9),"CUMPLE",IF(U20&gt;=$V$10,"CUMPLE","NO CUMPLE"))),"")</f>
        <v>CUMPLE</v>
      </c>
      <c r="W20" s="215">
        <f>IF(M20&lt;&gt;"",IF(ISERROR(SUM(H20/F20)),0,SUM(H20/F20)),"")</f>
        <v>4.4205627509705719E-2</v>
      </c>
      <c r="X20" s="213" t="str">
        <f>IF(OR(W20=0,M20="",Q20=""),"",IF(AND(T20="SI",W20&lt;=$X$9),"CUMPLE",IF(W20&lt;=$X$10,"CUMPLE","NO CUMPLE")))</f>
        <v>CUMPLE</v>
      </c>
      <c r="Y20" s="211">
        <f>+SUM(Y21:Y51)</f>
        <v>0</v>
      </c>
      <c r="Z20" s="216">
        <f>IF(ISERROR(SUM(K20/L20)),0,SUM(K20/L20))</f>
        <v>43.057255065557079</v>
      </c>
      <c r="AA20" s="213" t="str">
        <f>IF(M20&lt;&gt;"",IF(OR(M20="",Q20=""),"",IF(AND(T20="SI",Z20&gt;=$AA$9),"CUMPLE",IF(Z20&gt;=$AA$10,"CUMPLE","NO CUMPLE"))),"")</f>
        <v>CUMPLE</v>
      </c>
      <c r="AB20" s="217" t="str">
        <f>IF(OR(S20="",V20="",X20="",AA20=""),"",IF(OR(S20="NO CUMPLE",V20="NO CUMPLE",X20="NO CUMPLE",AA20="NO CUMPLE",COUNTIF(AB21:AB51,"NO CUMPLE")&gt;0),"NO CUMPLE"," CUMPLE"))</f>
        <v xml:space="preserve"> CUMPLE</v>
      </c>
      <c r="AC20" s="218">
        <v>2021</v>
      </c>
      <c r="AD20" s="219">
        <f t="shared" ref="AD20:AD38" si="21">IF(ISERROR(F20/VLOOKUP(AC20,$AD$8:$AE$10,2)),"",F20/VLOOKUP(AC20,$AD$8:$AE$10,2))</f>
        <v>3042.5968030634235</v>
      </c>
      <c r="AE20" s="220"/>
      <c r="AF20" s="221">
        <f>IF(AC20="","",IF(ISNUMBER(AC20),IF(ISERROR(SUM(K20/J20)),0,SUM(K20/J20))))</f>
        <v>0.20469995724709336</v>
      </c>
      <c r="AG20" s="213" t="str">
        <f>IF(OR(M20="",Q20=""),"",IF(AND(T20="SI",AF20&gt;=$AG$9),"CUMPLE",IF(AF20&gt;=$AG$10,"CUMPLE","NO CUMPLE")))</f>
        <v>CUMPLE</v>
      </c>
      <c r="AH20" s="222">
        <f>IF(ISERROR(SUM(K20/F20)),0,SUM(K20/F20))</f>
        <v>0.19565106718577566</v>
      </c>
      <c r="AI20" s="213" t="str">
        <f>IF(OR(M20="",Q20=""),"",IF(AND(T20="SI",AH20&gt;=$AI$9),"CUMPLE",IF(AH20&gt;=$AI$10,"CUMPLE","NO CUMPLE")))</f>
        <v>CUMPLE</v>
      </c>
      <c r="AJ20" s="223" t="str">
        <f>IF(OR(AG20="",AI20=""),"",IF(OR(AG20="NO CUMPLE",AI20="NO CUMPLE",COUNTIF(AJ21:AJ51,"NO CUMPLE")&gt;0),"NO CUMPLE","CUMPLE"))</f>
        <v>CUMPLE</v>
      </c>
    </row>
    <row r="21" spans="1:36" ht="14.5" thickBot="1">
      <c r="A21" s="321"/>
      <c r="B21" s="224">
        <v>3.1</v>
      </c>
      <c r="C21" s="225" t="s">
        <v>267</v>
      </c>
      <c r="D21" s="226">
        <v>1</v>
      </c>
      <c r="E21" s="227">
        <v>1901444969.75</v>
      </c>
      <c r="F21" s="227">
        <v>2764278303.0999999</v>
      </c>
      <c r="G21" s="227">
        <v>36968370</v>
      </c>
      <c r="H21" s="227">
        <v>122196657</v>
      </c>
      <c r="I21" s="227">
        <f t="shared" ref="I21" si="22">IF(ISERROR(E21-G21),"",E21-G21)</f>
        <v>1864476599.75</v>
      </c>
      <c r="J21" s="227">
        <f t="shared" ref="J21" si="23">IF(ISERROR(F21-H21),"",F21-H21)</f>
        <v>2642081646.0999999</v>
      </c>
      <c r="K21" s="227">
        <v>540834000</v>
      </c>
      <c r="L21" s="227">
        <v>12560810</v>
      </c>
      <c r="M21" s="228"/>
      <c r="N21" s="229" t="str">
        <f>IF(ISERROR(VLOOKUP(M21,POA!$A$2:$C$7,3,0)),"",VLOOKUP(M21,POA!$A$2:$C$7,3,0))</f>
        <v/>
      </c>
      <c r="O21" s="230"/>
      <c r="P21" s="230" t="str">
        <f>IF(ISERROR(VLOOKUP(O21,POA!$A$2:$F$7,4,0)),"",VLOOKUP(O21,POA!$A$2:$F$7,4,0))</f>
        <v/>
      </c>
      <c r="Q21" s="231" t="str">
        <f>IF(ISERROR(VLOOKUP(M21,POA!$A$2:$C$7,2,0)),"",VLOOKUP(M21,POA!$A$2:$C$7,2,0))</f>
        <v/>
      </c>
      <c r="R21" s="232" t="str">
        <f t="shared" ref="R21" si="24">IF(M21="","",I21)</f>
        <v/>
      </c>
      <c r="S21" s="233" t="str">
        <f>IF(OR(M21="",Q21=""),"",IF($R20&gt;=(VLOOKUP(M21,POA!$A$2:$J$2,10,FALSE)*Q21),"CUMPLE","NO CUMPLE"))</f>
        <v/>
      </c>
      <c r="T21" s="234" t="s">
        <v>119</v>
      </c>
      <c r="U21" s="232"/>
      <c r="V21" s="233" t="str">
        <f>IF(M21&lt;&gt;"",IF(OR(U20=0,M21="",Q21=""),"",IF(AND(T20="SI",U20&gt;=$V$9),"CUMPLE",IF(U20&gt;=$V$10,"CUMPLE","NO CUMPLE"))),"")</f>
        <v/>
      </c>
      <c r="W21" s="235"/>
      <c r="X21" s="233" t="str">
        <f>IF(OR(W20=0,M21="",Q21=""),"",IF(AND(T20="SI",W20&lt;=$X$9),"CUMPLE",IF(W20&lt;=$X$10,"CUMPLE","NO CUMPLE")))</f>
        <v/>
      </c>
      <c r="Y21" s="236" t="s">
        <v>120</v>
      </c>
      <c r="Z21" s="236"/>
      <c r="AA21" s="233" t="str">
        <f>IF(M21&lt;&gt;"",IF(OR(M21="",Q21=""),"",IF(AND(T20="SI",Z20&gt;=$AA$9),"CUMPLE",IF(Z20&gt;=$AA$10,"CUMPLE","NO CUMPLE"))),"")</f>
        <v/>
      </c>
      <c r="AB21" s="237" t="str">
        <f>IF(OR(S21="",V21="",X21="",AA21=""),"",IF(S21="NO CUMPLE","NO CUMPLE",IF(V21="NO  CUMPLE","NO CUMPLE",IF(X21="NO  CUMPLE","NO  CUMPLE",IF(AA21="NO  CUMPLE","NO  CUMPLE",IF(AA21="NO  CUMPLE","NO  CUMPLE"," CUMPLE"))))))</f>
        <v/>
      </c>
      <c r="AC21" s="238">
        <v>2021</v>
      </c>
      <c r="AD21" s="239">
        <f t="shared" si="21"/>
        <v>3042.5968030634235</v>
      </c>
      <c r="AE21" s="240" t="str">
        <f t="shared" ref="AE21" si="25">IF(OR(B21="",C21=""),"",IF(AND(AD21&gt;=500,AD21&lt;=30000),"MIPYME","NO CUMPLE"))</f>
        <v>MIPYME</v>
      </c>
      <c r="AF21" s="241"/>
      <c r="AG21" s="233" t="str">
        <f>IF(OR(M21="",Q21=""),"",IF(AND(T20="SI",AF20&gt;=$AG$9),"CUMPLE",IF(AF20&gt;=$AG$10,"CUMPLE","NO CUMPLE")))</f>
        <v/>
      </c>
      <c r="AH21" s="241"/>
      <c r="AI21" s="233" t="str">
        <f>IF(OR(M21="",Q21=""),"",IF(AND(T20="SI",AH20&gt;=$AI$9),"CUMPLE",IF(AH20&gt;=$AI$10,"CUMPLE","NO CUMPLE")))</f>
        <v/>
      </c>
      <c r="AJ21" s="242" t="str">
        <f>IF(OR(AG21="",AI21=""),"",IF(AG21="NO CUMPLE","NO CUMPLE",IF(AI21="NO CUMPLE","NO CUMPLE",IF(AI21="NO CUMPLE","NO CUMPLE","CUMPLE"))))</f>
        <v/>
      </c>
    </row>
    <row r="22" spans="1:36" ht="33.75" customHeight="1">
      <c r="A22" s="257"/>
      <c r="B22" s="203">
        <v>4</v>
      </c>
      <c r="C22" s="204" t="s">
        <v>268</v>
      </c>
      <c r="D22" s="205">
        <f t="shared" ref="D22:L22" si="26">IF(ISERROR(SUM(D23:D23)),"",SUM(D23:D23))</f>
        <v>1</v>
      </c>
      <c r="E22" s="206">
        <f t="shared" si="26"/>
        <v>995876000</v>
      </c>
      <c r="F22" s="206">
        <f t="shared" si="26"/>
        <v>1177176000</v>
      </c>
      <c r="G22" s="206">
        <f t="shared" si="26"/>
        <v>15316000</v>
      </c>
      <c r="H22" s="206">
        <f t="shared" si="26"/>
        <v>140731000</v>
      </c>
      <c r="I22" s="206">
        <f t="shared" si="26"/>
        <v>980560000</v>
      </c>
      <c r="J22" s="206">
        <f t="shared" si="26"/>
        <v>1036445000</v>
      </c>
      <c r="K22" s="206">
        <f t="shared" si="26"/>
        <v>905418000</v>
      </c>
      <c r="L22" s="207">
        <f t="shared" si="26"/>
        <v>18615000</v>
      </c>
      <c r="M22" s="208">
        <v>1</v>
      </c>
      <c r="N22" s="209">
        <f>IF(ISERROR(VLOOKUP(M22,POA!$A$2:$C$7,3,0)),"",VLOOKUP(M22,POA!$A$2:$C$7,3,0))</f>
        <v>4</v>
      </c>
      <c r="O22" s="210"/>
      <c r="P22" s="211">
        <f>+SUM(P23:P54)</f>
        <v>0</v>
      </c>
      <c r="Q22" s="212">
        <f>IF(ISERROR(VLOOKUP(M22,POA!$A$2:$C$7,2,0)),"",VLOOKUP(M22,POA!$A$2:$C$7,2,0))</f>
        <v>1200000000</v>
      </c>
      <c r="R22" s="206">
        <f>IF(M22="","",I22)</f>
        <v>980560000</v>
      </c>
      <c r="S22" s="213" t="str">
        <f>IF(OR(M22="",Q22=""),"",IF($R22&gt;=(VLOOKUP(M22,POA!$A$2:$J$2,10,FALSE)*Q22),"CUMPLE","NO CUMPLE"))</f>
        <v>CUMPLE</v>
      </c>
      <c r="T22" s="214" t="str">
        <f>IF(M22="","",IF(COUNTIF(T23:T54,"SI")&gt;=1,"SI","NO"))</f>
        <v>SI</v>
      </c>
      <c r="U22" s="206">
        <f>IF(M22&lt;&gt;"",IF(ISERROR(SUM(E22/G22)),0,SUM(E22/G22)),"")</f>
        <v>65.021937842778797</v>
      </c>
      <c r="V22" s="213" t="str">
        <f>IF(M22&lt;&gt;"",IF(OR(U22=0,M22="",Q22=""),"",IF(AND(T22="SI",U22&gt;=$V$9),"CUMPLE",IF(U22&gt;=$V$10,"CUMPLE","NO CUMPLE"))),"")</f>
        <v>CUMPLE</v>
      </c>
      <c r="W22" s="215">
        <f>IF(M22&lt;&gt;"",IF(ISERROR(SUM(H22/F22)),0,SUM(H22/F22)),"")</f>
        <v>0.11954966801905577</v>
      </c>
      <c r="X22" s="213" t="str">
        <f>IF(OR(W22=0,M22="",Q22=""),"",IF(AND(T22="SI",W22&lt;=$X$9),"CUMPLE",IF(W22&lt;=$X$10,"CUMPLE","NO CUMPLE")))</f>
        <v>CUMPLE</v>
      </c>
      <c r="Y22" s="211">
        <f>+SUM(Y23:Y54)</f>
        <v>0</v>
      </c>
      <c r="Z22" s="216">
        <f>IF(ISERROR(SUM(K22/L22)),0,SUM(K22/L22))</f>
        <v>48.639161966156323</v>
      </c>
      <c r="AA22" s="213" t="str">
        <f>IF(M22&lt;&gt;"",IF(OR(M22="",Q22=""),"",IF(AND(T22="SI",Z22&gt;=$AA$9),"CUMPLE",IF(Z22&gt;=$AA$10,"CUMPLE","NO CUMPLE"))),"")</f>
        <v>CUMPLE</v>
      </c>
      <c r="AB22" s="217" t="str">
        <f>IF(OR(S22="",V22="",X22="",AA22=""),"",IF(OR(S22="NO CUMPLE",V22="NO CUMPLE",X22="NO CUMPLE",AA22="NO CUMPLE",COUNTIF(AB23:AB54,"NO CUMPLE")&gt;0),"NO CUMPLE"," CUMPLE"))</f>
        <v xml:space="preserve"> CUMPLE</v>
      </c>
      <c r="AC22" s="218">
        <v>2021</v>
      </c>
      <c r="AD22" s="219">
        <f t="shared" si="21"/>
        <v>1295.698747201511</v>
      </c>
      <c r="AE22" s="220"/>
      <c r="AF22" s="221">
        <f>IF(AC22="","",IF(ISNUMBER(AC22),IF(ISERROR(SUM(K22/J22)),0,SUM(K22/J22))))</f>
        <v>0.87358036364688918</v>
      </c>
      <c r="AG22" s="213" t="str">
        <f>IF(OR(M22="",Q22=""),"",IF(AND(T22="SI",AF22&gt;=$AG$9),"CUMPLE",IF(AF22&gt;=$AG$10,"CUMPLE","NO CUMPLE")))</f>
        <v>CUMPLE</v>
      </c>
      <c r="AH22" s="222">
        <f>IF(ISERROR(SUM(K22/F22)),0,SUM(K22/F22))</f>
        <v>0.76914412118493747</v>
      </c>
      <c r="AI22" s="213" t="str">
        <f>IF(OR(M22="",Q22=""),"",IF(AND(T22="SI",AH22&gt;=$AI$9),"CUMPLE",IF(AH22&gt;=$AI$10,"CUMPLE","NO CUMPLE")))</f>
        <v>CUMPLE</v>
      </c>
      <c r="AJ22" s="223" t="str">
        <f>IF(OR(AG22="",AI22=""),"",IF(OR(AG22="NO CUMPLE",AI22="NO CUMPLE",COUNTIF(AJ23:AJ54,"NO CUMPLE")&gt;0),"NO CUMPLE","CUMPLE"))</f>
        <v>CUMPLE</v>
      </c>
    </row>
    <row r="23" spans="1:36" ht="14.5" thickBot="1">
      <c r="A23" s="321"/>
      <c r="B23" s="336">
        <v>4.0999999999999996</v>
      </c>
      <c r="C23" s="332" t="s">
        <v>268</v>
      </c>
      <c r="D23" s="333">
        <v>1</v>
      </c>
      <c r="E23" s="334">
        <v>995876000</v>
      </c>
      <c r="F23" s="334">
        <v>1177176000</v>
      </c>
      <c r="G23" s="334">
        <v>15316000</v>
      </c>
      <c r="H23" s="334">
        <v>140731000</v>
      </c>
      <c r="I23" s="334">
        <f t="shared" ref="I23" si="27">IF(ISERROR(E23-G23),"",E23-G23)</f>
        <v>980560000</v>
      </c>
      <c r="J23" s="334">
        <f t="shared" ref="J23" si="28">IF(ISERROR(F23-H23),"",F23-H23)</f>
        <v>1036445000</v>
      </c>
      <c r="K23" s="334">
        <v>905418000</v>
      </c>
      <c r="L23" s="334">
        <v>18615000</v>
      </c>
      <c r="M23" s="335"/>
      <c r="N23" s="229" t="str">
        <f>IF(ISERROR(VLOOKUP(M23,POA!$A$2:$C$7,3,0)),"",VLOOKUP(M23,POA!$A$2:$C$7,3,0))</f>
        <v/>
      </c>
      <c r="O23" s="230"/>
      <c r="P23" s="230" t="str">
        <f>IF(ISERROR(VLOOKUP(O23,POA!$A$2:$F$7,4,0)),"",VLOOKUP(O23,POA!$A$2:$F$7,4,0))</f>
        <v/>
      </c>
      <c r="Q23" s="231" t="str">
        <f>IF(ISERROR(VLOOKUP(M23,POA!$A$2:$C$7,2,0)),"",VLOOKUP(M23,POA!$A$2:$C$7,2,0))</f>
        <v/>
      </c>
      <c r="R23" s="232" t="str">
        <f t="shared" ref="R23" si="29">IF(M23="","",I23)</f>
        <v/>
      </c>
      <c r="S23" s="233" t="str">
        <f>IF(OR(M23="",Q23=""),"",IF($R22&gt;=(VLOOKUP(M23,POA!$A$2:$J$2,10,FALSE)*Q23),"CUMPLE","NO CUMPLE"))</f>
        <v/>
      </c>
      <c r="T23" s="234" t="s">
        <v>119</v>
      </c>
      <c r="U23" s="232"/>
      <c r="V23" s="233" t="str">
        <f>IF(M23&lt;&gt;"",IF(OR(U22=0,M23="",Q23=""),"",IF(AND(T22="SI",U22&gt;=$V$9),"CUMPLE",IF(U22&gt;=$V$10,"CUMPLE","NO CUMPLE"))),"")</f>
        <v/>
      </c>
      <c r="W23" s="235"/>
      <c r="X23" s="233" t="str">
        <f>IF(OR(W22=0,M23="",Q23=""),"",IF(AND(T22="SI",W22&lt;=$X$9),"CUMPLE",IF(W22&lt;=$X$10,"CUMPLE","NO CUMPLE")))</f>
        <v/>
      </c>
      <c r="Y23" s="236" t="s">
        <v>120</v>
      </c>
      <c r="Z23" s="236"/>
      <c r="AA23" s="233" t="str">
        <f>IF(M23&lt;&gt;"",IF(OR(M23="",Q23=""),"",IF(AND(T22="SI",Z22&gt;=$AA$9),"CUMPLE",IF(Z22&gt;=$AA$10,"CUMPLE","NO CUMPLE"))),"")</f>
        <v/>
      </c>
      <c r="AB23" s="237" t="str">
        <f>IF(OR(S23="",V23="",X23="",AA23=""),"",IF(S23="NO CUMPLE","NO CUMPLE",IF(V23="NO  CUMPLE","NO CUMPLE",IF(X23="NO  CUMPLE","NO  CUMPLE",IF(AA23="NO  CUMPLE","NO  CUMPLE",IF(AA23="NO  CUMPLE","NO  CUMPLE"," CUMPLE"))))))</f>
        <v/>
      </c>
      <c r="AC23" s="238">
        <v>2021</v>
      </c>
      <c r="AD23" s="239">
        <f t="shared" si="21"/>
        <v>1295.698747201511</v>
      </c>
      <c r="AE23" s="240" t="str">
        <f t="shared" ref="AE23" si="30">IF(OR(B23="",C23=""),"",IF(AND(AD23&gt;=500,AD23&lt;=30000),"MIPYME","NO CUMPLE"))</f>
        <v>MIPYME</v>
      </c>
      <c r="AF23" s="241"/>
      <c r="AG23" s="233" t="str">
        <f>IF(OR(M23="",Q23=""),"",IF(AND(T22="SI",AF22&gt;=$AG$9),"CUMPLE",IF(AF22&gt;=$AG$10,"CUMPLE","NO CUMPLE")))</f>
        <v/>
      </c>
      <c r="AH23" s="241"/>
      <c r="AI23" s="233" t="str">
        <f>IF(OR(M23="",Q23=""),"",IF(AND(T22="SI",AH22&gt;=$AI$9),"CUMPLE",IF(AH22&gt;=$AI$10,"CUMPLE","NO CUMPLE")))</f>
        <v/>
      </c>
      <c r="AJ23" s="242" t="str">
        <f>IF(OR(AG23="",AI23=""),"",IF(AG23="NO CUMPLE","NO CUMPLE",IF(AI23="NO CUMPLE","NO CUMPLE",IF(AI23="NO CUMPLE","NO CUMPLE","CUMPLE"))))</f>
        <v/>
      </c>
    </row>
    <row r="24" spans="1:36" ht="33.75" customHeight="1">
      <c r="A24" s="257"/>
      <c r="B24" s="203">
        <v>5</v>
      </c>
      <c r="C24" s="204" t="s">
        <v>270</v>
      </c>
      <c r="D24" s="205">
        <f t="shared" ref="D24:L24" si="31">IF(ISERROR(SUM(D25:D26)),"",SUM(D25:D26))</f>
        <v>1</v>
      </c>
      <c r="E24" s="206">
        <f t="shared" si="31"/>
        <v>2203405601</v>
      </c>
      <c r="F24" s="206">
        <f t="shared" si="31"/>
        <v>2818926101</v>
      </c>
      <c r="G24" s="206">
        <f t="shared" si="31"/>
        <v>178603667</v>
      </c>
      <c r="H24" s="206">
        <f t="shared" si="31"/>
        <v>178603667</v>
      </c>
      <c r="I24" s="206">
        <f t="shared" si="31"/>
        <v>2024801934</v>
      </c>
      <c r="J24" s="206">
        <f t="shared" si="31"/>
        <v>2640322434</v>
      </c>
      <c r="K24" s="206">
        <f t="shared" si="31"/>
        <v>348618480</v>
      </c>
      <c r="L24" s="207">
        <f t="shared" si="31"/>
        <v>1</v>
      </c>
      <c r="M24" s="208">
        <v>1</v>
      </c>
      <c r="N24" s="209">
        <f>IF(ISERROR(VLOOKUP(M24,POA!$A$2:$C$7,3,0)),"",VLOOKUP(M24,POA!$A$2:$C$7,3,0))</f>
        <v>4</v>
      </c>
      <c r="O24" s="210"/>
      <c r="P24" s="211">
        <f>+SUM(P25:P56)</f>
        <v>0</v>
      </c>
      <c r="Q24" s="212">
        <f>IF(ISERROR(VLOOKUP(M24,POA!$A$2:$C$7,2,0)),"",VLOOKUP(M24,POA!$A$2:$C$7,2,0))</f>
        <v>1200000000</v>
      </c>
      <c r="R24" s="206">
        <f>IF(M24="","",I24)</f>
        <v>2024801934</v>
      </c>
      <c r="S24" s="213" t="str">
        <f>IF(OR(M24="",Q24=""),"",IF($R24&gt;=(VLOOKUP(M24,POA!$A$2:$J$2,10,FALSE)*Q24),"CUMPLE","NO CUMPLE"))</f>
        <v>CUMPLE</v>
      </c>
      <c r="T24" s="214" t="str">
        <f>IF(M24="","",IF(COUNTIF(T25:T56,"SI")&gt;=1,"SI","NO"))</f>
        <v>SI</v>
      </c>
      <c r="U24" s="206">
        <f>IF(M24&lt;&gt;"",IF(ISERROR(SUM(E24/G24)),0,SUM(E24/G24)),"")</f>
        <v>12.336844130977445</v>
      </c>
      <c r="V24" s="213" t="str">
        <f>IF(M24&lt;&gt;"",IF(OR(U24=0,M24="",Q24=""),"",IF(AND(T24="SI",U24&gt;=$V$9),"CUMPLE",IF(U24&gt;=$V$10,"CUMPLE","NO CUMPLE"))),"")</f>
        <v>CUMPLE</v>
      </c>
      <c r="W24" s="215">
        <f>IF(M24&lt;&gt;"",IF(ISERROR(SUM(H24/F24)),0,SUM(H24/F24)),"")</f>
        <v>6.3358761670496158E-2</v>
      </c>
      <c r="X24" s="213" t="str">
        <f>IF(OR(W24=0,M24="",Q24=""),"",IF(AND(T24="SI",W24&lt;=$X$9),"CUMPLE",IF(W24&lt;=$X$10,"CUMPLE","NO CUMPLE")))</f>
        <v>CUMPLE</v>
      </c>
      <c r="Y24" s="211">
        <f>+SUM(Y25:Y56)</f>
        <v>0</v>
      </c>
      <c r="Z24" s="216">
        <f>IF(ISERROR(SUM(K24/L24)),0,SUM(K24/L24))</f>
        <v>348618480</v>
      </c>
      <c r="AA24" s="213" t="str">
        <f>IF(M24&lt;&gt;"",IF(OR(M24="",Q24=""),"",IF(AND(T24="SI",Z24&gt;=$AA$9),"CUMPLE",IF(Z24&gt;=$AA$10,"CUMPLE","NO CUMPLE"))),"")</f>
        <v>CUMPLE</v>
      </c>
      <c r="AB24" s="217" t="str">
        <f>IF(OR(S24="",V24="",X24="",AA24=""),"",IF(OR(S24="NO CUMPLE",V24="NO CUMPLE",X24="NO CUMPLE",AA24="NO CUMPLE",COUNTIF(AB25:AB56,"NO CUMPLE")&gt;0),"NO CUMPLE"," CUMPLE"))</f>
        <v xml:space="preserve"> CUMPLE</v>
      </c>
      <c r="AC24" s="218">
        <v>2021</v>
      </c>
      <c r="AD24" s="219">
        <f t="shared" si="21"/>
        <v>3102.7467579353811</v>
      </c>
      <c r="AE24" s="220"/>
      <c r="AF24" s="221">
        <f>IF(AC24="","",IF(ISNUMBER(AC24),IF(ISERROR(SUM(K24/J24)),0,SUM(K24/J24))))</f>
        <v>0.13203632840851739</v>
      </c>
      <c r="AG24" s="213" t="str">
        <f>IF(OR(M24="",Q24=""),"",IF(AND(T24="SI",AF24&gt;=$AG$9),"CUMPLE",IF(AF24&gt;=$AG$10,"CUMPLE","NO CUMPLE")))</f>
        <v>CUMPLE</v>
      </c>
      <c r="AH24" s="222">
        <f>IF(ISERROR(SUM(K24/F24)),0,SUM(K24/F24))</f>
        <v>0.12367067014503479</v>
      </c>
      <c r="AI24" s="213" t="str">
        <f>IF(OR(M24="",Q24=""),"",IF(AND(T24="SI",AH24&gt;=$AI$9),"CUMPLE",IF(AH24&gt;=$AI$10,"CUMPLE","NO CUMPLE")))</f>
        <v>CUMPLE</v>
      </c>
      <c r="AJ24" s="223" t="str">
        <f>IF(OR(AG24="",AI24=""),"",IF(OR(AG24="NO CUMPLE",AI24="NO CUMPLE",COUNTIF(AJ25:AJ56,"NO CUMPLE")&gt;0),"NO CUMPLE","CUMPLE"))</f>
        <v>CUMPLE</v>
      </c>
    </row>
    <row r="25" spans="1:36" ht="14">
      <c r="A25" s="321"/>
      <c r="B25" s="224">
        <v>5.0999999999999996</v>
      </c>
      <c r="C25" s="225" t="s">
        <v>270</v>
      </c>
      <c r="D25" s="226">
        <v>1</v>
      </c>
      <c r="E25" s="227">
        <v>2203405601</v>
      </c>
      <c r="F25" s="227">
        <v>2818926101</v>
      </c>
      <c r="G25" s="227">
        <v>178603667</v>
      </c>
      <c r="H25" s="227">
        <v>178603667</v>
      </c>
      <c r="I25" s="227">
        <f t="shared" ref="I25:I26" si="32">IF(ISERROR(E25-G25),"",E25-G25)</f>
        <v>2024801934</v>
      </c>
      <c r="J25" s="227">
        <f t="shared" ref="J25:J26" si="33">IF(ISERROR(F25-H25),"",F25-H25)</f>
        <v>2640322434</v>
      </c>
      <c r="K25" s="227">
        <v>348618480</v>
      </c>
      <c r="L25" s="227">
        <v>1</v>
      </c>
      <c r="M25" s="228"/>
      <c r="N25" s="229" t="str">
        <f>IF(ISERROR(VLOOKUP(M25,POA!$A$2:$C$7,3,0)),"",VLOOKUP(M25,POA!$A$2:$C$7,3,0))</f>
        <v/>
      </c>
      <c r="O25" s="230"/>
      <c r="P25" s="230" t="str">
        <f>IF(ISERROR(VLOOKUP(O25,POA!$A$2:$F$7,4,0)),"",VLOOKUP(O25,POA!$A$2:$F$7,4,0))</f>
        <v/>
      </c>
      <c r="Q25" s="231" t="str">
        <f>IF(ISERROR(VLOOKUP(M25,POA!$A$2:$C$7,2,0)),"",VLOOKUP(M25,POA!$A$2:$C$7,2,0))</f>
        <v/>
      </c>
      <c r="R25" s="232" t="str">
        <f t="shared" ref="R25" si="34">IF(M25="","",I25)</f>
        <v/>
      </c>
      <c r="S25" s="233" t="str">
        <f>IF(OR(M25="",Q25=""),"",IF($R24&gt;=(VLOOKUP(M25,POA!$A$2:$J$2,10,FALSE)*Q25),"CUMPLE","NO CUMPLE"))</f>
        <v/>
      </c>
      <c r="T25" s="234" t="s">
        <v>119</v>
      </c>
      <c r="U25" s="232"/>
      <c r="V25" s="233" t="str">
        <f>IF(M25&lt;&gt;"",IF(OR(U24=0,M25="",Q25=""),"",IF(AND(T24="SI",U24&gt;=$V$9),"CUMPLE",IF(U24&gt;=$V$10,"CUMPLE","NO CUMPLE"))),"")</f>
        <v/>
      </c>
      <c r="W25" s="235"/>
      <c r="X25" s="233" t="str">
        <f>IF(OR(W24=0,M25="",Q25=""),"",IF(AND(T24="SI",W24&lt;=$X$9),"CUMPLE",IF(W24&lt;=$X$10,"CUMPLE","NO CUMPLE")))</f>
        <v/>
      </c>
      <c r="Y25" s="236" t="s">
        <v>120</v>
      </c>
      <c r="Z25" s="236"/>
      <c r="AA25" s="233" t="str">
        <f>IF(M25&lt;&gt;"",IF(OR(M25="",Q25=""),"",IF(AND(T24="SI",Z24&gt;=$AA$9),"CUMPLE",IF(Z24&gt;=$AA$10,"CUMPLE","NO CUMPLE"))),"")</f>
        <v/>
      </c>
      <c r="AB25" s="237" t="str">
        <f>IF(OR(S25="",V25="",X25="",AA25=""),"",IF(S25="NO CUMPLE","NO CUMPLE",IF(V25="NO  CUMPLE","NO CUMPLE",IF(X25="NO  CUMPLE","NO  CUMPLE",IF(AA25="NO  CUMPLE","NO  CUMPLE",IF(AA25="NO  CUMPLE","NO  CUMPLE"," CUMPLE"))))))</f>
        <v/>
      </c>
      <c r="AC25" s="238">
        <v>2021</v>
      </c>
      <c r="AD25" s="239">
        <f t="shared" si="21"/>
        <v>3102.7467579353811</v>
      </c>
      <c r="AE25" s="240" t="str">
        <f t="shared" ref="AE25" si="35">IF(OR(B25="",C25=""),"",IF(AND(AD25&gt;=500,AD25&lt;=30000),"MIPYME","NO CUMPLE"))</f>
        <v>MIPYME</v>
      </c>
      <c r="AF25" s="241"/>
      <c r="AG25" s="233" t="str">
        <f>IF(OR(M25="",Q25=""),"",IF(AND(T24="SI",AF24&gt;=$AG$9),"CUMPLE",IF(AF24&gt;=$AG$10,"CUMPLE","NO CUMPLE")))</f>
        <v/>
      </c>
      <c r="AH25" s="241"/>
      <c r="AI25" s="233" t="str">
        <f>IF(OR(M25="",Q25=""),"",IF(AND(T24="SI",AH24&gt;=$AI$9),"CUMPLE",IF(AH24&gt;=$AI$10,"CUMPLE","NO CUMPLE")))</f>
        <v/>
      </c>
      <c r="AJ25" s="242" t="str">
        <f>IF(OR(AG25="",AI25=""),"",IF(AG25="NO CUMPLE","NO CUMPLE",IF(AI25="NO CUMPLE","NO CUMPLE",IF(AI25="NO CUMPLE","NO CUMPLE","CUMPLE"))))</f>
        <v/>
      </c>
    </row>
    <row r="26" spans="1:36" ht="14.5" thickBot="1">
      <c r="A26" s="321"/>
      <c r="B26" s="261">
        <v>5.2</v>
      </c>
      <c r="C26" s="262"/>
      <c r="D26" s="263"/>
      <c r="E26" s="264"/>
      <c r="F26" s="264"/>
      <c r="G26" s="264"/>
      <c r="H26" s="264"/>
      <c r="I26" s="264">
        <f t="shared" si="32"/>
        <v>0</v>
      </c>
      <c r="J26" s="264">
        <f t="shared" si="33"/>
        <v>0</v>
      </c>
      <c r="K26" s="264"/>
      <c r="L26" s="264"/>
      <c r="M26" s="265"/>
      <c r="N26" s="266"/>
      <c r="O26" s="267"/>
      <c r="P26" s="267"/>
      <c r="Q26" s="268"/>
      <c r="R26" s="269"/>
      <c r="S26" s="270"/>
      <c r="T26" s="271"/>
      <c r="U26" s="269"/>
      <c r="V26" s="270"/>
      <c r="W26" s="272"/>
      <c r="X26" s="270"/>
      <c r="Y26" s="273"/>
      <c r="Z26" s="273"/>
      <c r="AA26" s="270"/>
      <c r="AB26" s="274"/>
      <c r="AC26" s="275"/>
      <c r="AD26" s="276"/>
      <c r="AE26" s="277"/>
      <c r="AF26" s="278"/>
      <c r="AG26" s="270"/>
      <c r="AH26" s="279"/>
      <c r="AI26" s="270"/>
      <c r="AJ26" s="280"/>
    </row>
    <row r="27" spans="1:36" ht="36" customHeight="1">
      <c r="A27" s="257"/>
      <c r="B27" s="203">
        <v>6</v>
      </c>
      <c r="C27" s="204" t="s">
        <v>272</v>
      </c>
      <c r="D27" s="205">
        <f t="shared" ref="D27:L27" si="36">IF(ISERROR(SUM(D28:D29)),"",SUM(D28:D29))</f>
        <v>1</v>
      </c>
      <c r="E27" s="206">
        <f t="shared" si="36"/>
        <v>1313066570</v>
      </c>
      <c r="F27" s="206">
        <f t="shared" si="36"/>
        <v>1680648570</v>
      </c>
      <c r="G27" s="206">
        <f t="shared" si="36"/>
        <v>72295187</v>
      </c>
      <c r="H27" s="206">
        <f t="shared" si="36"/>
        <v>188615913</v>
      </c>
      <c r="I27" s="206">
        <f t="shared" si="36"/>
        <v>1240771383</v>
      </c>
      <c r="J27" s="206">
        <f t="shared" si="36"/>
        <v>1492032657</v>
      </c>
      <c r="K27" s="206">
        <f t="shared" si="36"/>
        <v>283278731</v>
      </c>
      <c r="L27" s="207">
        <f t="shared" si="36"/>
        <v>42484784</v>
      </c>
      <c r="M27" s="208">
        <v>1</v>
      </c>
      <c r="N27" s="209">
        <f>IF(ISERROR(VLOOKUP(M27,POA!$A$2:$C$7,3,0)),"",VLOOKUP(M27,POA!$A$2:$C$7,3,0))</f>
        <v>4</v>
      </c>
      <c r="O27" s="210"/>
      <c r="P27" s="211">
        <f>+SUM(P28:P58)</f>
        <v>0</v>
      </c>
      <c r="Q27" s="212">
        <f>IF(ISERROR(VLOOKUP(M27,POA!$A$2:$C$7,2,0)),"",VLOOKUP(M27,POA!$A$2:$C$7,2,0))</f>
        <v>1200000000</v>
      </c>
      <c r="R27" s="206">
        <f>IF(M27="","",I27)</f>
        <v>1240771383</v>
      </c>
      <c r="S27" s="213" t="str">
        <f>IF(OR(M27="",Q27=""),"",IF($R27&gt;=(VLOOKUP(M27,POA!$A$2:$J$2,10,FALSE)*Q27),"CUMPLE","NO CUMPLE"))</f>
        <v>CUMPLE</v>
      </c>
      <c r="T27" s="214" t="str">
        <f>IF(M27="","",IF(COUNTIF(T28:T58,"SI")&gt;=1,"SI","NO"))</f>
        <v>SI</v>
      </c>
      <c r="U27" s="206">
        <f>IF(M27&lt;&gt;"",IF(ISERROR(SUM(E27/G27)),0,SUM(E27/G27)),"")</f>
        <v>18.162572426847724</v>
      </c>
      <c r="V27" s="213" t="str">
        <f>IF(M27&lt;&gt;"",IF(OR(U27=0,M27="",Q27=""),"",IF(AND(T27="SI",U27&gt;=$V$9),"CUMPLE",IF(U27&gt;=$V$10,"CUMPLE","NO CUMPLE"))),"")</f>
        <v>CUMPLE</v>
      </c>
      <c r="W27" s="215">
        <f>IF(M27&lt;&gt;"",IF(ISERROR(SUM(H27/F27)),0,SUM(H27/F27)),"")</f>
        <v>0.11222805074590936</v>
      </c>
      <c r="X27" s="213" t="str">
        <f>IF(OR(W27=0,M27="",Q27=""),"",IF(AND(T27="SI",W27&lt;=$X$9),"CUMPLE",IF(W27&lt;=$X$10,"CUMPLE","NO CUMPLE")))</f>
        <v>CUMPLE</v>
      </c>
      <c r="Y27" s="211">
        <f>+SUM(Y28:Y58)</f>
        <v>0</v>
      </c>
      <c r="Z27" s="216">
        <f>IF(ISERROR(SUM(K27/L27)),0,SUM(K27/L27))</f>
        <v>6.6677691241174726</v>
      </c>
      <c r="AA27" s="213" t="str">
        <f>IF(M27&lt;&gt;"",IF(OR(M27="",Q27=""),"",IF(AND(T27="SI",Z27&gt;=$AA$9),"CUMPLE",IF(Z27&gt;=$AA$10,"CUMPLE","NO CUMPLE"))),"")</f>
        <v>CUMPLE</v>
      </c>
      <c r="AB27" s="217" t="str">
        <f>IF(OR(S27="",V27="",X27="",AA27=""),"",IF(OR(S27="NO CUMPLE",V27="NO CUMPLE",X27="NO CUMPLE",AA27="NO CUMPLE",COUNTIF(AB28:AB58,"NO CUMPLE")&gt;0),"NO CUMPLE"," CUMPLE"))</f>
        <v xml:space="preserve"> CUMPLE</v>
      </c>
      <c r="AC27" s="218">
        <v>2021</v>
      </c>
      <c r="AD27" s="219">
        <f t="shared" si="21"/>
        <v>1849.8629318258365</v>
      </c>
      <c r="AE27" s="220"/>
      <c r="AF27" s="221">
        <f>IF(AC27="","",IF(ISNUMBER(AC27),IF(ISERROR(SUM(K27/J27)),0,SUM(K27/J27))))</f>
        <v>0.18986094551682456</v>
      </c>
      <c r="AG27" s="213" t="str">
        <f>IF(OR(M27="",Q27=""),"",IF(AND(T27="SI",AF27&gt;=$AG$9),"CUMPLE",IF(AF27&gt;=$AG$10,"CUMPLE","NO CUMPLE")))</f>
        <v>CUMPLE</v>
      </c>
      <c r="AH27" s="222">
        <f>IF(ISERROR(SUM(K27/F27)),0,SUM(K27/F27))</f>
        <v>0.16855322168869605</v>
      </c>
      <c r="AI27" s="213" t="str">
        <f>IF(OR(M27="",Q27=""),"",IF(AND(T27="SI",AH27&gt;=$AI$9),"CUMPLE",IF(AH27&gt;=$AI$10,"CUMPLE","NO CUMPLE")))</f>
        <v>CUMPLE</v>
      </c>
      <c r="AJ27" s="223" t="str">
        <f>IF(OR(AG27="",AI27=""),"",IF(OR(AG27="NO CUMPLE",AI27="NO CUMPLE",COUNTIF(AJ28:AJ58,"NO CUMPLE")&gt;0),"NO CUMPLE","CUMPLE"))</f>
        <v>CUMPLE</v>
      </c>
    </row>
    <row r="28" spans="1:36" ht="14">
      <c r="A28" s="321"/>
      <c r="B28" s="224">
        <v>6.1</v>
      </c>
      <c r="C28" s="225" t="s">
        <v>272</v>
      </c>
      <c r="D28" s="226">
        <v>1</v>
      </c>
      <c r="E28" s="227">
        <v>1313066570</v>
      </c>
      <c r="F28" s="227">
        <v>1680648570</v>
      </c>
      <c r="G28" s="227">
        <v>72295187</v>
      </c>
      <c r="H28" s="227">
        <v>188615913</v>
      </c>
      <c r="I28" s="227">
        <f t="shared" ref="I28:I29" si="37">IF(ISERROR(E28-G28),"",E28-G28)</f>
        <v>1240771383</v>
      </c>
      <c r="J28" s="227">
        <f t="shared" ref="J28:J29" si="38">IF(ISERROR(F28-H28),"",F28-H28)</f>
        <v>1492032657</v>
      </c>
      <c r="K28" s="227">
        <v>283278731</v>
      </c>
      <c r="L28" s="227">
        <v>42484784</v>
      </c>
      <c r="M28" s="228"/>
      <c r="N28" s="229" t="str">
        <f>IF(ISERROR(VLOOKUP(M28,POA!$A$2:$C$7,3,0)),"",VLOOKUP(M28,POA!$A$2:$C$7,3,0))</f>
        <v/>
      </c>
      <c r="O28" s="230"/>
      <c r="P28" s="230" t="str">
        <f>IF(ISERROR(VLOOKUP(O28,POA!$A$2:$F$7,4,0)),"",VLOOKUP(O28,POA!$A$2:$F$7,4,0))</f>
        <v/>
      </c>
      <c r="Q28" s="231" t="str">
        <f>IF(ISERROR(VLOOKUP(M28,POA!$A$2:$C$7,2,0)),"",VLOOKUP(M28,POA!$A$2:$C$7,2,0))</f>
        <v/>
      </c>
      <c r="R28" s="232" t="str">
        <f t="shared" ref="R28" si="39">IF(M28="","",I28)</f>
        <v/>
      </c>
      <c r="S28" s="233" t="str">
        <f>IF(OR(M28="",Q28=""),"",IF($R27&gt;=(VLOOKUP(M28,POA!$A$2:$J$2,10,FALSE)*Q28),"CUMPLE","NO CUMPLE"))</f>
        <v/>
      </c>
      <c r="T28" s="234" t="s">
        <v>119</v>
      </c>
      <c r="U28" s="232"/>
      <c r="V28" s="233" t="str">
        <f>IF(M28&lt;&gt;"",IF(OR(U27=0,M28="",Q28=""),"",IF(AND(T27="SI",U27&gt;=$V$9),"CUMPLE",IF(U27&gt;=$V$10,"CUMPLE","NO CUMPLE"))),"")</f>
        <v/>
      </c>
      <c r="W28" s="235"/>
      <c r="X28" s="233" t="str">
        <f>IF(OR(W27=0,M28="",Q28=""),"",IF(AND(T27="SI",W27&lt;=$X$9),"CUMPLE",IF(W27&lt;=$X$10,"CUMPLE","NO CUMPLE")))</f>
        <v/>
      </c>
      <c r="Y28" s="236" t="s">
        <v>120</v>
      </c>
      <c r="Z28" s="236"/>
      <c r="AA28" s="233" t="str">
        <f>IF(M28&lt;&gt;"",IF(OR(M28="",Q28=""),"",IF(AND(T27="SI",Z27&gt;=$AA$9),"CUMPLE",IF(Z27&gt;=$AA$10,"CUMPLE","NO CUMPLE"))),"")</f>
        <v/>
      </c>
      <c r="AB28" s="237" t="str">
        <f>IF(OR(S28="",V28="",X28="",AA28=""),"",IF(S28="NO CUMPLE","NO CUMPLE",IF(V28="NO  CUMPLE","NO CUMPLE",IF(X28="NO  CUMPLE","NO  CUMPLE",IF(AA28="NO  CUMPLE","NO  CUMPLE",IF(AA28="NO  CUMPLE","NO  CUMPLE"," CUMPLE"))))))</f>
        <v/>
      </c>
      <c r="AC28" s="238">
        <v>2021</v>
      </c>
      <c r="AD28" s="239">
        <f t="shared" si="21"/>
        <v>1849.8629318258365</v>
      </c>
      <c r="AE28" s="240" t="str">
        <f t="shared" ref="AE28" si="40">IF(OR(B28="",C28=""),"",IF(AND(AD28&gt;=500,AD28&lt;=30000),"MIPYME","NO CUMPLE"))</f>
        <v>MIPYME</v>
      </c>
      <c r="AF28" s="241"/>
      <c r="AG28" s="233" t="str">
        <f>IF(OR(M28="",Q28=""),"",IF(AND(T27="SI",AF27&gt;=$AG$9),"CUMPLE",IF(AF27&gt;=$AG$10,"CUMPLE","NO CUMPLE")))</f>
        <v/>
      </c>
      <c r="AH28" s="241"/>
      <c r="AI28" s="233" t="str">
        <f>IF(OR(M28="",Q28=""),"",IF(AND(T27="SI",AH27&gt;=$AI$9),"CUMPLE",IF(AH27&gt;=$AI$10,"CUMPLE","NO CUMPLE")))</f>
        <v/>
      </c>
      <c r="AJ28" s="242" t="str">
        <f>IF(OR(AG28="",AI28=""),"",IF(AG28="NO CUMPLE","NO CUMPLE",IF(AI28="NO CUMPLE","NO CUMPLE",IF(AI28="NO CUMPLE","NO CUMPLE","CUMPLE"))))</f>
        <v/>
      </c>
    </row>
    <row r="29" spans="1:36" ht="14.5" thickBot="1">
      <c r="A29" s="321"/>
      <c r="B29" s="261">
        <v>6.2</v>
      </c>
      <c r="C29" s="262"/>
      <c r="D29" s="263"/>
      <c r="E29" s="264"/>
      <c r="F29" s="264"/>
      <c r="G29" s="264"/>
      <c r="H29" s="264"/>
      <c r="I29" s="264">
        <f t="shared" si="37"/>
        <v>0</v>
      </c>
      <c r="J29" s="264">
        <f t="shared" si="38"/>
        <v>0</v>
      </c>
      <c r="K29" s="264"/>
      <c r="L29" s="264"/>
      <c r="M29" s="265"/>
      <c r="N29" s="266"/>
      <c r="O29" s="267"/>
      <c r="P29" s="267"/>
      <c r="Q29" s="268"/>
      <c r="R29" s="269"/>
      <c r="S29" s="270"/>
      <c r="T29" s="271"/>
      <c r="U29" s="269"/>
      <c r="V29" s="270"/>
      <c r="W29" s="272"/>
      <c r="X29" s="270"/>
      <c r="Y29" s="273"/>
      <c r="Z29" s="273"/>
      <c r="AA29" s="270"/>
      <c r="AB29" s="274"/>
      <c r="AC29" s="275"/>
      <c r="AD29" s="276"/>
      <c r="AE29" s="277"/>
      <c r="AF29" s="278"/>
      <c r="AG29" s="270"/>
      <c r="AH29" s="279"/>
      <c r="AI29" s="270"/>
      <c r="AJ29" s="280"/>
    </row>
    <row r="30" spans="1:36" ht="36" customHeight="1">
      <c r="A30" s="257"/>
      <c r="B30" s="203">
        <v>7</v>
      </c>
      <c r="C30" s="204" t="s">
        <v>273</v>
      </c>
      <c r="D30" s="205">
        <f t="shared" ref="D30" si="41">IF(ISERROR(SUM(D31:D32)),"",SUM(D31:D32))</f>
        <v>1</v>
      </c>
      <c r="E30" s="206">
        <f t="shared" ref="E30:L30" si="42">IF(ISERROR(SUM(E31:E31)),"",SUM(E31:E31))</f>
        <v>4640227938</v>
      </c>
      <c r="F30" s="206">
        <f t="shared" si="42"/>
        <v>8051509070</v>
      </c>
      <c r="G30" s="206">
        <f t="shared" si="42"/>
        <v>275039152</v>
      </c>
      <c r="H30" s="206">
        <f t="shared" si="42"/>
        <v>841829379</v>
      </c>
      <c r="I30" s="206">
        <f t="shared" si="42"/>
        <v>4365188786</v>
      </c>
      <c r="J30" s="206">
        <f t="shared" si="42"/>
        <v>7209679691</v>
      </c>
      <c r="K30" s="206">
        <f t="shared" si="42"/>
        <v>2320405270</v>
      </c>
      <c r="L30" s="207">
        <f t="shared" si="42"/>
        <v>1</v>
      </c>
      <c r="M30" s="208">
        <v>1</v>
      </c>
      <c r="N30" s="209">
        <f>IF(ISERROR(VLOOKUP(M30,POA!$A$2:$C$7,3,0)),"",VLOOKUP(M30,POA!$A$2:$C$7,3,0))</f>
        <v>4</v>
      </c>
      <c r="O30" s="210"/>
      <c r="P30" s="211">
        <f>+SUM(P31:P60)</f>
        <v>0</v>
      </c>
      <c r="Q30" s="212">
        <f>IF(ISERROR(VLOOKUP(M30,POA!$A$2:$C$7,2,0)),"",VLOOKUP(M30,POA!$A$2:$C$7,2,0))</f>
        <v>1200000000</v>
      </c>
      <c r="R30" s="206">
        <f>IF(M30="","",I30)</f>
        <v>4365188786</v>
      </c>
      <c r="S30" s="213" t="str">
        <f>IF(OR(M30="",Q30=""),"",IF($R30&gt;=(VLOOKUP(M30,POA!$A$2:$J$2,10,FALSE)*Q30),"CUMPLE","NO CUMPLE"))</f>
        <v>CUMPLE</v>
      </c>
      <c r="T30" s="214" t="str">
        <f>IF(M30="","",IF(COUNTIF(T31:T60,"SI")&gt;=1,"SI","NO"))</f>
        <v>SI</v>
      </c>
      <c r="U30" s="206">
        <f>IF(M30&lt;&gt;"",IF(ISERROR(SUM(E30/G30)),0,SUM(E30/G30)),"")</f>
        <v>16.87115417662428</v>
      </c>
      <c r="V30" s="213" t="str">
        <f>IF(M30&lt;&gt;"",IF(OR(U30=0,M30="",Q30=""),"",IF(AND(T30="SI",U30&gt;=$V$9),"CUMPLE",IF(U30&gt;=$V$10,"CUMPLE","NO CUMPLE"))),"")</f>
        <v>CUMPLE</v>
      </c>
      <c r="W30" s="215">
        <f>IF(M30&lt;&gt;"",IF(ISERROR(SUM(H30/F30)),0,SUM(H30/F30)),"")</f>
        <v>0.10455547794594983</v>
      </c>
      <c r="X30" s="213" t="str">
        <f>IF(OR(W30=0,M30="",Q30=""),"",IF(AND(T30="SI",W30&lt;=$X$9),"CUMPLE",IF(W30&lt;=$X$10,"CUMPLE","NO CUMPLE")))</f>
        <v>CUMPLE</v>
      </c>
      <c r="Y30" s="211">
        <f>+SUM(Y31:Y60)</f>
        <v>0</v>
      </c>
      <c r="Z30" s="216">
        <f>IF(ISERROR(SUM(K30/L30)),0,SUM(K30/L30))</f>
        <v>2320405270</v>
      </c>
      <c r="AA30" s="213" t="str">
        <f>IF(M30&lt;&gt;"",IF(OR(M30="",Q30=""),"",IF(AND(T30="SI",Z30&gt;=$AA$9),"CUMPLE",IF(Z30&gt;=$AA$10,"CUMPLE","NO CUMPLE"))),"")</f>
        <v>CUMPLE</v>
      </c>
      <c r="AB30" s="217" t="str">
        <f>IF(OR(S30="",V30="",X30="",AA30=""),"",IF(OR(S30="NO CUMPLE",V30="NO CUMPLE",X30="NO CUMPLE",AA30="NO CUMPLE",COUNTIF(AB31:AB60,"NO CUMPLE")&gt;0),"NO CUMPLE"," CUMPLE"))</f>
        <v xml:space="preserve"> CUMPLE</v>
      </c>
      <c r="AC30" s="218">
        <v>2021</v>
      </c>
      <c r="AD30" s="219">
        <f t="shared" si="21"/>
        <v>8862.1669275287659</v>
      </c>
      <c r="AE30" s="220"/>
      <c r="AF30" s="221">
        <f>IF(AC30="","",IF(ISNUMBER(AC30),IF(ISERROR(SUM(K30/J30)),0,SUM(K30/J30))))</f>
        <v>0.32184581971049453</v>
      </c>
      <c r="AG30" s="213" t="str">
        <f>IF(OR(M30="",Q30=""),"",IF(AND(T30="SI",AF30&gt;=$AG$9),"CUMPLE",IF(AF30&gt;=$AG$10,"CUMPLE","NO CUMPLE")))</f>
        <v>CUMPLE</v>
      </c>
      <c r="AH30" s="222">
        <f>IF(ISERROR(SUM(K30/F30)),0,SUM(K30/F30))</f>
        <v>0.28819507620575779</v>
      </c>
      <c r="AI30" s="213" t="str">
        <f>IF(OR(M30="",Q30=""),"",IF(AND(T30="SI",AH30&gt;=$AI$9),"CUMPLE",IF(AH30&gt;=$AI$10,"CUMPLE","NO CUMPLE")))</f>
        <v>CUMPLE</v>
      </c>
      <c r="AJ30" s="223" t="str">
        <f>IF(OR(AG30="",AI30=""),"",IF(OR(AG30="NO CUMPLE",AI30="NO CUMPLE",COUNTIF(AJ31:AJ60,"NO CUMPLE")&gt;0),"NO CUMPLE","CUMPLE"))</f>
        <v>CUMPLE</v>
      </c>
    </row>
    <row r="31" spans="1:36" ht="16.25" customHeight="1">
      <c r="A31" s="321"/>
      <c r="B31" s="224">
        <v>7.1</v>
      </c>
      <c r="C31" s="225" t="s">
        <v>276</v>
      </c>
      <c r="D31" s="226">
        <v>0.9</v>
      </c>
      <c r="E31" s="227">
        <v>4640227938</v>
      </c>
      <c r="F31" s="227">
        <v>8051509070</v>
      </c>
      <c r="G31" s="227">
        <v>275039152</v>
      </c>
      <c r="H31" s="227">
        <v>841829379</v>
      </c>
      <c r="I31" s="227">
        <f t="shared" ref="I31:I32" si="43">IF(ISERROR(E31-G31),"",E31-G31)</f>
        <v>4365188786</v>
      </c>
      <c r="J31" s="227">
        <f t="shared" ref="J31:J32" si="44">IF(ISERROR(F31-H31),"",F31-H31)</f>
        <v>7209679691</v>
      </c>
      <c r="K31" s="227">
        <v>2320405270</v>
      </c>
      <c r="L31" s="227">
        <v>1</v>
      </c>
      <c r="M31" s="228"/>
      <c r="N31" s="229" t="str">
        <f>IF(ISERROR(VLOOKUP(M31,POA!$A$2:$C$7,3,0)),"",VLOOKUP(M31,POA!$A$2:$C$7,3,0))</f>
        <v/>
      </c>
      <c r="O31" s="230"/>
      <c r="P31" s="230" t="str">
        <f>IF(ISERROR(VLOOKUP(O31,POA!$A$2:$F$7,4,0)),"",VLOOKUP(O31,POA!$A$2:$F$7,4,0))</f>
        <v/>
      </c>
      <c r="Q31" s="231" t="str">
        <f>IF(ISERROR(VLOOKUP(M31,POA!$A$2:$C$7,2,0)),"",VLOOKUP(M31,POA!$A$2:$C$7,2,0))</f>
        <v/>
      </c>
      <c r="R31" s="232" t="str">
        <f t="shared" ref="R31" si="45">IF(M31="","",I31)</f>
        <v/>
      </c>
      <c r="S31" s="233" t="str">
        <f>IF(OR(M31="",Q31=""),"",IF($R30&gt;=(VLOOKUP(M31,POA!$A$2:$J$2,10,FALSE)*Q31),"CUMPLE","NO CUMPLE"))</f>
        <v/>
      </c>
      <c r="T31" s="234" t="s">
        <v>119</v>
      </c>
      <c r="U31" s="232"/>
      <c r="V31" s="233" t="str">
        <f>IF(M31&lt;&gt;"",IF(OR(U30=0,M31="",Q31=""),"",IF(AND(T30="SI",U30&gt;=$V$9),"CUMPLE",IF(U30&gt;=$V$10,"CUMPLE","NO CUMPLE"))),"")</f>
        <v/>
      </c>
      <c r="W31" s="235"/>
      <c r="X31" s="233" t="str">
        <f>IF(OR(W30=0,M31="",Q31=""),"",IF(AND(T30="SI",W30&lt;=$X$9),"CUMPLE",IF(W30&lt;=$X$10,"CUMPLE","NO CUMPLE")))</f>
        <v/>
      </c>
      <c r="Y31" s="236" t="s">
        <v>120</v>
      </c>
      <c r="Z31" s="236"/>
      <c r="AA31" s="233" t="str">
        <f>IF(M31&lt;&gt;"",IF(OR(M31="",Q31=""),"",IF(AND(T30="SI",Z30&gt;=$AA$9),"CUMPLE",IF(Z30&gt;=$AA$10,"CUMPLE","NO CUMPLE"))),"")</f>
        <v/>
      </c>
      <c r="AB31" s="237" t="str">
        <f>IF(OR(S31="",V31="",X31="",AA31=""),"",IF(S31="NO CUMPLE","NO CUMPLE",IF(V31="NO  CUMPLE","NO CUMPLE",IF(X31="NO  CUMPLE","NO  CUMPLE",IF(AA31="NO  CUMPLE","NO  CUMPLE",IF(AA31="NO  CUMPLE","NO  CUMPLE"," CUMPLE"))))))</f>
        <v/>
      </c>
      <c r="AC31" s="238">
        <v>2021</v>
      </c>
      <c r="AD31" s="239">
        <f t="shared" si="21"/>
        <v>8862.1669275287659</v>
      </c>
      <c r="AE31" s="240" t="str">
        <f t="shared" ref="AE31" si="46">IF(OR(B31="",C31=""),"",IF(AND(AD31&gt;=500,AD31&lt;=30000),"MIPYME","NO CUMPLE"))</f>
        <v>MIPYME</v>
      </c>
      <c r="AF31" s="241"/>
      <c r="AG31" s="233" t="str">
        <f>IF(OR(M31="",Q31=""),"",IF(AND(T30="SI",AF30&gt;=$AG$9),"CUMPLE",IF(AF30&gt;=$AG$10,"CUMPLE","NO CUMPLE")))</f>
        <v/>
      </c>
      <c r="AH31" s="241"/>
      <c r="AI31" s="233" t="str">
        <f>IF(OR(M31="",Q31=""),"",IF(AND(T30="SI",AH30&gt;=$AI$9),"CUMPLE",IF(AH30&gt;=$AI$10,"CUMPLE","NO CUMPLE")))</f>
        <v/>
      </c>
      <c r="AJ31" s="242" t="str">
        <f>IF(OR(AG31="",AI31=""),"",IF(AG31="NO CUMPLE","NO CUMPLE",IF(AI31="NO CUMPLE","NO CUMPLE",IF(AI31="NO CUMPLE","NO CUMPLE","CUMPLE"))))</f>
        <v/>
      </c>
    </row>
    <row r="32" spans="1:36" ht="16.25" customHeight="1" thickBot="1">
      <c r="A32" s="321"/>
      <c r="B32" s="261">
        <v>7.2</v>
      </c>
      <c r="C32" s="262" t="s">
        <v>277</v>
      </c>
      <c r="D32" s="263">
        <v>0.1</v>
      </c>
      <c r="E32" s="264">
        <v>246421486</v>
      </c>
      <c r="F32" s="264">
        <v>249666486</v>
      </c>
      <c r="G32" s="264">
        <v>48666964</v>
      </c>
      <c r="H32" s="264">
        <v>128418814</v>
      </c>
      <c r="I32" s="264">
        <f t="shared" si="43"/>
        <v>197754522</v>
      </c>
      <c r="J32" s="264">
        <f t="shared" si="44"/>
        <v>121247672</v>
      </c>
      <c r="K32" s="264">
        <v>33348455</v>
      </c>
      <c r="L32" s="264">
        <v>1</v>
      </c>
      <c r="M32" s="265"/>
      <c r="N32" s="266"/>
      <c r="O32" s="267"/>
      <c r="P32" s="267"/>
      <c r="Q32" s="268"/>
      <c r="R32" s="269"/>
      <c r="S32" s="270"/>
      <c r="T32" s="271"/>
      <c r="U32" s="269"/>
      <c r="V32" s="270"/>
      <c r="W32" s="272"/>
      <c r="X32" s="270"/>
      <c r="Y32" s="273"/>
      <c r="Z32" s="273"/>
      <c r="AA32" s="270"/>
      <c r="AB32" s="274"/>
      <c r="AC32" s="275"/>
      <c r="AD32" s="276"/>
      <c r="AE32" s="277"/>
      <c r="AF32" s="278"/>
      <c r="AG32" s="270"/>
      <c r="AH32" s="279"/>
      <c r="AI32" s="270"/>
      <c r="AJ32" s="280"/>
    </row>
    <row r="33" spans="1:36" ht="36" customHeight="1">
      <c r="A33" s="257"/>
      <c r="B33" s="203">
        <v>8</v>
      </c>
      <c r="C33" s="204" t="s">
        <v>274</v>
      </c>
      <c r="D33" s="205">
        <f t="shared" ref="D33" si="47">IF(ISERROR(SUM(D34:D35)),"",SUM(D34:D35))</f>
        <v>1</v>
      </c>
      <c r="E33" s="206">
        <f t="shared" ref="E33:L33" si="48">IF(ISERROR(SUM(E34:E34)),"",SUM(E34:E34))</f>
        <v>252533499</v>
      </c>
      <c r="F33" s="206">
        <f t="shared" si="48"/>
        <v>259913499</v>
      </c>
      <c r="G33" s="206">
        <f t="shared" si="48"/>
        <v>9682115</v>
      </c>
      <c r="H33" s="206">
        <f t="shared" si="48"/>
        <v>18402115</v>
      </c>
      <c r="I33" s="206">
        <f t="shared" si="48"/>
        <v>242851384</v>
      </c>
      <c r="J33" s="206">
        <f t="shared" si="48"/>
        <v>241511384</v>
      </c>
      <c r="K33" s="206">
        <f t="shared" si="48"/>
        <v>1</v>
      </c>
      <c r="L33" s="207">
        <f t="shared" si="48"/>
        <v>1</v>
      </c>
      <c r="M33" s="208">
        <v>1</v>
      </c>
      <c r="N33" s="209">
        <f>IF(ISERROR(VLOOKUP(M33,POA!$A$2:$C$7,3,0)),"",VLOOKUP(M33,POA!$A$2:$C$7,3,0))</f>
        <v>4</v>
      </c>
      <c r="O33" s="210"/>
      <c r="P33" s="211">
        <f>+SUM(P34:P62)</f>
        <v>0</v>
      </c>
      <c r="Q33" s="212">
        <f>IF(ISERROR(VLOOKUP(M33,POA!$A$2:$C$7,2,0)),"",VLOOKUP(M33,POA!$A$2:$C$7,2,0))</f>
        <v>1200000000</v>
      </c>
      <c r="R33" s="206">
        <f>IF(M33="","",I33)</f>
        <v>242851384</v>
      </c>
      <c r="S33" s="213" t="str">
        <f>IF(OR(M33="",Q33=""),"",IF($R33&gt;=(VLOOKUP(M33,POA!$A$2:$J$2,10,FALSE)*Q33),"CUMPLE","NO CUMPLE"))</f>
        <v>CUMPLE</v>
      </c>
      <c r="T33" s="214" t="str">
        <f>IF(M33="","",IF(COUNTIF(T34:T62,"SI")&gt;=1,"SI","NO"))</f>
        <v>SI</v>
      </c>
      <c r="U33" s="206">
        <f>IF(M33&lt;&gt;"",IF(ISERROR(SUM(E33/G33)),0,SUM(E33/G33)),"")</f>
        <v>26.082472579596505</v>
      </c>
      <c r="V33" s="213" t="str">
        <f>IF(M33&lt;&gt;"",IF(OR(U33=0,M33="",Q33=""),"",IF(AND(T33="SI",U33&gt;=$V$9),"CUMPLE",IF(U33&gt;=$V$10,"CUMPLE","NO CUMPLE"))),"")</f>
        <v>CUMPLE</v>
      </c>
      <c r="W33" s="215">
        <f>IF(M33&lt;&gt;"",IF(ISERROR(SUM(H33/F33)),0,SUM(H33/F33)),"")</f>
        <v>7.0800920578580645E-2</v>
      </c>
      <c r="X33" s="213" t="str">
        <f>IF(OR(W33=0,M33="",Q33=""),"",IF(AND(T33="SI",W33&lt;=$X$9),"CUMPLE",IF(W33&lt;=$X$10,"CUMPLE","NO CUMPLE")))</f>
        <v>CUMPLE</v>
      </c>
      <c r="Y33" s="211">
        <f>+SUM(Y34:Y62)</f>
        <v>0</v>
      </c>
      <c r="Z33" s="216">
        <f>IF(ISERROR(SUM(K33/L33)),0,SUM(K33/L33))</f>
        <v>1</v>
      </c>
      <c r="AA33" s="213" t="str">
        <f>IF(M33&lt;&gt;"",IF(OR(M33="",Q33=""),"",IF(AND(T33="SI",Z33&gt;=$AA$9),"CUMPLE",IF(Z33&gt;=$AA$10,"CUMPLE","NO CUMPLE"))),"")</f>
        <v>CUMPLE</v>
      </c>
      <c r="AB33" s="217" t="str">
        <f>IF(OR(S33="",V33="",X33="",AA33=""),"",IF(OR(S33="NO CUMPLE",V33="NO CUMPLE",X33="NO CUMPLE",AA33="NO CUMPLE",COUNTIF(AB34:AB62,"NO CUMPLE")&gt;0),"NO CUMPLE"," CUMPLE"))</f>
        <v xml:space="preserve"> CUMPLE</v>
      </c>
      <c r="AC33" s="218">
        <v>2021</v>
      </c>
      <c r="AD33" s="219">
        <f t="shared" si="21"/>
        <v>286.08262064046596</v>
      </c>
      <c r="AE33" s="220"/>
      <c r="AF33" s="221">
        <f>IF(AC33="","",IF(ISNUMBER(AC33),IF(ISERROR(SUM(K33/J33)),0,SUM(K33/J33))))</f>
        <v>4.1405915673109639E-9</v>
      </c>
      <c r="AG33" s="213" t="str">
        <f>IF(OR(M33="",Q33=""),"",IF(AND(T33="SI",AF33&gt;=$AG$9),"CUMPLE",IF(AF33&gt;=$AG$10,"CUMPLE","NO CUMPLE")))</f>
        <v>CUMPLE</v>
      </c>
      <c r="AH33" s="222">
        <f>IF(ISERROR(SUM(K33/F33)),0,SUM(K33/F33))</f>
        <v>3.8474338726054397E-9</v>
      </c>
      <c r="AI33" s="213" t="str">
        <f>IF(OR(M33="",Q33=""),"",IF(AND(T33="SI",AH33&gt;=$AI$9),"CUMPLE",IF(AH33&gt;=$AI$10,"CUMPLE","NO CUMPLE")))</f>
        <v>CUMPLE</v>
      </c>
      <c r="AJ33" s="223" t="str">
        <f>IF(OR(AG33="",AI33=""),"",IF(OR(AG33="NO CUMPLE",AI33="NO CUMPLE",COUNTIF(AJ34:AJ62,"NO CUMPLE")&gt;0),"NO CUMPLE","CUMPLE"))</f>
        <v>CUMPLE</v>
      </c>
    </row>
    <row r="34" spans="1:36" ht="14">
      <c r="A34" s="321"/>
      <c r="B34" s="224">
        <v>8.1</v>
      </c>
      <c r="C34" s="225" t="s">
        <v>278</v>
      </c>
      <c r="D34" s="226">
        <v>0.9</v>
      </c>
      <c r="E34" s="227">
        <v>252533499</v>
      </c>
      <c r="F34" s="227">
        <v>259913499</v>
      </c>
      <c r="G34" s="227">
        <v>9682115</v>
      </c>
      <c r="H34" s="227">
        <v>18402115</v>
      </c>
      <c r="I34" s="227">
        <f t="shared" ref="I34:I35" si="49">IF(ISERROR(E34-G34),"",E34-G34)</f>
        <v>242851384</v>
      </c>
      <c r="J34" s="227">
        <f t="shared" ref="J34:J35" si="50">IF(ISERROR(F34-H34),"",F34-H34)</f>
        <v>241511384</v>
      </c>
      <c r="K34" s="227">
        <v>1</v>
      </c>
      <c r="L34" s="227">
        <v>1</v>
      </c>
      <c r="M34" s="228"/>
      <c r="N34" s="229" t="str">
        <f>IF(ISERROR(VLOOKUP(M34,POA!$A$2:$C$7,3,0)),"",VLOOKUP(M34,POA!$A$2:$C$7,3,0))</f>
        <v/>
      </c>
      <c r="O34" s="230"/>
      <c r="P34" s="230" t="str">
        <f>IF(ISERROR(VLOOKUP(O34,POA!$A$2:$F$7,4,0)),"",VLOOKUP(O34,POA!$A$2:$F$7,4,0))</f>
        <v/>
      </c>
      <c r="Q34" s="231" t="str">
        <f>IF(ISERROR(VLOOKUP(M34,POA!$A$2:$C$7,2,0)),"",VLOOKUP(M34,POA!$A$2:$C$7,2,0))</f>
        <v/>
      </c>
      <c r="R34" s="232" t="str">
        <f t="shared" ref="R34" si="51">IF(M34="","",I34)</f>
        <v/>
      </c>
      <c r="S34" s="233" t="str">
        <f>IF(OR(M34="",Q34=""),"",IF($R33&gt;=(VLOOKUP(M34,POA!$A$2:$J$2,10,FALSE)*Q34),"CUMPLE","NO CUMPLE"))</f>
        <v/>
      </c>
      <c r="T34" s="234" t="s">
        <v>119</v>
      </c>
      <c r="U34" s="232"/>
      <c r="V34" s="233" t="str">
        <f>IF(M34&lt;&gt;"",IF(OR(U33=0,M34="",Q34=""),"",IF(AND(T33="SI",U33&gt;=$V$9),"CUMPLE",IF(U33&gt;=$V$10,"CUMPLE","NO CUMPLE"))),"")</f>
        <v/>
      </c>
      <c r="W34" s="235"/>
      <c r="X34" s="233" t="str">
        <f>IF(OR(W33=0,M34="",Q34=""),"",IF(AND(T33="SI",W33&lt;=$X$9),"CUMPLE",IF(W33&lt;=$X$10,"CUMPLE","NO CUMPLE")))</f>
        <v/>
      </c>
      <c r="Y34" s="236" t="s">
        <v>120</v>
      </c>
      <c r="Z34" s="236"/>
      <c r="AA34" s="233" t="str">
        <f>IF(M34&lt;&gt;"",IF(OR(M34="",Q34=""),"",IF(AND(T33="SI",Z33&gt;=$AA$9),"CUMPLE",IF(Z33&gt;=$AA$10,"CUMPLE","NO CUMPLE"))),"")</f>
        <v/>
      </c>
      <c r="AB34" s="237" t="str">
        <f>IF(OR(S34="",V34="",X34="",AA34=""),"",IF(S34="NO CUMPLE","NO CUMPLE",IF(V34="NO  CUMPLE","NO CUMPLE",IF(X34="NO  CUMPLE","NO  CUMPLE",IF(AA34="NO  CUMPLE","NO  CUMPLE",IF(AA34="NO  CUMPLE","NO  CUMPLE"," CUMPLE"))))))</f>
        <v/>
      </c>
      <c r="AC34" s="238">
        <v>2021</v>
      </c>
      <c r="AD34" s="239">
        <f t="shared" si="21"/>
        <v>286.08262064046596</v>
      </c>
      <c r="AE34" s="240" t="str">
        <f t="shared" ref="AE34" si="52">IF(OR(B34="",C34=""),"",IF(AND(AD34&gt;=500,AD34&lt;=30000),"MIPYME","NO CUMPLE"))</f>
        <v>NO CUMPLE</v>
      </c>
      <c r="AF34" s="241"/>
      <c r="AG34" s="233" t="str">
        <f>IF(OR(M34="",Q34=""),"",IF(AND(T33="SI",AF33&gt;=$AG$9),"CUMPLE",IF(AF33&gt;=$AG$10,"CUMPLE","NO CUMPLE")))</f>
        <v/>
      </c>
      <c r="AH34" s="241"/>
      <c r="AI34" s="233" t="str">
        <f>IF(OR(M34="",Q34=""),"",IF(AND(T33="SI",AH33&gt;=$AI$9),"CUMPLE",IF(AH33&gt;=$AI$10,"CUMPLE","NO CUMPLE")))</f>
        <v/>
      </c>
      <c r="AJ34" s="242" t="str">
        <f>IF(OR(AG34="",AI34=""),"",IF(AG34="NO CUMPLE","NO CUMPLE",IF(AI34="NO CUMPLE","NO CUMPLE",IF(AI34="NO CUMPLE","NO CUMPLE","CUMPLE"))))</f>
        <v/>
      </c>
    </row>
    <row r="35" spans="1:36" ht="14.5" thickBot="1">
      <c r="A35" s="321"/>
      <c r="B35" s="261">
        <v>8.1999999999999993</v>
      </c>
      <c r="C35" s="262" t="s">
        <v>279</v>
      </c>
      <c r="D35" s="263">
        <v>0.1</v>
      </c>
      <c r="E35" s="264">
        <v>210529839</v>
      </c>
      <c r="F35" s="264">
        <v>576588839</v>
      </c>
      <c r="G35" s="264">
        <v>14571600</v>
      </c>
      <c r="H35" s="264">
        <v>14571600</v>
      </c>
      <c r="I35" s="264">
        <f t="shared" si="49"/>
        <v>195958239</v>
      </c>
      <c r="J35" s="264">
        <f t="shared" si="50"/>
        <v>562017239</v>
      </c>
      <c r="K35" s="264">
        <v>61345000</v>
      </c>
      <c r="L35" s="264">
        <v>1</v>
      </c>
      <c r="M35" s="265"/>
      <c r="N35" s="266"/>
      <c r="O35" s="267"/>
      <c r="P35" s="267"/>
      <c r="Q35" s="268"/>
      <c r="R35" s="269"/>
      <c r="S35" s="270"/>
      <c r="T35" s="271"/>
      <c r="U35" s="269"/>
      <c r="V35" s="270"/>
      <c r="W35" s="272"/>
      <c r="X35" s="270"/>
      <c r="Y35" s="273"/>
      <c r="Z35" s="273"/>
      <c r="AA35" s="270"/>
      <c r="AB35" s="274"/>
      <c r="AC35" s="275"/>
      <c r="AD35" s="276"/>
      <c r="AE35" s="277"/>
      <c r="AF35" s="278"/>
      <c r="AG35" s="270"/>
      <c r="AH35" s="279"/>
      <c r="AI35" s="270"/>
      <c r="AJ35" s="280"/>
    </row>
    <row r="36" spans="1:36" ht="36" customHeight="1">
      <c r="A36" s="257"/>
      <c r="B36" s="203">
        <v>9</v>
      </c>
      <c r="C36" s="204" t="s">
        <v>275</v>
      </c>
      <c r="D36" s="205">
        <f t="shared" ref="D36" si="53">IF(ISERROR(SUM(D37:D38)),"",SUM(D37:D38))</f>
        <v>1</v>
      </c>
      <c r="E36" s="206">
        <f t="shared" ref="E36:L36" si="54">IF(ISERROR(SUM(E37:E38)),"",SUM(E37:E38))</f>
        <v>2613328538</v>
      </c>
      <c r="F36" s="206">
        <f t="shared" si="54"/>
        <v>5707213398</v>
      </c>
      <c r="G36" s="206">
        <f t="shared" si="54"/>
        <v>1010577709</v>
      </c>
      <c r="H36" s="206">
        <f t="shared" si="54"/>
        <v>2985014877</v>
      </c>
      <c r="I36" s="206">
        <f t="shared" si="54"/>
        <v>1602750829</v>
      </c>
      <c r="J36" s="206">
        <f t="shared" si="54"/>
        <v>2722198521</v>
      </c>
      <c r="K36" s="206">
        <f t="shared" si="54"/>
        <v>356323870</v>
      </c>
      <c r="L36" s="207">
        <f t="shared" si="54"/>
        <v>16864001</v>
      </c>
      <c r="M36" s="208">
        <v>1</v>
      </c>
      <c r="N36" s="209">
        <f>IF(ISERROR(VLOOKUP(M36,POA!$A$2:$C$7,3,0)),"",VLOOKUP(M36,POA!$A$2:$C$7,3,0))</f>
        <v>4</v>
      </c>
      <c r="O36" s="210"/>
      <c r="P36" s="211">
        <f>+SUM(P37:P64)</f>
        <v>0</v>
      </c>
      <c r="Q36" s="212">
        <f>IF(ISERROR(VLOOKUP(M36,POA!$A$2:$C$7,2,0)),"",VLOOKUP(M36,POA!$A$2:$C$7,2,0))</f>
        <v>1200000000</v>
      </c>
      <c r="R36" s="206">
        <f>IF(M36="","",I36)</f>
        <v>1602750829</v>
      </c>
      <c r="S36" s="213" t="str">
        <f>IF(OR(M36="",Q36=""),"",IF($R36&gt;=(VLOOKUP(M36,POA!$A$2:$J$2,10,FALSE)*Q36),"CUMPLE","NO CUMPLE"))</f>
        <v>CUMPLE</v>
      </c>
      <c r="T36" s="214" t="str">
        <f>IF(M36="","",IF(COUNTIF(T37:T64,"SI")&gt;=1,"SI","NO"))</f>
        <v>SI</v>
      </c>
      <c r="U36" s="206">
        <f>IF(M36&lt;&gt;"",IF(ISERROR(SUM(E36/G36)),0,SUM(E36/G36)),"")</f>
        <v>2.5859748485705021</v>
      </c>
      <c r="V36" s="213" t="str">
        <f>IF(M36&lt;&gt;"",IF(OR(U36=0,M36="",Q36=""),"",IF(AND(T36="SI",U36&gt;=$V$9),"CUMPLE",IF(U36&gt;=$V$10,"CUMPLE","NO CUMPLE"))),"")</f>
        <v>CUMPLE</v>
      </c>
      <c r="W36" s="215">
        <f>IF(M36&lt;&gt;"",IF(ISERROR(SUM(H36/F36)),0,SUM(H36/F36)),"")</f>
        <v>0.5230249280754159</v>
      </c>
      <c r="X36" s="213" t="str">
        <f>IF(OR(W36=0,M36="",Q36=""),"",IF(AND(T36="SI",W36&lt;=$X$9),"CUMPLE",IF(W36&lt;=$X$10,"CUMPLE","NO CUMPLE")))</f>
        <v>CUMPLE</v>
      </c>
      <c r="Y36" s="211">
        <f>+SUM(Y37:Y64)</f>
        <v>0</v>
      </c>
      <c r="Z36" s="216">
        <f>IF(ISERROR(SUM(K36/L36)),0,SUM(K36/L36))</f>
        <v>21.129260488065672</v>
      </c>
      <c r="AA36" s="213" t="str">
        <f>IF(M36&lt;&gt;"",IF(OR(M36="",Q36=""),"",IF(AND(T36="SI",Z36&gt;=$AA$9),"CUMPLE",IF(Z36&gt;=$AA$10,"CUMPLE","NO CUMPLE"))),"")</f>
        <v>CUMPLE</v>
      </c>
      <c r="AB36" s="217" t="str">
        <f>IF(OR(S36="",V36="",X36="",AA36=""),"",IF(OR(S36="NO CUMPLE",V36="NO CUMPLE",X36="NO CUMPLE",AA36="NO CUMPLE",COUNTIF(AB37:AB64,"NO CUMPLE")&gt;0),"NO CUMPLE"," CUMPLE"))</f>
        <v xml:space="preserve"> CUMPLE</v>
      </c>
      <c r="AC36" s="218">
        <v>2021</v>
      </c>
      <c r="AD36" s="219">
        <f t="shared" si="21"/>
        <v>6281.8382721022845</v>
      </c>
      <c r="AE36" s="220"/>
      <c r="AF36" s="221">
        <f>IF(AC36="","",IF(ISNUMBER(AC36),IF(ISERROR(SUM(K36/J36)),0,SUM(K36/J36))))</f>
        <v>0.13089562250922993</v>
      </c>
      <c r="AG36" s="213" t="str">
        <f>IF(OR(M36="",Q36=""),"",IF(AND(T36="SI",AF36&gt;=$AG$9),"CUMPLE",IF(AF36&gt;=$AG$10,"CUMPLE","NO CUMPLE")))</f>
        <v>CUMPLE</v>
      </c>
      <c r="AH36" s="222">
        <f>IF(ISERROR(SUM(K36/F36)),0,SUM(K36/F36))</f>
        <v>6.2433948960953153E-2</v>
      </c>
      <c r="AI36" s="213" t="str">
        <f>IF(OR(M36="",Q36=""),"",IF(AND(T36="SI",AH36&gt;=$AI$9),"CUMPLE",IF(AH36&gt;=$AI$10,"CUMPLE","NO CUMPLE")))</f>
        <v>CUMPLE</v>
      </c>
      <c r="AJ36" s="223" t="str">
        <f>IF(OR(AG36="",AI36=""),"",IF(OR(AG36="NO CUMPLE",AI36="NO CUMPLE",COUNTIF(AJ37:AJ64,"NO CUMPLE")&gt;0),"NO CUMPLE","CUMPLE"))</f>
        <v>CUMPLE</v>
      </c>
    </row>
    <row r="37" spans="1:36" ht="14">
      <c r="A37" s="321"/>
      <c r="B37" s="224">
        <v>9.1</v>
      </c>
      <c r="C37" s="225" t="s">
        <v>280</v>
      </c>
      <c r="D37" s="226">
        <v>0.5</v>
      </c>
      <c r="E37" s="227">
        <v>755864538</v>
      </c>
      <c r="F37" s="227">
        <v>1023844398</v>
      </c>
      <c r="G37" s="227">
        <v>219143709</v>
      </c>
      <c r="H37" s="227">
        <v>557094877</v>
      </c>
      <c r="I37" s="227">
        <f t="shared" ref="I37" si="55">IF(ISERROR(E37-G37),"",E37-G37)</f>
        <v>536720829</v>
      </c>
      <c r="J37" s="227">
        <f t="shared" ref="J37" si="56">IF(ISERROR(F37-H37),"",F37-H37)</f>
        <v>466749521</v>
      </c>
      <c r="K37" s="227">
        <v>240018870</v>
      </c>
      <c r="L37" s="227">
        <v>1</v>
      </c>
      <c r="M37" s="228"/>
      <c r="N37" s="229" t="str">
        <f>IF(ISERROR(VLOOKUP(M37,POA!$A$2:$C$7,3,0)),"",VLOOKUP(M37,POA!$A$2:$C$7,3,0))</f>
        <v/>
      </c>
      <c r="O37" s="230"/>
      <c r="P37" s="230" t="str">
        <f>IF(ISERROR(VLOOKUP(O37,POA!$A$2:$F$7,4,0)),"",VLOOKUP(O37,POA!$A$2:$F$7,4,0))</f>
        <v/>
      </c>
      <c r="Q37" s="231" t="str">
        <f>IF(ISERROR(VLOOKUP(M37,POA!$A$2:$C$7,2,0)),"",VLOOKUP(M37,POA!$A$2:$C$7,2,0))</f>
        <v/>
      </c>
      <c r="R37" s="232" t="str">
        <f t="shared" ref="R37" si="57">IF(M37="","",I37)</f>
        <v/>
      </c>
      <c r="S37" s="233" t="str">
        <f>IF(OR(M37="",Q37=""),"",IF($R36&gt;=(VLOOKUP(M37,POA!$A$2:$J$2,10,FALSE)*Q37),"CUMPLE","NO CUMPLE"))</f>
        <v/>
      </c>
      <c r="T37" s="234" t="s">
        <v>119</v>
      </c>
      <c r="U37" s="232"/>
      <c r="V37" s="233" t="str">
        <f>IF(M37&lt;&gt;"",IF(OR(U36=0,M37="",Q37=""),"",IF(AND(T36="SI",U36&gt;=$V$9),"CUMPLE",IF(U36&gt;=$V$10,"CUMPLE","NO CUMPLE"))),"")</f>
        <v/>
      </c>
      <c r="W37" s="235"/>
      <c r="X37" s="233" t="str">
        <f>IF(OR(W36=0,M37="",Q37=""),"",IF(AND(T36="SI",W36&lt;=$X$9),"CUMPLE",IF(W36&lt;=$X$10,"CUMPLE","NO CUMPLE")))</f>
        <v/>
      </c>
      <c r="Y37" s="236" t="s">
        <v>120</v>
      </c>
      <c r="Z37" s="236"/>
      <c r="AA37" s="233" t="str">
        <f>IF(M37&lt;&gt;"",IF(OR(M37="",Q37=""),"",IF(AND(T36="SI",Z36&gt;=$AA$9),"CUMPLE",IF(Z36&gt;=$AA$10,"CUMPLE","NO CUMPLE"))),"")</f>
        <v/>
      </c>
      <c r="AB37" s="237" t="str">
        <f>IF(OR(S37="",V37="",X37="",AA37=""),"",IF(S37="NO CUMPLE","NO CUMPLE",IF(V37="NO  CUMPLE","NO CUMPLE",IF(X37="NO  CUMPLE","NO  CUMPLE",IF(AA37="NO  CUMPLE","NO  CUMPLE",IF(AA37="NO  CUMPLE","NO  CUMPLE"," CUMPLE"))))))</f>
        <v/>
      </c>
      <c r="AC37" s="238">
        <v>2021</v>
      </c>
      <c r="AD37" s="239">
        <f t="shared" si="21"/>
        <v>1126.929111549917</v>
      </c>
      <c r="AE37" s="240" t="str">
        <f t="shared" ref="AE37" si="58">IF(OR(B37="",C37=""),"",IF(AND(AD37&gt;=500,AD37&lt;=30000),"MIPYME","NO CUMPLE"))</f>
        <v>MIPYME</v>
      </c>
      <c r="AF37" s="241"/>
      <c r="AG37" s="233" t="str">
        <f>IF(OR(M37="",Q37=""),"",IF(AND(T36="SI",AF36&gt;=$AG$9),"CUMPLE",IF(AF36&gt;=$AG$10,"CUMPLE","NO CUMPLE")))</f>
        <v/>
      </c>
      <c r="AH37" s="241"/>
      <c r="AI37" s="233" t="str">
        <f>IF(OR(M37="",Q37=""),"",IF(AND(T36="SI",AH36&gt;=$AI$9),"CUMPLE",IF(AH36&gt;=$AI$10,"CUMPLE","NO CUMPLE")))</f>
        <v/>
      </c>
      <c r="AJ37" s="242" t="str">
        <f>IF(OR(AG37="",AI37=""),"",IF(AG37="NO CUMPLE","NO CUMPLE",IF(AI37="NO CUMPLE","NO CUMPLE",IF(AI37="NO CUMPLE","NO CUMPLE","CUMPLE"))))</f>
        <v/>
      </c>
    </row>
    <row r="38" spans="1:36" ht="14">
      <c r="A38" s="321"/>
      <c r="B38" s="224">
        <v>9.1999999999999993</v>
      </c>
      <c r="C38" s="339" t="s">
        <v>281</v>
      </c>
      <c r="D38" s="226">
        <v>0.5</v>
      </c>
      <c r="E38" s="227">
        <v>1857464000</v>
      </c>
      <c r="F38" s="227">
        <v>4683369000</v>
      </c>
      <c r="G38" s="227">
        <v>791434000</v>
      </c>
      <c r="H38" s="227">
        <v>2427920000</v>
      </c>
      <c r="I38" s="227">
        <f t="shared" ref="I38" si="59">IF(ISERROR(E38-G38),"",E38-G38)</f>
        <v>1066030000</v>
      </c>
      <c r="J38" s="227">
        <f t="shared" ref="J38" si="60">IF(ISERROR(F38-H38),"",F38-H38)</f>
        <v>2255449000</v>
      </c>
      <c r="K38" s="227">
        <v>116305000</v>
      </c>
      <c r="L38" s="227">
        <v>16864000</v>
      </c>
      <c r="M38" s="228"/>
      <c r="N38" s="229" t="str">
        <f>IF(ISERROR(VLOOKUP(M38,POA!$A$2:$C$7,3,0)),"",VLOOKUP(M38,POA!$A$2:$C$7,3,0))</f>
        <v/>
      </c>
      <c r="O38" s="230"/>
      <c r="P38" s="230" t="str">
        <f>IF(ISERROR(VLOOKUP(O38,POA!$A$2:$F$7,4,0)),"",VLOOKUP(O38,POA!$A$2:$F$7,4,0))</f>
        <v/>
      </c>
      <c r="Q38" s="231" t="str">
        <f>IF(ISERROR(VLOOKUP(M38,POA!$A$2:$C$7,2,0)),"",VLOOKUP(M38,POA!$A$2:$C$7,2,0))</f>
        <v/>
      </c>
      <c r="R38" s="232" t="str">
        <f t="shared" ref="R38" si="61">IF(M38="","",I38)</f>
        <v/>
      </c>
      <c r="S38" s="233" t="str">
        <f>IF(OR(M38="",Q38=""),"",IF($R37&gt;=(VLOOKUP(M38,POA!$A$2:$J$2,10,FALSE)*Q38),"CUMPLE","NO CUMPLE"))</f>
        <v/>
      </c>
      <c r="T38" s="234" t="s">
        <v>119</v>
      </c>
      <c r="U38" s="232"/>
      <c r="V38" s="233" t="str">
        <f>IF(M38&lt;&gt;"",IF(OR(U37=0,M38="",Q38=""),"",IF(AND(T37="SI",U37&gt;=$V$9),"CUMPLE",IF(U37&gt;=$V$10,"CUMPLE","NO CUMPLE"))),"")</f>
        <v/>
      </c>
      <c r="W38" s="235"/>
      <c r="X38" s="233" t="str">
        <f>IF(OR(W37=0,M38="",Q38=""),"",IF(AND(T37="SI",W37&lt;=$X$9),"CUMPLE",IF(W37&lt;=$X$10,"CUMPLE","NO CUMPLE")))</f>
        <v/>
      </c>
      <c r="Y38" s="236" t="s">
        <v>120</v>
      </c>
      <c r="Z38" s="236"/>
      <c r="AA38" s="233" t="str">
        <f>IF(M38&lt;&gt;"",IF(OR(M38="",Q38=""),"",IF(AND(T37="SI",Z37&gt;=$AA$9),"CUMPLE",IF(Z37&gt;=$AA$10,"CUMPLE","NO CUMPLE"))),"")</f>
        <v/>
      </c>
      <c r="AB38" s="237" t="str">
        <f>IF(OR(S38="",V38="",X38="",AA38=""),"",IF(S38="NO CUMPLE","NO CUMPLE",IF(V38="NO  CUMPLE","NO CUMPLE",IF(X38="NO  CUMPLE","NO  CUMPLE",IF(AA38="NO  CUMPLE","NO  CUMPLE",IF(AA38="NO  CUMPLE","NO  CUMPLE"," CUMPLE"))))))</f>
        <v/>
      </c>
      <c r="AC38" s="238">
        <v>2021</v>
      </c>
      <c r="AD38" s="239">
        <f t="shared" si="21"/>
        <v>5154.9091605523672</v>
      </c>
      <c r="AE38" s="240" t="str">
        <f t="shared" ref="AE38" si="62">IF(OR(B38="",C38=""),"",IF(AND(AD38&gt;=500,AD38&lt;=30000),"MIPYME","NO CUMPLE"))</f>
        <v>MIPYME</v>
      </c>
      <c r="AF38" s="241"/>
      <c r="AG38" s="233" t="str">
        <f>IF(OR(M38="",Q38=""),"",IF(AND(T37="SI",AF37&gt;=$AG$9),"CUMPLE",IF(AF37&gt;=$AG$10,"CUMPLE","NO CUMPLE")))</f>
        <v/>
      </c>
      <c r="AH38" s="241"/>
      <c r="AI38" s="233" t="str">
        <f>IF(OR(M38="",Q38=""),"",IF(AND(T37="SI",AH37&gt;=$AI$9),"CUMPLE",IF(AH37&gt;=$AI$10,"CUMPLE","NO CUMPLE")))</f>
        <v/>
      </c>
      <c r="AJ38" s="242" t="str">
        <f>IF(OR(AG38="",AI38=""),"",IF(AG38="NO CUMPLE","NO CUMPLE",IF(AI38="NO CUMPLE","NO CUMPLE",IF(AI38="NO CUMPLE","NO CUMPLE","CUMPLE"))))</f>
        <v/>
      </c>
    </row>
    <row r="39" spans="1:36" ht="18" customHeight="1">
      <c r="A39" s="321"/>
      <c r="B39" s="224" t="str">
        <f>IF(C39="","",#REF!+0.1)</f>
        <v/>
      </c>
      <c r="C39" s="243"/>
      <c r="D39" s="226"/>
      <c r="E39" s="227"/>
      <c r="F39" s="227"/>
      <c r="G39" s="227"/>
      <c r="H39" s="227"/>
      <c r="I39" s="227">
        <f t="shared" si="1"/>
        <v>0</v>
      </c>
      <c r="J39" s="227">
        <f t="shared" si="1"/>
        <v>0</v>
      </c>
      <c r="K39" s="227"/>
      <c r="L39" s="244"/>
      <c r="M39" s="228"/>
      <c r="N39" s="229" t="str">
        <f>IF(ISERROR(VLOOKUP(M39,POA!$A$2:$C$7,3,0)),"",VLOOKUP(M39,POA!$A$2:$C$7,3,0))</f>
        <v/>
      </c>
      <c r="O39" s="230"/>
      <c r="P39" s="230" t="str">
        <f>IF(ISERROR(VLOOKUP(O39,POA!$A$2:$F$7,4,0)),"",VLOOKUP(O39,POA!$A$2:$F$7,4,0))</f>
        <v/>
      </c>
      <c r="Q39" s="231" t="str">
        <f>IF(ISERROR(VLOOKUP(M39,POA!$A$2:$C$7,2,0)),"",VLOOKUP(M39,POA!$A$2:$C$7,2,0))</f>
        <v/>
      </c>
      <c r="R39" s="232" t="str">
        <f t="shared" si="2"/>
        <v/>
      </c>
      <c r="S39" s="233" t="str">
        <f>IF(OR(M39="",Q39=""),"",IF($R13&gt;=(VLOOKUP(M39,POA!$A$2:$J$2,10,FALSE)*Q39),"CUMPLE","NO CUMPLE"))</f>
        <v/>
      </c>
      <c r="T39" s="234" t="str">
        <f t="shared" ref="T39:T44" si="63">IF(AE39="","",IF(AND(D39&gt;=10%,AE39="MIPYME"),"SI","NO"))</f>
        <v/>
      </c>
      <c r="U39" s="232"/>
      <c r="V39" s="233" t="str">
        <f>IF(M39&lt;&gt;"",IF(OR(U13=0,M39="",Q39=""),"",IF(AND(T13="SI",U13&gt;=$V$9),"CUMPLE",IF(U13&gt;=$V$10,"CUMPLE","NO CUMPLE"))),"")</f>
        <v/>
      </c>
      <c r="W39" s="235"/>
      <c r="X39" s="233" t="str">
        <f>IF(OR(W13=0,M39="",Q39=""),"",IF(AND(T13="SI",W13&lt;=$X$9),"CUMPLE",IF(W13&lt;=$X$10,"CUMPLE","NO CUMPLE")))</f>
        <v/>
      </c>
      <c r="Y39" s="236">
        <v>0</v>
      </c>
      <c r="Z39" s="236"/>
      <c r="AA39" s="233" t="str">
        <f>IF(M39&lt;&gt;"",IF(OR(M39="",Q39=""),"",IF(AND(T13="SI",Z13&gt;=$AA$9),"CUMPLE",IF(Z13&gt;=$AA$10,"CUMPLE","NO CUMPLE"))),"")</f>
        <v/>
      </c>
      <c r="AB39" s="237" t="str">
        <f>IF(OR(S39="",V39="",X39="",AA39=""),"",IF(S39="NO CUMPLE","NO CUMPLE",IF(V39="NO  CUMPLE","NO CUMPLE",IF(X39="NO  CUMPLE","NO  CUMPLE",IF(AA39="NO  CUMPLE","NO  CUMPLE",IF(AA39="NO  CUMPLE","NO  CUMPLE"," CUMPLE"))))))</f>
        <v/>
      </c>
      <c r="AC39" s="238">
        <v>2021</v>
      </c>
      <c r="AD39" s="239">
        <f t="shared" si="4"/>
        <v>0</v>
      </c>
      <c r="AE39" s="240" t="str">
        <f t="shared" si="3"/>
        <v/>
      </c>
      <c r="AF39" s="241"/>
      <c r="AG39" s="233" t="str">
        <f>IF(OR(M39="",Q39=""),"",IF(AND(T13="SI",AF13&gt;=$AG$9),"CUMPLE",IF(AF13&gt;=$AG$10,"CUMPLE","NO CUMPLE")))</f>
        <v/>
      </c>
      <c r="AH39" s="241"/>
      <c r="AI39" s="233" t="str">
        <f>IF(OR(M39="",Q39=""),"",IF(AND(T13="SI",AH13&gt;=$AI$9),"CUMPLE",IF(AH13&gt;=$AI$10,"CUMPLE","NO CUMPLE")))</f>
        <v/>
      </c>
      <c r="AJ39" s="242" t="str">
        <f>IF(OR(AG39="",AI39=""),"",IF(AG39="NO CUMPLE","NO CUMPLE",IF(AI39="NO CUMPLE","NO CUMPLE",IF(AI39="NO CUMPLE","NO CUMPLE","CUMPLE"))))</f>
        <v/>
      </c>
    </row>
    <row r="40" spans="1:36" ht="14">
      <c r="A40" s="257"/>
      <c r="B40" s="224" t="str">
        <f t="shared" ref="B40:B41" si="64">IF(C40="","",B39+0.1)</f>
        <v/>
      </c>
      <c r="C40" s="243"/>
      <c r="D40" s="226"/>
      <c r="E40" s="227"/>
      <c r="F40" s="227"/>
      <c r="G40" s="227"/>
      <c r="H40" s="227"/>
      <c r="I40" s="227">
        <f t="shared" si="1"/>
        <v>0</v>
      </c>
      <c r="J40" s="227">
        <f t="shared" si="1"/>
        <v>0</v>
      </c>
      <c r="K40" s="227"/>
      <c r="L40" s="244"/>
      <c r="M40" s="228"/>
      <c r="N40" s="229" t="str">
        <f>IF(ISERROR(VLOOKUP(M40,POA!$A$2:$C$7,3,0)),"",VLOOKUP(M40,POA!$A$2:$C$7,3,0))</f>
        <v/>
      </c>
      <c r="O40" s="230"/>
      <c r="P40" s="230" t="str">
        <f>IF(ISERROR(VLOOKUP(O40,POA!$A$2:$F$7,4,0)),"",VLOOKUP(O40,POA!$A$2:$F$7,4,0))</f>
        <v/>
      </c>
      <c r="Q40" s="231" t="str">
        <f>IF(ISERROR(VLOOKUP(M40,POA!$A$2:$C$7,2,0)),"",VLOOKUP(M40,POA!$A$2:$C$7,2,0))</f>
        <v/>
      </c>
      <c r="R40" s="232" t="str">
        <f t="shared" si="2"/>
        <v/>
      </c>
      <c r="S40" s="233" t="str">
        <f>IF(OR(M40="",Q40=""),"",IF($R13&gt;=(VLOOKUP(M40,POA!$A$2:$J$2,10,FALSE)*Q40),"CUMPLE","NO CUMPLE"))</f>
        <v/>
      </c>
      <c r="T40" s="234" t="str">
        <f t="shared" si="63"/>
        <v/>
      </c>
      <c r="U40" s="232"/>
      <c r="V40" s="233" t="str">
        <f>IF(M40&lt;&gt;"",IF(OR(U13=0,M40="",Q40=""),"",IF(AND(T13="SI",U13&gt;=$V$9),"CUMPLE",IF(U13&gt;=$V$10,"CUMPLE","NO CUMPLE"))),"")</f>
        <v/>
      </c>
      <c r="W40" s="235"/>
      <c r="X40" s="233" t="str">
        <f>IF(OR(W13=0,M40="",Q40=""),"",IF(AND(T13="SI",W13&lt;=$X$9),"CUMPLE",IF(W13&lt;=$X$10,"CUMPLE","NO CUMPLE")))</f>
        <v/>
      </c>
      <c r="Y40" s="236">
        <v>0</v>
      </c>
      <c r="Z40" s="236"/>
      <c r="AA40" s="233" t="str">
        <f>IF(M40&lt;&gt;"",IF(OR(M40="",Q40=""),"",IF(AND(T13="SI",Z13&gt;=$AA$9),"CUMPLE",IF(Z13&gt;=$AA$10,"CUMPLE","NO CUMPLE"))),"")</f>
        <v/>
      </c>
      <c r="AB40" s="237" t="str">
        <f t="shared" ref="AB40:AB42" si="65">IF(OR(S40="",V40="",X40="",AA40=""),"",IF(S40="NO CUMPLE","NO CUMPLE",IF(V40="NO  CUMPLE","NO CUMPLE",IF(X40="NO  CUMPLE","NO  CUMPLE",IF(AA40="NO  CUMPLE","NO  CUMPLE",IF(AA40="NO  CUMPLE","NO  CUMPLE"," CUMPLE"))))))</f>
        <v/>
      </c>
      <c r="AC40" s="238">
        <v>2021</v>
      </c>
      <c r="AD40" s="239">
        <f t="shared" si="4"/>
        <v>0</v>
      </c>
      <c r="AE40" s="240" t="str">
        <f t="shared" si="3"/>
        <v/>
      </c>
      <c r="AF40" s="241"/>
      <c r="AG40" s="233" t="str">
        <f>IF(OR(M40="",Q40=""),"",IF(AND(T13="SI",AF13&gt;=$AG$9),"CUMPLE",IF(AF13&gt;=$AG$10,"CUMPLE","NO CUMPLE")))</f>
        <v/>
      </c>
      <c r="AH40" s="241"/>
      <c r="AI40" s="233" t="str">
        <f>IF(OR(M40="",Q40=""),"",IF(AND(T13="SI",AH13&gt;=$AI$9),"CUMPLE",IF(AH13&gt;=$AI$10,"CUMPLE","NO CUMPLE")))</f>
        <v/>
      </c>
      <c r="AJ40" s="242" t="str">
        <f>IF(OR(AG40="",AI40=""),"",IF(AG40="NO CUMPLE","NO CUMPLE",IF(AI40="NO CUMPLE","NO CUMPLE",IF(AI40="NO CUMPLE","NO CUMPLE","CUMPLE"))))</f>
        <v/>
      </c>
    </row>
    <row r="41" spans="1:36" ht="18" customHeight="1">
      <c r="A41" s="257"/>
      <c r="B41" s="224" t="str">
        <f t="shared" si="64"/>
        <v/>
      </c>
      <c r="C41" s="243"/>
      <c r="D41" s="226"/>
      <c r="E41" s="227"/>
      <c r="F41" s="227"/>
      <c r="G41" s="227"/>
      <c r="H41" s="227"/>
      <c r="I41" s="227">
        <f t="shared" si="1"/>
        <v>0</v>
      </c>
      <c r="J41" s="227">
        <f t="shared" si="1"/>
        <v>0</v>
      </c>
      <c r="K41" s="227"/>
      <c r="L41" s="244"/>
      <c r="M41" s="228"/>
      <c r="N41" s="229" t="str">
        <f>IF(ISERROR(VLOOKUP(M41,POA!$A$2:$C$7,3,0)),"",VLOOKUP(M41,POA!$A$2:$C$7,3,0))</f>
        <v/>
      </c>
      <c r="O41" s="230"/>
      <c r="P41" s="230" t="str">
        <f>IF(ISERROR(VLOOKUP(O41,POA!$A$2:$F$7,4,0)),"",VLOOKUP(O41,POA!$A$2:$F$7,4,0))</f>
        <v/>
      </c>
      <c r="Q41" s="231" t="str">
        <f>IF(ISERROR(VLOOKUP(M41,POA!$A$2:$C$7,2,0)),"",VLOOKUP(M41,POA!$A$2:$C$7,2,0))</f>
        <v/>
      </c>
      <c r="R41" s="232" t="str">
        <f t="shared" si="2"/>
        <v/>
      </c>
      <c r="S41" s="233" t="str">
        <f>IF(OR(M41="",Q41=""),"",IF($R13&gt;=(VLOOKUP(M41,POA!$A$2:$J$2,10,FALSE)*Q41),"CUMPLE","NO CUMPLE"))</f>
        <v/>
      </c>
      <c r="T41" s="234" t="str">
        <f t="shared" si="63"/>
        <v/>
      </c>
      <c r="U41" s="232"/>
      <c r="V41" s="233" t="str">
        <f>IF(M41&lt;&gt;"",IF(OR(U13=0,M41="",Q41=""),"",IF(AND(T13="SI",U13&gt;=$V$9),"CUMPLE",IF(U13&gt;=$V$10,"CUMPLE","NO CUMPLE"))),"")</f>
        <v/>
      </c>
      <c r="W41" s="235"/>
      <c r="X41" s="233" t="str">
        <f>IF(OR(W13=0,M41="",Q41=""),"",IF(AND(T13="SI",W13&lt;=$X$9),"CUMPLE",IF(W13&lt;=$X$10,"CUMPLE","NO CUMPLE")))</f>
        <v/>
      </c>
      <c r="Y41" s="236">
        <v>0</v>
      </c>
      <c r="Z41" s="236"/>
      <c r="AA41" s="233" t="str">
        <f>IF(M41&lt;&gt;"",IF(OR(M41="",Q41=""),"",IF(AND(T13="SI",Z13&gt;=$AA$9),"CUMPLE",IF(Z13&gt;=$AA$10,"CUMPLE","NO CUMPLE"))),"")</f>
        <v/>
      </c>
      <c r="AB41" s="237" t="str">
        <f t="shared" si="65"/>
        <v/>
      </c>
      <c r="AC41" s="238">
        <v>2021</v>
      </c>
      <c r="AD41" s="239">
        <f t="shared" si="4"/>
        <v>0</v>
      </c>
      <c r="AE41" s="240" t="str">
        <f t="shared" si="3"/>
        <v/>
      </c>
      <c r="AF41" s="241"/>
      <c r="AG41" s="233" t="str">
        <f>IF(OR(M41="",Q41=""),"",IF(AND(T13="SI",AF13&gt;=$AG$9),"CUMPLE",IF(AF13&gt;=$AG$10,"CUMPLE","NO CUMPLE")))</f>
        <v/>
      </c>
      <c r="AH41" s="241"/>
      <c r="AI41" s="233" t="str">
        <f>IF(OR(M41="",Q41=""),"",IF(AND(T13="SI",AH13&gt;=$AI$9),"CUMPLE",IF(AH13&gt;=$AI$10,"CUMPLE","NO CUMPLE")))</f>
        <v/>
      </c>
      <c r="AJ41" s="242" t="str">
        <f t="shared" si="5"/>
        <v/>
      </c>
    </row>
    <row r="42" spans="1:36" ht="18" customHeight="1">
      <c r="A42" s="257"/>
      <c r="B42" s="224" t="str">
        <f>IF(C42="","",B41+0.1)</f>
        <v/>
      </c>
      <c r="C42" s="243"/>
      <c r="D42" s="226"/>
      <c r="E42" s="227"/>
      <c r="F42" s="227"/>
      <c r="G42" s="227"/>
      <c r="H42" s="227"/>
      <c r="I42" s="227">
        <f t="shared" si="1"/>
        <v>0</v>
      </c>
      <c r="J42" s="227">
        <f t="shared" si="1"/>
        <v>0</v>
      </c>
      <c r="K42" s="227"/>
      <c r="L42" s="244"/>
      <c r="M42" s="228"/>
      <c r="N42" s="229" t="str">
        <f>IF(ISERROR(VLOOKUP(M42,POA!$A$2:$C$7,3,0)),"",VLOOKUP(M42,POA!$A$2:$C$7,3,0))</f>
        <v/>
      </c>
      <c r="O42" s="230"/>
      <c r="P42" s="230" t="str">
        <f>IF(ISERROR(VLOOKUP(O42,POA!$A$2:$F$7,4,0)),"",VLOOKUP(O42,POA!$A$2:$F$7,4,0))</f>
        <v/>
      </c>
      <c r="Q42" s="231" t="str">
        <f>IF(ISERROR(VLOOKUP(M42,POA!$A$2:$C$7,2,0)),"",VLOOKUP(M42,POA!$A$2:$C$7,2,0))</f>
        <v/>
      </c>
      <c r="R42" s="232" t="str">
        <f t="shared" si="2"/>
        <v/>
      </c>
      <c r="S42" s="233" t="str">
        <f>IF(OR(M42="",Q42=""),"",IF($R13&gt;=(VLOOKUP(M42,POA!$A$2:$J$2,10,FALSE)*Q42),"CUMPLE","NO CUMPLE"))</f>
        <v/>
      </c>
      <c r="T42" s="234" t="str">
        <f t="shared" si="63"/>
        <v/>
      </c>
      <c r="U42" s="232"/>
      <c r="V42" s="233" t="str">
        <f>IF(M42&lt;&gt;"",IF(OR(U13=0,M42="",Q42=""),"",IF(AND(T13="SI",U13&gt;=$V$9),"CUMPLE",IF(U13&gt;=$V$10,"CUMPLE","NO CUMPLE"))),"")</f>
        <v/>
      </c>
      <c r="W42" s="235"/>
      <c r="X42" s="233" t="str">
        <f>IF(OR(W13=0,M42="",Q42=""),"",IF(AND(T13="SI",W13&lt;=$X$9),"CUMPLE",IF(W13&lt;=$X$10,"CUMPLE","NO CUMPLE")))</f>
        <v/>
      </c>
      <c r="Y42" s="236">
        <v>0</v>
      </c>
      <c r="Z42" s="236"/>
      <c r="AA42" s="233" t="str">
        <f>IF(M42&lt;&gt;"",IF(OR(M42="",Q42=""),"",IF(AND(T13="SI",Z13&gt;=$AA$9),"CUMPLE",IF(Z13&gt;=$AA$10,"CUMPLE","NO CUMPLE"))),"")</f>
        <v/>
      </c>
      <c r="AB42" s="237" t="str">
        <f t="shared" si="65"/>
        <v/>
      </c>
      <c r="AC42" s="238">
        <v>2021</v>
      </c>
      <c r="AD42" s="239">
        <f t="shared" si="4"/>
        <v>0</v>
      </c>
      <c r="AE42" s="240" t="str">
        <f t="shared" si="3"/>
        <v/>
      </c>
      <c r="AF42" s="241"/>
      <c r="AG42" s="233" t="str">
        <f>IF(OR(M42="",Q42=""),"",IF(AND(T13="SI",AF13&gt;=$AG$9),"CUMPLE",IF(AF13&gt;=$AG$10,"CUMPLE","NO CUMPLE")))</f>
        <v/>
      </c>
      <c r="AH42" s="241"/>
      <c r="AI42" s="233" t="str">
        <f>IF(OR(M42="",Q42=""),"",IF(AND(T13="SI",AH13&gt;=$AI$9),"CUMPLE",IF(AH13&gt;=$AI$10,"CUMPLE","NO CUMPLE")))</f>
        <v/>
      </c>
      <c r="AJ42" s="242" t="str">
        <f t="shared" si="5"/>
        <v/>
      </c>
    </row>
    <row r="43" spans="1:36" ht="18" customHeight="1">
      <c r="A43" s="257"/>
      <c r="B43" s="224" t="str">
        <f>IF(C43="","",B42+0.1)</f>
        <v/>
      </c>
      <c r="C43" s="243"/>
      <c r="D43" s="226"/>
      <c r="E43" s="227"/>
      <c r="F43" s="227"/>
      <c r="G43" s="227"/>
      <c r="H43" s="227"/>
      <c r="I43" s="227">
        <f t="shared" si="1"/>
        <v>0</v>
      </c>
      <c r="J43" s="227">
        <f t="shared" si="1"/>
        <v>0</v>
      </c>
      <c r="K43" s="227"/>
      <c r="L43" s="244"/>
      <c r="M43" s="228"/>
      <c r="N43" s="229" t="str">
        <f>IF(ISERROR(VLOOKUP(M43,POA!$A$2:$C$7,3,0)),"",VLOOKUP(M43,POA!$A$2:$C$7,3,0))</f>
        <v/>
      </c>
      <c r="O43" s="230"/>
      <c r="P43" s="230" t="str">
        <f>IF(ISERROR(VLOOKUP(O43,POA!$A$2:$F$7,4,0)),"",VLOOKUP(O43,POA!$A$2:$F$7,4,0))</f>
        <v/>
      </c>
      <c r="Q43" s="231" t="str">
        <f>IF(ISERROR(VLOOKUP(M43,POA!$A$2:$C$7,2,0)),"",VLOOKUP(M43,POA!$A$2:$C$7,2,0))</f>
        <v/>
      </c>
      <c r="R43" s="232" t="str">
        <f t="shared" si="2"/>
        <v/>
      </c>
      <c r="S43" s="233" t="str">
        <f>IF(OR(M43="",Q43=""),"",IF($R13&gt;=(VLOOKUP(M43,POA!$A$2:$J$2,10,FALSE)*Q43),"CUMPLE","NO CUMPLE"))</f>
        <v/>
      </c>
      <c r="T43" s="234" t="str">
        <f t="shared" si="63"/>
        <v/>
      </c>
      <c r="U43" s="232"/>
      <c r="V43" s="233" t="str">
        <f>IF(M43&lt;&gt;"",IF(OR(U13=0,M43="",Q43=""),"",IF(AND(T13="SI",U13&gt;=$V$9),"CUMPLE",IF(U13&gt;=$V$10,"CUMPLE","NO CUMPLE"))),"")</f>
        <v/>
      </c>
      <c r="W43" s="235"/>
      <c r="X43" s="233" t="str">
        <f>IF(OR(W13=0,M43="",Q43=""),"",IF(AND(T13="SI",W13&lt;=$X$9),"CUMPLE",IF(W13&lt;=$X$10,"CUMPLE","NO CUMPLE")))</f>
        <v/>
      </c>
      <c r="Y43" s="236">
        <v>0</v>
      </c>
      <c r="Z43" s="236"/>
      <c r="AA43" s="233" t="str">
        <f>IF(M43&lt;&gt;"",IF(OR(M43="",Q43=""),"",IF(AND(T13="SI",Z13&gt;=$AA$9),"CUMPLE",IF(Z13&gt;=$AA$10,"CUMPLE","NO CUMPLE"))),"")</f>
        <v/>
      </c>
      <c r="AB43" s="237" t="str">
        <f t="shared" ref="AB43:AB44" si="66">IF(OR(S43="",V43="",X43="",AA43=""),"",IF(S43="NO CUMPLE","NO CUMPLE",IF(V43="NO  CUMPLE","NO CUMPLE",IF(X43="NO  CUMPLE","NO  CUMPLE",IF(AA43="NO  CUMPLE","NO  CUMPLE",IF(AA43="NO  CUMPLE","NO  CUMPLE"," CUMPLE"))))))</f>
        <v/>
      </c>
      <c r="AC43" s="238">
        <v>2021</v>
      </c>
      <c r="AD43" s="239">
        <f t="shared" si="4"/>
        <v>0</v>
      </c>
      <c r="AE43" s="240" t="str">
        <f t="shared" si="3"/>
        <v/>
      </c>
      <c r="AF43" s="241"/>
      <c r="AG43" s="233" t="str">
        <f>IF(OR(M43="",Q43=""),"",IF(AND(T13="SI",AF13&gt;=$AG$9),"CUMPLE",IF(AF13&gt;=$AG$10,"CUMPLE","NO CUMPLE")))</f>
        <v/>
      </c>
      <c r="AH43" s="241"/>
      <c r="AI43" s="233" t="str">
        <f>IF(OR(M43="",Q43=""),"",IF(AND(T13="SI",AH13&gt;=$AI$9),"CUMPLE",IF(AH13&gt;=$AI$10,"CUMPLE","NO CUMPLE")))</f>
        <v/>
      </c>
      <c r="AJ43" s="242" t="str">
        <f t="shared" si="5"/>
        <v/>
      </c>
    </row>
    <row r="44" spans="1:36" ht="18" customHeight="1">
      <c r="A44" s="257"/>
      <c r="B44" s="224" t="str">
        <f>IF(C44="","",B43+0.1)</f>
        <v/>
      </c>
      <c r="C44" s="243"/>
      <c r="D44" s="226"/>
      <c r="E44" s="227"/>
      <c r="F44" s="227"/>
      <c r="G44" s="227"/>
      <c r="H44" s="227"/>
      <c r="I44" s="227">
        <f t="shared" si="1"/>
        <v>0</v>
      </c>
      <c r="J44" s="227">
        <f t="shared" si="1"/>
        <v>0</v>
      </c>
      <c r="K44" s="227"/>
      <c r="L44" s="244"/>
      <c r="M44" s="228"/>
      <c r="N44" s="229" t="str">
        <f>IF(ISERROR(VLOOKUP(M44,POA!$A$2:$C$7,3,0)),"",VLOOKUP(M44,POA!$A$2:$C$7,3,0))</f>
        <v/>
      </c>
      <c r="O44" s="230"/>
      <c r="P44" s="230" t="str">
        <f>IF(ISERROR(VLOOKUP(O44,POA!$A$2:$F$7,4,0)),"",VLOOKUP(O44,POA!$A$2:$F$7,4,0))</f>
        <v/>
      </c>
      <c r="Q44" s="231" t="str">
        <f>IF(ISERROR(VLOOKUP(M44,POA!$A$2:$C$7,2,0)),"",VLOOKUP(M44,POA!$A$2:$C$7,2,0))</f>
        <v/>
      </c>
      <c r="R44" s="232" t="str">
        <f t="shared" si="2"/>
        <v/>
      </c>
      <c r="S44" s="233" t="str">
        <f>IF(OR(M44="",Q44=""),"",IF($R13&gt;=(VLOOKUP(M44,POA!$A$2:$J$2,10,FALSE)*Q44),"CUMPLE","NO CUMPLE"))</f>
        <v/>
      </c>
      <c r="T44" s="234" t="str">
        <f t="shared" si="63"/>
        <v/>
      </c>
      <c r="U44" s="232"/>
      <c r="V44" s="233" t="str">
        <f>IF(M44&lt;&gt;"",IF(OR(U13=0,M44="",Q44=""),"",IF(AND(T13="SI",U13&gt;=$V$9),"CUMPLE",IF(U13&gt;=$V$10,"CUMPLE","NO CUMPLE"))),"")</f>
        <v/>
      </c>
      <c r="W44" s="235"/>
      <c r="X44" s="233" t="str">
        <f>IF(OR(W13=0,M44="",Q44=""),"",IF(AND(T13="SI",W13&lt;=$X$9),"CUMPLE",IF(W13&lt;=$X$10,"CUMPLE","NO CUMPLE")))</f>
        <v/>
      </c>
      <c r="Y44" s="236">
        <v>0</v>
      </c>
      <c r="Z44" s="236"/>
      <c r="AA44" s="233" t="str">
        <f>IF(M44&lt;&gt;"",IF(OR(M44="",Q44=""),"",IF(AND(T13="SI",Z13&gt;=$AA$9),"CUMPLE",IF(Z13&gt;=$AA$10,"CUMPLE","NO CUMPLE"))),"")</f>
        <v/>
      </c>
      <c r="AB44" s="237" t="str">
        <f t="shared" si="66"/>
        <v/>
      </c>
      <c r="AC44" s="238">
        <v>2021</v>
      </c>
      <c r="AD44" s="239">
        <f t="shared" si="4"/>
        <v>0</v>
      </c>
      <c r="AE44" s="240" t="str">
        <f t="shared" si="3"/>
        <v/>
      </c>
      <c r="AF44" s="241"/>
      <c r="AG44" s="233" t="str">
        <f>IF(OR(M44="",Q44=""),"",IF(AND(T13="SI",AF13&gt;=$AG$9),"CUMPLE",IF(AF13&gt;=$AG$10,"CUMPLE","NO CUMPLE")))</f>
        <v/>
      </c>
      <c r="AH44" s="241"/>
      <c r="AI44" s="233" t="str">
        <f>IF(OR(M44="",Q44=""),"",IF(AND(T13="SI",AH13&gt;=$AI$9),"CUMPLE",IF(AH13&gt;=$AI$10,"CUMPLE","NO CUMPLE")))</f>
        <v/>
      </c>
      <c r="AJ44" s="242" t="str">
        <f t="shared" si="5"/>
        <v/>
      </c>
    </row>
    <row r="45" spans="1:36" ht="18" customHeight="1">
      <c r="A45" s="257"/>
      <c r="B45" s="245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7"/>
      <c r="O45" s="246"/>
      <c r="P45" s="246"/>
      <c r="Q45" s="246"/>
      <c r="R45" s="246"/>
      <c r="S45" s="246"/>
      <c r="T45" s="246"/>
      <c r="U45" s="246"/>
      <c r="V45" s="246"/>
      <c r="W45" s="246"/>
      <c r="X45" s="246"/>
      <c r="Y45" s="246"/>
      <c r="Z45" s="246"/>
      <c r="AA45" s="246"/>
      <c r="AB45" s="246"/>
      <c r="AC45" s="248"/>
      <c r="AD45" s="248"/>
      <c r="AE45" s="248"/>
      <c r="AF45" s="249"/>
      <c r="AG45" s="248"/>
      <c r="AH45" s="249"/>
      <c r="AI45" s="248"/>
      <c r="AJ45" s="250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" right="0" top="0" bottom="0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JJR&amp;D</oddFooter>
      </headerFooter>
    </customSheetView>
  </customSheetViews>
  <mergeCells count="41">
    <mergeCell ref="B1:AB1"/>
    <mergeCell ref="B4:AJ4"/>
    <mergeCell ref="B3:AJ3"/>
    <mergeCell ref="B2:AJ2"/>
    <mergeCell ref="Q8:Q11"/>
    <mergeCell ref="N8:N11"/>
    <mergeCell ref="P8:P11"/>
    <mergeCell ref="M8:M11"/>
    <mergeCell ref="C8:C11"/>
    <mergeCell ref="J8:J11"/>
    <mergeCell ref="E8:E11"/>
    <mergeCell ref="B7:D7"/>
    <mergeCell ref="U7:V7"/>
    <mergeCell ref="W7:X7"/>
    <mergeCell ref="E7:J7"/>
    <mergeCell ref="B5:AJ5"/>
    <mergeCell ref="B8:B11"/>
    <mergeCell ref="O8:O11"/>
    <mergeCell ref="AB8:AB11"/>
    <mergeCell ref="U8:V8"/>
    <mergeCell ref="W8:X8"/>
    <mergeCell ref="G8:G11"/>
    <mergeCell ref="Y8:Y11"/>
    <mergeCell ref="D8:D11"/>
    <mergeCell ref="F8:F11"/>
    <mergeCell ref="H8:H11"/>
    <mergeCell ref="I8:I11"/>
    <mergeCell ref="T7:T11"/>
    <mergeCell ref="R7:S7"/>
    <mergeCell ref="R8:S8"/>
    <mergeCell ref="S9:S10"/>
    <mergeCell ref="R9:R10"/>
    <mergeCell ref="AJ8:AJ11"/>
    <mergeCell ref="Z7:AA7"/>
    <mergeCell ref="Z8:AA8"/>
    <mergeCell ref="AF7:AG7"/>
    <mergeCell ref="AF8:AG8"/>
    <mergeCell ref="AH7:AI7"/>
    <mergeCell ref="AH8:AI8"/>
    <mergeCell ref="AC8:AC11"/>
    <mergeCell ref="AC7:AE7"/>
  </mergeCells>
  <phoneticPr fontId="0" type="noConversion"/>
  <conditionalFormatting sqref="AA13:AA44 AF13:AG44 AI13:AJ44">
    <cfRule type="cellIs" dxfId="330" priority="9422" stopIfTrue="1" operator="equal">
      <formula>"NO ADMISIBLE"</formula>
    </cfRule>
    <cfRule type="cellIs" dxfId="329" priority="9423" stopIfTrue="1" operator="equal">
      <formula>"ADMISIBLE"</formula>
    </cfRule>
  </conditionalFormatting>
  <conditionalFormatting sqref="AF13:AG44 D13 R13:R44 AC12:AC44 D16 D20 D22 D24:D44">
    <cfRule type="cellIs" dxfId="328" priority="9421" stopIfTrue="1" operator="equal">
      <formula>"NO ADMISIBLE"</formula>
    </cfRule>
  </conditionalFormatting>
  <conditionalFormatting sqref="AH13:AI13 AI14:AI15 AH16:AI16 AI17:AI19 AH20:AI20 AI21 AH22:AI22 AI23 AH24:AI24 AI25:AI26 AH27:AI27 AI28:AI29 AH30:AI30 AI31:AI32 AH33:AI33 AI34:AI35 AH36:AI36 AI37:AI44">
    <cfRule type="cellIs" dxfId="327" priority="9416" stopIfTrue="1" operator="equal">
      <formula>"NO ADMISIBLE"</formula>
    </cfRule>
  </conditionalFormatting>
  <conditionalFormatting sqref="AH13">
    <cfRule type="cellIs" dxfId="326" priority="9414" stopIfTrue="1" operator="equal">
      <formula>"NO ADMISIBLE"</formula>
    </cfRule>
    <cfRule type="cellIs" dxfId="325" priority="9415" stopIfTrue="1" operator="equal">
      <formula>"ADMISIBLE"</formula>
    </cfRule>
  </conditionalFormatting>
  <conditionalFormatting sqref="AJ9:IZ9 AB9 AE9">
    <cfRule type="cellIs" dxfId="324" priority="2548" stopIfTrue="1" operator="equal">
      <formula>"NO ADMISIBLE"</formula>
    </cfRule>
  </conditionalFormatting>
  <conditionalFormatting sqref="AC1 AC8">
    <cfRule type="cellIs" dxfId="323" priority="2547" stopIfTrue="1" operator="equal">
      <formula>"NO ADMISIBLE"</formula>
    </cfRule>
  </conditionalFormatting>
  <conditionalFormatting sqref="T13:T44">
    <cfRule type="cellIs" dxfId="322" priority="2544" operator="equal">
      <formula>"NO"</formula>
    </cfRule>
    <cfRule type="cellIs" dxfId="321" priority="2545" operator="equal">
      <formula>"SI"</formula>
    </cfRule>
  </conditionalFormatting>
  <conditionalFormatting sqref="AD45 AF45:AK45">
    <cfRule type="cellIs" dxfId="320" priority="1205" stopIfTrue="1" operator="equal">
      <formula>"NO ADMISIBLE"</formula>
    </cfRule>
  </conditionalFormatting>
  <conditionalFormatting sqref="AC45">
    <cfRule type="cellIs" dxfId="319" priority="1186" stopIfTrue="1" operator="equal">
      <formula>"NO ADMISIBLE"</formula>
    </cfRule>
  </conditionalFormatting>
  <conditionalFormatting sqref="AD9:AD10">
    <cfRule type="cellIs" dxfId="318" priority="1007" stopIfTrue="1" operator="equal">
      <formula>"NO ADMISIBLE"</formula>
    </cfRule>
  </conditionalFormatting>
  <conditionalFormatting sqref="M13:M44">
    <cfRule type="cellIs" dxfId="317" priority="1005" operator="equal">
      <formula>0</formula>
    </cfRule>
    <cfRule type="cellIs" dxfId="316" priority="1006" operator="greaterThan">
      <formula>0</formula>
    </cfRule>
  </conditionalFormatting>
  <conditionalFormatting sqref="AD13">
    <cfRule type="cellIs" dxfId="315" priority="1004" stopIfTrue="1" operator="equal">
      <formula>"NO ADMISIBLE"</formula>
    </cfRule>
  </conditionalFormatting>
  <conditionalFormatting sqref="AE13:AE44">
    <cfRule type="cellIs" dxfId="314" priority="1003" operator="equal">
      <formula>"NO CUMPLE"</formula>
    </cfRule>
  </conditionalFormatting>
  <conditionalFormatting sqref="AH14:AH15 AH17:AH19 AH21 AH23 AH25:AH26 AH28:AH29 AH31:AH32 AH34:AH35 AH37:AH44">
    <cfRule type="cellIs" dxfId="313" priority="1002" stopIfTrue="1" operator="equal">
      <formula>"NO ADMISIBLE"</formula>
    </cfRule>
  </conditionalFormatting>
  <conditionalFormatting sqref="AH14:AH15 AH17:AH19 AH21 AH23 AH25:AH26 AH28:AH29 AH31:AH32 AH34:AH35 AH37:AH44">
    <cfRule type="cellIs" dxfId="312" priority="1000" stopIfTrue="1" operator="equal">
      <formula>"NO ADMISIBLE"</formula>
    </cfRule>
    <cfRule type="cellIs" dxfId="311" priority="1001" stopIfTrue="1" operator="equal">
      <formula>"ADMISIBLE"</formula>
    </cfRule>
  </conditionalFormatting>
  <conditionalFormatting sqref="T13">
    <cfRule type="cellIs" dxfId="310" priority="999" operator="equal">
      <formula>"SI"</formula>
    </cfRule>
  </conditionalFormatting>
  <conditionalFormatting sqref="S13:S44 V13:V44 X13:X44 AA13:AA44 AG13:AG44 AI13:AI44">
    <cfRule type="cellIs" dxfId="309" priority="997" operator="equal">
      <formula>"NO CUMPLE"</formula>
    </cfRule>
    <cfRule type="cellIs" dxfId="308" priority="998" operator="equal">
      <formula>"CUMPLE"</formula>
    </cfRule>
  </conditionalFormatting>
  <conditionalFormatting sqref="AB13:AB44 AJ13:AJ44">
    <cfRule type="cellIs" dxfId="307" priority="996" operator="equal">
      <formula>"NO CUMPLE"</formula>
    </cfRule>
  </conditionalFormatting>
  <conditionalFormatting sqref="B14:B15 B17:B19 B21 B23 B25:B26 B28:L29 B31:L32 B34:L35 B37:L37 U13:U44 W13:W44 AF13:AF44 AH13:AH44 N13:R44 I23:J23 I21:J21 I17:J19 I14:J15 D25:L26 B39:L44 B38 D38:L38">
    <cfRule type="expression" dxfId="306" priority="707">
      <formula>MOD(ROW(),2)=0</formula>
    </cfRule>
  </conditionalFormatting>
  <conditionalFormatting sqref="AH16">
    <cfRule type="cellIs" dxfId="305" priority="45" stopIfTrue="1" operator="equal">
      <formula>"NO ADMISIBLE"</formula>
    </cfRule>
    <cfRule type="cellIs" dxfId="304" priority="46" stopIfTrue="1" operator="equal">
      <formula>"ADMISIBLE"</formula>
    </cfRule>
  </conditionalFormatting>
  <conditionalFormatting sqref="AD16">
    <cfRule type="cellIs" dxfId="303" priority="44" stopIfTrue="1" operator="equal">
      <formula>"NO ADMISIBLE"</formula>
    </cfRule>
  </conditionalFormatting>
  <conditionalFormatting sqref="T16">
    <cfRule type="cellIs" dxfId="302" priority="43" operator="equal">
      <formula>"SI"</formula>
    </cfRule>
  </conditionalFormatting>
  <conditionalFormatting sqref="AH20">
    <cfRule type="cellIs" dxfId="301" priority="41" stopIfTrue="1" operator="equal">
      <formula>"NO ADMISIBLE"</formula>
    </cfRule>
    <cfRule type="cellIs" dxfId="300" priority="42" stopIfTrue="1" operator="equal">
      <formula>"ADMISIBLE"</formula>
    </cfRule>
  </conditionalFormatting>
  <conditionalFormatting sqref="AD20">
    <cfRule type="cellIs" dxfId="299" priority="40" stopIfTrue="1" operator="equal">
      <formula>"NO ADMISIBLE"</formula>
    </cfRule>
  </conditionalFormatting>
  <conditionalFormatting sqref="T20">
    <cfRule type="cellIs" dxfId="298" priority="39" operator="equal">
      <formula>"SI"</formula>
    </cfRule>
  </conditionalFormatting>
  <conditionalFormatting sqref="AH22">
    <cfRule type="cellIs" dxfId="297" priority="37" stopIfTrue="1" operator="equal">
      <formula>"NO ADMISIBLE"</formula>
    </cfRule>
    <cfRule type="cellIs" dxfId="296" priority="38" stopIfTrue="1" operator="equal">
      <formula>"ADMISIBLE"</formula>
    </cfRule>
  </conditionalFormatting>
  <conditionalFormatting sqref="AD22">
    <cfRule type="cellIs" dxfId="295" priority="36" stopIfTrue="1" operator="equal">
      <formula>"NO ADMISIBLE"</formula>
    </cfRule>
  </conditionalFormatting>
  <conditionalFormatting sqref="T22">
    <cfRule type="cellIs" dxfId="294" priority="35" operator="equal">
      <formula>"SI"</formula>
    </cfRule>
  </conditionalFormatting>
  <conditionalFormatting sqref="AH24">
    <cfRule type="cellIs" dxfId="293" priority="33" stopIfTrue="1" operator="equal">
      <formula>"NO ADMISIBLE"</formula>
    </cfRule>
    <cfRule type="cellIs" dxfId="292" priority="34" stopIfTrue="1" operator="equal">
      <formula>"ADMISIBLE"</formula>
    </cfRule>
  </conditionalFormatting>
  <conditionalFormatting sqref="AD24">
    <cfRule type="cellIs" dxfId="291" priority="32" stopIfTrue="1" operator="equal">
      <formula>"NO ADMISIBLE"</formula>
    </cfRule>
  </conditionalFormatting>
  <conditionalFormatting sqref="T24">
    <cfRule type="cellIs" dxfId="290" priority="31" operator="equal">
      <formula>"SI"</formula>
    </cfRule>
  </conditionalFormatting>
  <conditionalFormatting sqref="AH27">
    <cfRule type="cellIs" dxfId="289" priority="29" stopIfTrue="1" operator="equal">
      <formula>"NO ADMISIBLE"</formula>
    </cfRule>
    <cfRule type="cellIs" dxfId="288" priority="30" stopIfTrue="1" operator="equal">
      <formula>"ADMISIBLE"</formula>
    </cfRule>
  </conditionalFormatting>
  <conditionalFormatting sqref="AD27">
    <cfRule type="cellIs" dxfId="287" priority="28" stopIfTrue="1" operator="equal">
      <formula>"NO ADMISIBLE"</formula>
    </cfRule>
  </conditionalFormatting>
  <conditionalFormatting sqref="T27">
    <cfRule type="cellIs" dxfId="286" priority="27" operator="equal">
      <formula>"SI"</formula>
    </cfRule>
  </conditionalFormatting>
  <conditionalFormatting sqref="AH30">
    <cfRule type="cellIs" dxfId="285" priority="25" stopIfTrue="1" operator="equal">
      <formula>"NO ADMISIBLE"</formula>
    </cfRule>
    <cfRule type="cellIs" dxfId="284" priority="26" stopIfTrue="1" operator="equal">
      <formula>"ADMISIBLE"</formula>
    </cfRule>
  </conditionalFormatting>
  <conditionalFormatting sqref="AD30">
    <cfRule type="cellIs" dxfId="283" priority="24" stopIfTrue="1" operator="equal">
      <formula>"NO ADMISIBLE"</formula>
    </cfRule>
  </conditionalFormatting>
  <conditionalFormatting sqref="T30">
    <cfRule type="cellIs" dxfId="282" priority="23" operator="equal">
      <formula>"SI"</formula>
    </cfRule>
  </conditionalFormatting>
  <conditionalFormatting sqref="AH33">
    <cfRule type="cellIs" dxfId="281" priority="21" stopIfTrue="1" operator="equal">
      <formula>"NO ADMISIBLE"</formula>
    </cfRule>
    <cfRule type="cellIs" dxfId="280" priority="22" stopIfTrue="1" operator="equal">
      <formula>"ADMISIBLE"</formula>
    </cfRule>
  </conditionalFormatting>
  <conditionalFormatting sqref="AD33">
    <cfRule type="cellIs" dxfId="279" priority="20" stopIfTrue="1" operator="equal">
      <formula>"NO ADMISIBLE"</formula>
    </cfRule>
  </conditionalFormatting>
  <conditionalFormatting sqref="T33">
    <cfRule type="cellIs" dxfId="278" priority="19" operator="equal">
      <formula>"SI"</formula>
    </cfRule>
  </conditionalFormatting>
  <conditionalFormatting sqref="AH36">
    <cfRule type="cellIs" dxfId="277" priority="17" stopIfTrue="1" operator="equal">
      <formula>"NO ADMISIBLE"</formula>
    </cfRule>
    <cfRule type="cellIs" dxfId="276" priority="18" stopIfTrue="1" operator="equal">
      <formula>"ADMISIBLE"</formula>
    </cfRule>
  </conditionalFormatting>
  <conditionalFormatting sqref="AD36">
    <cfRule type="cellIs" dxfId="275" priority="16" stopIfTrue="1" operator="equal">
      <formula>"NO ADMISIBLE"</formula>
    </cfRule>
  </conditionalFormatting>
  <conditionalFormatting sqref="T36">
    <cfRule type="cellIs" dxfId="274" priority="15" operator="equal">
      <formula>"SI"</formula>
    </cfRule>
  </conditionalFormatting>
  <conditionalFormatting sqref="C15 C21 C17:C19 C23">
    <cfRule type="expression" dxfId="273" priority="14">
      <formula>MOD(ROW(),2)=0</formula>
    </cfRule>
  </conditionalFormatting>
  <conditionalFormatting sqref="D14:D15">
    <cfRule type="cellIs" dxfId="272" priority="13" stopIfTrue="1" operator="equal">
      <formula>"NO ADMISIBLE"</formula>
    </cfRule>
  </conditionalFormatting>
  <conditionalFormatting sqref="D14:H15">
    <cfRule type="expression" dxfId="271" priority="12">
      <formula>MOD(ROW(),2)=0</formula>
    </cfRule>
  </conditionalFormatting>
  <conditionalFormatting sqref="K14:L15">
    <cfRule type="expression" dxfId="270" priority="11">
      <formula>MOD(ROW(),2)=0</formula>
    </cfRule>
  </conditionalFormatting>
  <conditionalFormatting sqref="D17:D19">
    <cfRule type="cellIs" dxfId="269" priority="10" stopIfTrue="1" operator="equal">
      <formula>"NO ADMISIBLE"</formula>
    </cfRule>
  </conditionalFormatting>
  <conditionalFormatting sqref="D17:H19">
    <cfRule type="expression" dxfId="268" priority="9">
      <formula>MOD(ROW(),2)=0</formula>
    </cfRule>
  </conditionalFormatting>
  <conditionalFormatting sqref="K17:L19">
    <cfRule type="expression" dxfId="267" priority="8">
      <formula>MOD(ROW(),2)=0</formula>
    </cfRule>
  </conditionalFormatting>
  <conditionalFormatting sqref="D21">
    <cfRule type="cellIs" dxfId="266" priority="7" stopIfTrue="1" operator="equal">
      <formula>"NO ADMISIBLE"</formula>
    </cfRule>
  </conditionalFormatting>
  <conditionalFormatting sqref="D21:H21">
    <cfRule type="expression" dxfId="265" priority="6">
      <formula>MOD(ROW(),2)=0</formula>
    </cfRule>
  </conditionalFormatting>
  <conditionalFormatting sqref="K21:L21">
    <cfRule type="expression" dxfId="264" priority="5">
      <formula>MOD(ROW(),2)=0</formula>
    </cfRule>
  </conditionalFormatting>
  <conditionalFormatting sqref="D23">
    <cfRule type="cellIs" dxfId="263" priority="4" stopIfTrue="1" operator="equal">
      <formula>"NO ADMISIBLE"</formula>
    </cfRule>
  </conditionalFormatting>
  <conditionalFormatting sqref="D23:H23">
    <cfRule type="expression" dxfId="262" priority="3">
      <formula>MOD(ROW(),2)=0</formula>
    </cfRule>
  </conditionalFormatting>
  <conditionalFormatting sqref="K23:L23">
    <cfRule type="expression" dxfId="261" priority="2">
      <formula>MOD(ROW(),2)=0</formula>
    </cfRule>
  </conditionalFormatting>
  <conditionalFormatting sqref="C25:C26">
    <cfRule type="expression" dxfId="260" priority="1">
      <formula>MOD(ROW(),2)=0</formula>
    </cfRule>
  </conditionalFormatting>
  <dataValidations count="3">
    <dataValidation type="custom" errorStyle="warning" allowBlank="1" showInputMessage="1" showErrorMessage="1" errorTitle="NO DIGITES AQUI " error="POR FAVOR LA CELDA ESTA FORMULADA Y NO DEBES DIGITAR EN ESTA CELDA._x000a_GRACIAS" sqref="T13 T16 T20 T22 T24 T27 T30 T33 T36" xr:uid="{00000000-0002-0000-0300-000001000000}">
      <formula1>-0.0000007</formula1>
    </dataValidation>
    <dataValidation type="list" allowBlank="1" showInputMessage="1" showErrorMessage="1" sqref="T14:T15 T17:T19 T21 T23 T25:T26 T28:T29 T31:T32 T34:T35 T37:T44" xr:uid="{00000000-0002-0000-0300-000002000000}">
      <formula1>"SI,NO,VERIFICAR"</formula1>
    </dataValidation>
    <dataValidation type="list" allowBlank="1" showInputMessage="1" showErrorMessage="1" sqref="AC13:AC44" xr:uid="{00000000-0002-0000-0300-000000000000}">
      <formula1>"2019,2020,2021"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JJR&amp;D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1"/>
  <dimension ref="A1:N45"/>
  <sheetViews>
    <sheetView topLeftCell="A10" workbookViewId="0">
      <selection activeCell="E21" sqref="E21"/>
    </sheetView>
  </sheetViews>
  <sheetFormatPr baseColWidth="10" defaultColWidth="11.453125" defaultRowHeight="12.5"/>
  <cols>
    <col min="1" max="1" width="11.453125" style="63" customWidth="1"/>
    <col min="2" max="2" width="3.90625" style="63" customWidth="1"/>
    <col min="3" max="3" width="29.453125" style="63" customWidth="1"/>
    <col min="4" max="4" width="15" style="63" customWidth="1"/>
    <col min="5" max="5" width="22.36328125" style="63" customWidth="1"/>
    <col min="6" max="7" width="17" style="63" customWidth="1"/>
    <col min="8" max="8" width="13.90625" style="59" customWidth="1"/>
    <col min="9" max="9" width="36.08984375" style="59" customWidth="1"/>
    <col min="10" max="10" width="32.36328125" style="63" customWidth="1"/>
    <col min="11" max="11" width="24.36328125" style="74" customWidth="1"/>
    <col min="12" max="12" width="9.6328125" style="75" customWidth="1"/>
    <col min="13" max="13" width="12.54296875" style="63" customWidth="1"/>
    <col min="14" max="14" width="12.6328125" style="63" customWidth="1"/>
    <col min="15" max="16384" width="11.453125" style="63"/>
  </cols>
  <sheetData>
    <row r="1" spans="1:14" ht="5.25" customHeight="1">
      <c r="H1" s="322"/>
      <c r="I1" s="322"/>
    </row>
    <row r="2" spans="1:14" ht="5.25" customHeight="1">
      <c r="H2" s="322"/>
      <c r="I2" s="322"/>
    </row>
    <row r="3" spans="1:14" ht="5.25" customHeight="1">
      <c r="H3" s="322"/>
      <c r="I3" s="322"/>
    </row>
    <row r="4" spans="1:14" s="65" customFormat="1" ht="20.25" customHeight="1">
      <c r="B4" s="446" t="s">
        <v>121</v>
      </c>
      <c r="C4" s="446"/>
      <c r="D4" s="446"/>
      <c r="E4" s="446"/>
      <c r="F4" s="446"/>
      <c r="G4" s="446"/>
      <c r="H4" s="446"/>
      <c r="I4" s="446"/>
      <c r="K4" s="66"/>
      <c r="L4" s="67"/>
    </row>
    <row r="5" spans="1:14" s="65" customFormat="1" ht="18" customHeight="1">
      <c r="B5" s="447" t="s">
        <v>62</v>
      </c>
      <c r="C5" s="447"/>
      <c r="D5" s="447"/>
      <c r="E5" s="447"/>
      <c r="F5" s="447"/>
      <c r="G5" s="447"/>
      <c r="H5" s="447"/>
      <c r="I5" s="447"/>
      <c r="K5" s="66"/>
      <c r="L5" s="67"/>
    </row>
    <row r="6" spans="1:14" s="65" customFormat="1" ht="13.5" customHeight="1">
      <c r="B6" s="448" t="str">
        <f>'Capacidad Financiera'!B4</f>
        <v xml:space="preserve">PROCESO No. </v>
      </c>
      <c r="C6" s="448"/>
      <c r="D6" s="448"/>
      <c r="E6" s="448"/>
      <c r="F6" s="448"/>
      <c r="G6" s="448"/>
      <c r="H6" s="448"/>
      <c r="I6" s="448"/>
      <c r="K6" s="66"/>
      <c r="L6" s="67"/>
    </row>
    <row r="7" spans="1:14" s="65" customFormat="1" ht="13.5" customHeight="1">
      <c r="B7" s="448" t="s">
        <v>122</v>
      </c>
      <c r="C7" s="448"/>
      <c r="D7" s="448"/>
      <c r="E7" s="448"/>
      <c r="F7" s="448"/>
      <c r="G7" s="448"/>
      <c r="H7" s="448"/>
      <c r="I7" s="448"/>
      <c r="K7" s="66"/>
      <c r="L7" s="67"/>
    </row>
    <row r="8" spans="1:14" s="65" customFormat="1" ht="13.5" thickBot="1">
      <c r="B8" s="102"/>
      <c r="C8" s="102"/>
      <c r="D8" s="102"/>
      <c r="E8" s="102"/>
      <c r="F8" s="102"/>
      <c r="G8" s="102"/>
      <c r="H8" s="102"/>
      <c r="I8" s="102"/>
      <c r="K8" s="66"/>
      <c r="L8" s="67"/>
    </row>
    <row r="9" spans="1:14" ht="21.75" customHeight="1" thickBot="1">
      <c r="A9" s="145" t="s">
        <v>46</v>
      </c>
      <c r="B9" s="102"/>
      <c r="C9" s="102"/>
      <c r="D9" s="102"/>
      <c r="E9" s="102"/>
      <c r="F9" s="102"/>
      <c r="G9" s="102"/>
      <c r="H9" s="102"/>
      <c r="I9" s="102"/>
    </row>
    <row r="10" spans="1:14" ht="17.25" customHeight="1" thickBot="1">
      <c r="A10" s="93">
        <v>1</v>
      </c>
      <c r="B10" s="68"/>
      <c r="C10" s="68"/>
      <c r="D10" s="69"/>
      <c r="E10" s="69"/>
      <c r="F10" s="69"/>
      <c r="G10" s="70"/>
      <c r="H10" s="72"/>
      <c r="I10" s="72"/>
    </row>
    <row r="11" spans="1:14" ht="13">
      <c r="B11" s="449" t="s">
        <v>78</v>
      </c>
      <c r="C11" s="451" t="s">
        <v>79</v>
      </c>
      <c r="D11" s="453" t="s">
        <v>123</v>
      </c>
      <c r="E11" s="453" t="s">
        <v>124</v>
      </c>
      <c r="F11" s="453" t="s">
        <v>125</v>
      </c>
      <c r="G11" s="453" t="s">
        <v>126</v>
      </c>
      <c r="H11" s="444" t="s">
        <v>122</v>
      </c>
      <c r="I11" s="445"/>
      <c r="K11" s="76"/>
      <c r="L11" s="77"/>
      <c r="M11" s="64"/>
      <c r="N11" s="64"/>
    </row>
    <row r="12" spans="1:14" ht="53" thickBot="1">
      <c r="B12" s="450"/>
      <c r="C12" s="452"/>
      <c r="D12" s="454"/>
      <c r="E12" s="454"/>
      <c r="F12" s="454"/>
      <c r="G12" s="454"/>
      <c r="H12" s="173" t="s">
        <v>127</v>
      </c>
      <c r="I12" s="174" t="s">
        <v>128</v>
      </c>
    </row>
    <row r="13" spans="1:14" ht="26">
      <c r="B13" s="47">
        <f>+'Capacidad Financiera'!B13</f>
        <v>1</v>
      </c>
      <c r="C13" s="48" t="str">
        <f>IF(ISERROR(VLOOKUP(B13,'Capacidad Financiera'!$B$13:$AB$58078,2,0)),"",VLOOKUP(B13,'Capacidad Financiera'!$B$13:$AB$58078,2,0))</f>
        <v>CONSORCIO MEGACONSTRUCCIONES 2024</v>
      </c>
      <c r="D13" s="49">
        <f>IF(ISERROR(VLOOKUP(B13,'Capacidad Financiera'!$B$13:$AB$58078,3,0)),"",VLOOKUP(B13,'Capacidad Financiera'!$B$13:$AB$58078,3,0))</f>
        <v>1</v>
      </c>
      <c r="E13" s="50"/>
      <c r="F13" s="50"/>
      <c r="G13" s="50" t="str">
        <f>IF(OR(C13="",D13="",E13=""),"",IF(B14="",IF(B13&lt;&gt;"",IF(ISERROR(VLOOKUP($A$10,POA!$A$2:$D$7,2,0)),"",VLOOKUP($A$10,POA!$A$2:$D$7,2,0)),""),""))</f>
        <v/>
      </c>
      <c r="H13" s="94" t="str">
        <f>IF(OR(C13="",D13="",E13=""),"",IF(B14="",IF(B13&lt;&gt;"",E13/G13,""),""))</f>
        <v/>
      </c>
      <c r="I13" s="91" t="str">
        <f>IF(B14="",IF(E13="","",IF(AND(H13&gt;0,H13&lt;=Experiencia1),Puntajes!$H$4,IF(AND(H13&gt;Experiencia1,H13&lt;=Experiencia2),Puntajes!$H$5,IF(AND(H13&gt;Experiencia2,H13&lt;=Experiencia3),Puntajes!$H$6,IF(H13&gt;Experiencia3,Puntajes!$H$7,0))))),"")</f>
        <v/>
      </c>
    </row>
    <row r="14" spans="1:14" ht="13">
      <c r="B14" s="52">
        <f>+'Capacidad Financiera'!B14</f>
        <v>1.1000000000000001</v>
      </c>
      <c r="C14" s="54" t="str">
        <f>IF(ISERROR(VLOOKUP(B14,'Capacidad Financiera'!$B$13:$AB$58078,2,0)),"",VLOOKUP(B14,'Capacidad Financiera'!$B$13:$AB$58078,2,0))</f>
        <v>MEGA CONSTRUCCIONES PACK SAS</v>
      </c>
      <c r="D14" s="175">
        <f>IF(ISERROR(VLOOKUP(B14,'Capacidad Financiera'!$B$13:$AB$58078,3,0)),"",VLOOKUP(B14,'Capacidad Financiera'!$B$13:$AB$58078,3,0))</f>
        <v>0.9</v>
      </c>
      <c r="E14" s="252">
        <v>29716629539.999996</v>
      </c>
      <c r="F14" s="176">
        <f t="shared" ref="F14" si="0">IF(OR(C14="",D14="",E14=""),"",E14/SALACTUAL)</f>
        <v>25617.784086206892</v>
      </c>
      <c r="G14" s="176">
        <f>IF(OR(C14="",D14="",E14=""),"",IF(B14&lt;&gt;"",IF(ISERROR(VLOOKUP($A$10,POA!$A$2:$D$7,2,0)),"",VLOOKUP($A$10,POA!$A$2:$D$7,2,0)/SALACTUAL),""))</f>
        <v>1034.4827586206898</v>
      </c>
      <c r="H14" s="177">
        <f>IF(OR(C14="",D14="",F14=""),"",IF(B14&lt;&gt;"",F14/(G14*D14),""))</f>
        <v>27.515397722222215</v>
      </c>
      <c r="I14" s="178">
        <f>IF(OR(C14="",D14="",E14=""),"",IF(AND(H14&gt;0,H14&lt;=Experiencia1),Puntajes!$H$4,IF(AND(H14&gt;Experiencia1,H14&lt;=Experiencia2),Puntajes!$H$5,IF(AND(H14&gt;Experiencia2,H14&lt;=Experiencia3),Puntajes!$H$6,IF(H14&gt;Experiencia3,Puntajes!$H$7,0)))))</f>
        <v>120</v>
      </c>
    </row>
    <row r="15" spans="1:14" ht="13.5" thickBot="1">
      <c r="B15" s="52">
        <f>+'Capacidad Financiera'!B15</f>
        <v>1.2</v>
      </c>
      <c r="C15" s="54" t="str">
        <f>IF(ISERROR(VLOOKUP(B15,'Capacidad Financiera'!$B$13:$AB$58078,2,0)),"",VLOOKUP(B15,'Capacidad Financiera'!$B$13:$AB$58078,2,0))</f>
        <v>MTS CONTRUCCIONES SAS</v>
      </c>
      <c r="D15" s="175">
        <f>IF(ISERROR(VLOOKUP(B15,'Capacidad Financiera'!$B$13:$AB$58078,3,0)),"",VLOOKUP(B15,'Capacidad Financiera'!$B$13:$AB$58078,3,0))</f>
        <v>0.1</v>
      </c>
      <c r="E15" s="252">
        <v>111823577450</v>
      </c>
      <c r="F15" s="176">
        <f t="shared" ref="F15:F44" si="1">IF(OR(C15="",D15="",E15=""),"",E15/SALACTUAL)</f>
        <v>96399.635732758616</v>
      </c>
      <c r="G15" s="176">
        <f>IF(OR(C15="",D15="",E15=""),"",IF(B15&lt;&gt;"",IF(ISERROR(VLOOKUP($A$10,POA!$A$2:$D$7,2,0)),"",VLOOKUP($A$10,POA!$A$2:$D$7,2,0)/SALACTUAL),""))</f>
        <v>1034.4827586206898</v>
      </c>
      <c r="H15" s="177">
        <f t="shared" ref="H15:H44" si="2">IF(OR(C15="",D15="",F15=""),"",IF(B15&lt;&gt;"",F15/(G15*D15),""))</f>
        <v>931.8631454166665</v>
      </c>
      <c r="I15" s="178">
        <f>IF(OR(C15="",D15="",E15=""),"",IF(AND(H15&gt;0,H15&lt;=Experiencia1),Puntajes!$H$4,IF(AND(H15&gt;Experiencia1,H15&lt;=Experiencia2),Puntajes!$H$5,IF(AND(H15&gt;Experiencia2,H15&lt;=Experiencia3),Puntajes!$H$6,IF(H15&gt;Experiencia3,Puntajes!$H$7,0)))))</f>
        <v>120</v>
      </c>
    </row>
    <row r="16" spans="1:14" ht="13">
      <c r="B16" s="47">
        <f>+'Capacidad Financiera'!B16</f>
        <v>2</v>
      </c>
      <c r="C16" s="48" t="str">
        <f>IF(ISERROR(VLOOKUP(B16,'Capacidad Financiera'!$B$13:$AB$58078,2,0)),"",VLOOKUP(B16,'Capacidad Financiera'!$B$13:$AB$58078,2,0))</f>
        <v>YAMEL ARANGO PINILLA</v>
      </c>
      <c r="D16" s="49">
        <f>IF(ISERROR(VLOOKUP(B16,'Capacidad Financiera'!$B$13:$AB$58078,3,0)),"",VLOOKUP(B16,'Capacidad Financiera'!$B$13:$AB$58078,3,0))</f>
        <v>1</v>
      </c>
      <c r="E16" s="50"/>
      <c r="F16" s="50"/>
      <c r="G16" s="50" t="str">
        <f>IF(OR(C16="",D16="",E16=""),"",IF(B17="",IF(B16&lt;&gt;"",IF(ISERROR(VLOOKUP($A$10,POA!$A$2:$D$7,2,0)),"",VLOOKUP($A$10,POA!$A$2:$D$7,2,0)),""),""))</f>
        <v/>
      </c>
      <c r="H16" s="94" t="str">
        <f>IF(OR(C16="",D16="",E16=""),"",IF(B17="",IF(B16&lt;&gt;"",E16/G16,""),""))</f>
        <v/>
      </c>
      <c r="I16" s="91" t="str">
        <f>IF(B17="",IF(E16="","",IF(AND(H16&gt;0,H16&lt;=Experiencia1),Puntajes!$H$4,IF(AND(H16&gt;Experiencia1,H16&lt;=Experiencia2),Puntajes!$H$5,IF(AND(H16&gt;Experiencia2,H16&lt;=Experiencia3),Puntajes!$H$6,IF(H16&gt;Experiencia3,Puntajes!$H$7,0))))),"")</f>
        <v/>
      </c>
    </row>
    <row r="17" spans="2:9" ht="13">
      <c r="B17" s="52">
        <f>+'Capacidad Financiera'!B17</f>
        <v>2.1</v>
      </c>
      <c r="C17" s="54" t="str">
        <f>IF(ISERROR(VLOOKUP(B17,'Capacidad Financiera'!$B$13:$AB$58078,2,0)),"",VLOOKUP(B17,'Capacidad Financiera'!$B$13:$AB$58078,2,0))</f>
        <v>YAMEL ARANGO PINILLA</v>
      </c>
      <c r="D17" s="175">
        <f>IF(ISERROR(VLOOKUP(B17,'Capacidad Financiera'!$B$13:$AB$58078,3,0)),"",VLOOKUP(B17,'Capacidad Financiera'!$B$13:$AB$58078,3,0))</f>
        <v>1</v>
      </c>
      <c r="E17" s="252">
        <v>28607009600</v>
      </c>
      <c r="F17" s="176">
        <f t="shared" ref="F17:F18" si="3">IF(OR(C17="",D17="",E17=""),"",E17/SALACTUAL)</f>
        <v>24661.215172413795</v>
      </c>
      <c r="G17" s="176">
        <f>IF(OR(C17="",D17="",E17=""),"",IF(B17&lt;&gt;"",IF(ISERROR(VLOOKUP($A$10,POA!$A$2:$D$7,2,0)),"",VLOOKUP($A$10,POA!$A$2:$D$7,2,0)/SALACTUAL),""))</f>
        <v>1034.4827586206898</v>
      </c>
      <c r="H17" s="177">
        <f>IF(OR(C17="",D17="",F17=""),"",IF(B17&lt;&gt;"",F17/(G17*D17),""))</f>
        <v>23.839174666666665</v>
      </c>
      <c r="I17" s="178">
        <f>IF(OR(C17="",D17="",E17=""),"",IF(AND(H17&gt;0,H17&lt;=Experiencia1),Puntajes!$H$4,IF(AND(H17&gt;Experiencia1,H17&lt;=Experiencia2),Puntajes!$H$5,IF(AND(H17&gt;Experiencia2,H17&lt;=Experiencia3),Puntajes!$H$6,IF(H17&gt;Experiencia3,Puntajes!$H$7,0)))))</f>
        <v>120</v>
      </c>
    </row>
    <row r="18" spans="2:9" ht="14" customHeight="1">
      <c r="B18" s="52">
        <f>+'Capacidad Financiera'!B18</f>
        <v>0</v>
      </c>
      <c r="C18" s="54" t="str">
        <f>IF(ISERROR(VLOOKUP(B18,'Capacidad Financiera'!$B$13:$AB$58078,2,0)),"",VLOOKUP(B18,'Capacidad Financiera'!$B$13:$AB$58078,2,0))</f>
        <v/>
      </c>
      <c r="D18" s="175" t="str">
        <f>IF(ISERROR(VLOOKUP(B18,'Capacidad Financiera'!$B$13:$AB$58078,3,0)),"",VLOOKUP(B18,'Capacidad Financiera'!$B$13:$AB$58078,3,0))</f>
        <v/>
      </c>
      <c r="E18" s="288"/>
      <c r="F18" s="176" t="str">
        <f t="shared" si="3"/>
        <v/>
      </c>
      <c r="G18" s="176" t="str">
        <f>IF(OR(C18="",D18="",E18=""),"",IF(B18&lt;&gt;"",IF(ISERROR(VLOOKUP($A$10,POA!$A$2:$D$7,2,0)),"",VLOOKUP($A$10,POA!$A$2:$D$7,2,0)/SALACTUAL),""))</f>
        <v/>
      </c>
      <c r="H18" s="177" t="str">
        <f t="shared" ref="H18" si="4">IF(OR(C18="",D18="",F18=""),"",IF(B18&lt;&gt;"",F18/(G18*D18),""))</f>
        <v/>
      </c>
      <c r="I18" s="178" t="str">
        <f>IF(OR(C18="",D18="",E18=""),"",IF(AND(H18&gt;0,H18&lt;=Experiencia1),Puntajes!$H$4,IF(AND(H18&gt;Experiencia1,H18&lt;=Experiencia2),Puntajes!$H$5,IF(AND(H18&gt;Experiencia2,H18&lt;=Experiencia3),Puntajes!$H$6,IF(H18&gt;Experiencia3,Puntajes!$H$7,0)))))</f>
        <v/>
      </c>
    </row>
    <row r="19" spans="2:9" ht="13.5" thickBot="1">
      <c r="B19" s="52" t="str">
        <f>+'Capacidad Financiera'!B19</f>
        <v/>
      </c>
      <c r="C19" s="54">
        <f>IF(ISERROR(VLOOKUP(B19,'Capacidad Financiera'!$B$13:$AB$58078,2,0)),"",VLOOKUP(B19,'Capacidad Financiera'!$B$13:$AB$58078,2,0))</f>
        <v>0</v>
      </c>
      <c r="D19" s="175">
        <f>IF(ISERROR(VLOOKUP(B19,'Capacidad Financiera'!$B$13:$AB$58078,3,0)),"",VLOOKUP(B19,'Capacidad Financiera'!$B$13:$AB$58078,3,0))</f>
        <v>0</v>
      </c>
      <c r="E19" s="176"/>
      <c r="F19" s="176" t="str">
        <f t="shared" ref="F19" si="5">IF(OR(C19="",D19="",E19=""),"",E19/SALACTUAL)</f>
        <v/>
      </c>
      <c r="G19" s="176" t="str">
        <f>IF(OR(C19="",D19="",E19=""),"",IF(B19&lt;&gt;"",IF(ISERROR(VLOOKUP($A$10,POA!$A$2:$D$7,2,0)),"",VLOOKUP($A$10,POA!$A$2:$D$7,2,0)/SALACTUAL),""))</f>
        <v/>
      </c>
      <c r="H19" s="177" t="str">
        <f t="shared" ref="H19" si="6">IF(OR(C19="",D19="",F19=""),"",IF(B19&lt;&gt;"",F19/(G19*D19),""))</f>
        <v/>
      </c>
      <c r="I19" s="178" t="str">
        <f>IF(OR(C19="",D19="",E19=""),"",IF(AND(H19&gt;0,H19&lt;=Experiencia1),Puntajes!$H$4,IF(AND(H19&gt;Experiencia1,H19&lt;=Experiencia2),Puntajes!$H$5,IF(AND(H19&gt;Experiencia2,H19&lt;=Experiencia3),Puntajes!$H$6,IF(H19&gt;Experiencia3,Puntajes!$H$7,0)))))</f>
        <v/>
      </c>
    </row>
    <row r="20" spans="2:9" ht="13">
      <c r="B20" s="47">
        <f>+'Capacidad Financiera'!B20</f>
        <v>3</v>
      </c>
      <c r="C20" s="48" t="s">
        <v>267</v>
      </c>
      <c r="D20" s="49">
        <f>IF(ISERROR(VLOOKUP(B20,'Capacidad Financiera'!$B$13:$AB$58078,3,0)),"",VLOOKUP(B20,'Capacidad Financiera'!$B$13:$AB$58078,3,0))</f>
        <v>1</v>
      </c>
      <c r="E20" s="50"/>
      <c r="F20" s="50"/>
      <c r="G20" s="50" t="str">
        <f>IF(OR(C20="",D20="",E20=""),"",IF(B21="",IF(B20&lt;&gt;"",IF(ISERROR(VLOOKUP($A$10,POA!$A$2:$D$7,2,0)),"",VLOOKUP($A$10,POA!$A$2:$D$7,2,0)),""),""))</f>
        <v/>
      </c>
      <c r="H20" s="94" t="str">
        <f>IF(OR(C20="",D20="",E20=""),"",IF(B21="",IF(B20&lt;&gt;"",E20/G20,""),""))</f>
        <v/>
      </c>
      <c r="I20" s="91" t="str">
        <f>IF(B21="",IF(E20="","",IF(AND(H20&gt;0,H20&lt;=Experiencia1),Puntajes!$H$4,IF(AND(H20&gt;Experiencia1,H20&lt;=Experiencia2),Puntajes!$H$5,IF(AND(H20&gt;Experiencia2,H20&lt;=Experiencia3),Puntajes!$H$6,IF(H20&gt;Experiencia3,Puntajes!$H$7,0))))),"")</f>
        <v/>
      </c>
    </row>
    <row r="21" spans="2:9" ht="13.5" thickBot="1">
      <c r="B21" s="52">
        <v>3.1</v>
      </c>
      <c r="C21" s="54" t="s">
        <v>267</v>
      </c>
      <c r="D21" s="175">
        <v>1</v>
      </c>
      <c r="E21" s="252">
        <v>52633683700</v>
      </c>
      <c r="F21" s="176">
        <f t="shared" ref="F21" si="7">IF(OR(C21="",D21="",E21=""),"",E21/SALACTUAL)</f>
        <v>45373.865258620688</v>
      </c>
      <c r="G21" s="176">
        <f>IF(OR(C21="",D21="",E21=""),"",IF(B21&lt;&gt;"",IF(ISERROR(VLOOKUP($A$10,POA!$A$2:$D$7,2,0)),"",VLOOKUP($A$10,POA!$A$2:$D$7,2,0)/SALACTUAL),""))</f>
        <v>1034.4827586206898</v>
      </c>
      <c r="H21" s="177">
        <f>IF(OR(C21="",D21="",F21=""),"",IF(B21&lt;&gt;"",F21/(G21*D21),""))</f>
        <v>43.861403083333329</v>
      </c>
      <c r="I21" s="178">
        <f>IF(OR(C21="",D21="",E21=""),"",IF(AND(H21&gt;0,H21&lt;=Experiencia1),Puntajes!$H$4,IF(AND(H21&gt;Experiencia1,H21&lt;=Experiencia2),Puntajes!$H$5,IF(AND(H21&gt;Experiencia2,H21&lt;=Experiencia3),Puntajes!$H$6,IF(H21&gt;Experiencia3,Puntajes!$H$7,0)))))</f>
        <v>120</v>
      </c>
    </row>
    <row r="22" spans="2:9" ht="13">
      <c r="B22" s="47">
        <f>+'Capacidad Financiera'!B22</f>
        <v>4</v>
      </c>
      <c r="C22" s="48" t="s">
        <v>268</v>
      </c>
      <c r="D22" s="49">
        <f>IF(ISERROR(VLOOKUP(B22,'Capacidad Financiera'!$B$13:$AB$58078,3,0)),"",VLOOKUP(B22,'Capacidad Financiera'!$B$13:$AB$58078,3,0))</f>
        <v>1</v>
      </c>
      <c r="E22" s="50"/>
      <c r="F22" s="50"/>
      <c r="G22" s="50" t="str">
        <f>IF(OR(C22="",D22="",E22=""),"",IF(B23="",IF(B22&lt;&gt;"",IF(ISERROR(VLOOKUP($A$10,POA!$A$2:$D$7,2,0)),"",VLOOKUP($A$10,POA!$A$2:$D$7,2,0)),""),""))</f>
        <v/>
      </c>
      <c r="H22" s="94" t="str">
        <f>IF(OR(C22="",D22="",E22=""),"",IF(B23="",IF(B22&lt;&gt;"",E22/G22,""),""))</f>
        <v/>
      </c>
      <c r="I22" s="91" t="str">
        <f>IF(B23="",IF(E22="","",IF(AND(H22&gt;0,H22&lt;=Experiencia1),Puntajes!$H$4,IF(AND(H22&gt;Experiencia1,H22&lt;=Experiencia2),Puntajes!$H$5,IF(AND(H22&gt;Experiencia2,H22&lt;=Experiencia3),Puntajes!$H$6,IF(H22&gt;Experiencia3,Puntajes!$H$7,0))))),"")</f>
        <v/>
      </c>
    </row>
    <row r="23" spans="2:9" ht="14.5" thickBot="1">
      <c r="B23" s="185">
        <v>4.0999999999999996</v>
      </c>
      <c r="C23" s="54" t="s">
        <v>268</v>
      </c>
      <c r="D23" s="175">
        <f>IF(ISERROR(VLOOKUP(B23,'Capacidad Financiera'!$B$13:$AB$58078,3,0)),"",VLOOKUP(B23,'Capacidad Financiera'!$B$13:$AB$58078,3,0))</f>
        <v>1</v>
      </c>
      <c r="E23" s="337">
        <f>SUM(E16:E22)</f>
        <v>81240693300</v>
      </c>
      <c r="F23" s="176">
        <f t="shared" ref="F23" si="8">IF(OR(C23="",D23="",E23=""),"",E23/SALACTUAL)</f>
        <v>70035.080431034483</v>
      </c>
      <c r="G23" s="176">
        <f>IF(OR(C23="",D23="",E23=""),"",IF(B23&lt;&gt;"",IF(ISERROR(VLOOKUP($A$10,POA!$A$2:$D$7,2,0)),"",VLOOKUP($A$10,POA!$A$2:$D$7,2,0)/SALACTUAL),""))</f>
        <v>1034.4827586206898</v>
      </c>
      <c r="H23" s="177">
        <f>IF(OR(C23="",D23="",F23=""),"",IF(B23&lt;&gt;"",F23/(G23*D23),""))</f>
        <v>67.700577749999994</v>
      </c>
      <c r="I23" s="178">
        <f>IF(OR(C23="",D23="",E23=""),"",IF(AND(H23&gt;0,H23&lt;=Experiencia1),Puntajes!$H$4,IF(AND(H23&gt;Experiencia1,H23&lt;=Experiencia2),Puntajes!$H$5,IF(AND(H23&gt;Experiencia2,H23&lt;=Experiencia3),Puntajes!$H$6,IF(H23&gt;Experiencia3,Puntajes!$H$7,0)))))</f>
        <v>120</v>
      </c>
    </row>
    <row r="24" spans="2:9" ht="13">
      <c r="B24" s="47">
        <f>+'Capacidad Financiera'!B24</f>
        <v>5</v>
      </c>
      <c r="C24" s="48" t="str">
        <f>IF(ISERROR(VLOOKUP(B24,'Capacidad Financiera'!$B$13:$AB$58078,2,0)),"",VLOOKUP(B24,'Capacidad Financiera'!$B$13:$AB$58078,2,0))</f>
        <v>GEPAV S.A.S.</v>
      </c>
      <c r="D24" s="49">
        <f>IF(ISERROR(VLOOKUP(B24,'Capacidad Financiera'!$B$13:$AB$58078,3,0)),"",VLOOKUP(B24,'Capacidad Financiera'!$B$13:$AB$58078,3,0))</f>
        <v>1</v>
      </c>
      <c r="E24" s="50"/>
      <c r="F24" s="50"/>
      <c r="G24" s="50" t="str">
        <f>IF(OR(C24="",D24="",E24=""),"",IF(B25="",IF(B24&lt;&gt;"",IF(ISERROR(VLOOKUP($A$10,POA!$A$2:$D$7,2,0)),"",VLOOKUP($A$10,POA!$A$2:$D$7,2,0)),""),""))</f>
        <v/>
      </c>
      <c r="H24" s="94" t="str">
        <f>IF(OR(C24="",D24="",E24=""),"",IF(B25="",IF(B24&lt;&gt;"",E24/G24,""),""))</f>
        <v/>
      </c>
      <c r="I24" s="91" t="str">
        <f>IF(B25="",IF(E24="","",IF(AND(H24&gt;0,H24&lt;=Experiencia1),Puntajes!$H$4,IF(AND(H24&gt;Experiencia1,H24&lt;=Experiencia2),Puntajes!$H$5,IF(AND(H24&gt;Experiencia2,H24&lt;=Experiencia3),Puntajes!$H$6,IF(H24&gt;Experiencia3,Puntajes!$H$7,0))))),"")</f>
        <v/>
      </c>
    </row>
    <row r="25" spans="2:9" ht="13">
      <c r="B25" s="52">
        <v>5.0999999999999996</v>
      </c>
      <c r="C25" s="54" t="str">
        <f>IF(ISERROR(VLOOKUP(B25,'Capacidad Financiera'!$B$13:$AB$58078,2,0)),"",VLOOKUP(B25,'Capacidad Financiera'!$B$13:$AB$58078,2,0))</f>
        <v>GEPAV S.A.S.</v>
      </c>
      <c r="D25" s="175">
        <f>IF(ISERROR(VLOOKUP(B25,'Capacidad Financiera'!$B$13:$AB$58078,3,0)),"",VLOOKUP(B25,'Capacidad Financiera'!$B$13:$AB$58078,3,0))</f>
        <v>1</v>
      </c>
      <c r="E25" s="252">
        <v>90504003850</v>
      </c>
      <c r="F25" s="176">
        <f t="shared" ref="F25:F26" si="9">IF(OR(C25="",D25="",E25=""),"",E25/SALACTUAL)</f>
        <v>78020.692974137928</v>
      </c>
      <c r="G25" s="176">
        <f>IF(OR(C25="",D25="",E25=""),"",IF(B25&lt;&gt;"",IF(ISERROR(VLOOKUP($A$10,POA!$A$2:$D$7,2,0)),"",VLOOKUP($A$10,POA!$A$2:$D$7,2,0)/SALACTUAL),""))</f>
        <v>1034.4827586206898</v>
      </c>
      <c r="H25" s="177">
        <f>IF(OR(C25="",D25="",F25=""),"",IF(B25&lt;&gt;"",F25/(G25*D25),""))</f>
        <v>75.420003208333327</v>
      </c>
      <c r="I25" s="178">
        <f>IF(OR(C25="",D25="",E25=""),"",IF(AND(H25&gt;0,H25&lt;=Experiencia1),Puntajes!$H$4,IF(AND(H25&gt;Experiencia1,H25&lt;=Experiencia2),Puntajes!$H$5,IF(AND(H25&gt;Experiencia2,H25&lt;=Experiencia3),Puntajes!$H$6,IF(H25&gt;Experiencia3,Puntajes!$H$7,0)))))</f>
        <v>120</v>
      </c>
    </row>
    <row r="26" spans="2:9" ht="14.5" thickBot="1">
      <c r="B26" s="282">
        <v>5.2</v>
      </c>
      <c r="C26" s="262"/>
      <c r="D26" s="283">
        <v>0.1</v>
      </c>
      <c r="E26" s="284"/>
      <c r="F26" s="285" t="str">
        <f t="shared" si="9"/>
        <v/>
      </c>
      <c r="G26" s="285" t="str">
        <f>IF(OR(C26="",D26="",E26=""),"",IF(B26&lt;&gt;"",IF(ISERROR(VLOOKUP($A$10,POA!$A$2:$D$7,2,0)),"",VLOOKUP($A$10,POA!$A$2:$D$7,2,0)/SALACTUAL),""))</f>
        <v/>
      </c>
      <c r="H26" s="286" t="str">
        <f t="shared" ref="H26" si="10">IF(OR(C26="",D26="",F26=""),"",IF(B26&lt;&gt;"",F26/(G26*D26),""))</f>
        <v/>
      </c>
      <c r="I26" s="287" t="str">
        <f>IF(OR(C26="",D26="",E26=""),"",IF(AND(H26&gt;0,H26&lt;=Experiencia1),Puntajes!$H$4,IF(AND(H26&gt;Experiencia1,H26&lt;=Experiencia2),Puntajes!$H$5,IF(AND(H26&gt;Experiencia2,H26&lt;=Experiencia3),Puntajes!$H$6,IF(H26&gt;Experiencia3,Puntajes!$H$7,0)))))</f>
        <v/>
      </c>
    </row>
    <row r="27" spans="2:9" ht="13">
      <c r="B27" s="47">
        <f>+'Capacidad Financiera'!B27</f>
        <v>6</v>
      </c>
      <c r="C27" s="48" t="str">
        <f>IF(ISERROR(VLOOKUP(B27,'Capacidad Financiera'!$B$13:$AB$58078,2,0)),"",VLOOKUP(B27,'Capacidad Financiera'!$B$13:$AB$58078,2,0))</f>
        <v>JUAN CARLOS BRICEÑO CHAVES</v>
      </c>
      <c r="D27" s="49">
        <f>IF(ISERROR(VLOOKUP(B27,'Capacidad Financiera'!$B$13:$AB$58078,3,0)),"",VLOOKUP(B27,'Capacidad Financiera'!$B$13:$AB$58078,3,0))</f>
        <v>1</v>
      </c>
      <c r="E27" s="50"/>
      <c r="F27" s="50"/>
      <c r="G27" s="50" t="str">
        <f>IF(OR(C27="",D27="",E27=""),"",IF(B28="",IF(B27&lt;&gt;"",IF(ISERROR(VLOOKUP($A$10,POA!$A$2:$D$7,2,0)),"",VLOOKUP($A$10,POA!$A$2:$D$7,2,0)),""),""))</f>
        <v/>
      </c>
      <c r="H27" s="94" t="str">
        <f>IF(OR(C27="",D27="",E27=""),"",IF(B28="",IF(B27&lt;&gt;"",E27/G27,""),""))</f>
        <v/>
      </c>
      <c r="I27" s="91" t="str">
        <f>IF(B28="",IF(E27="","",IF(AND(H27&gt;0,H27&lt;=Experiencia1),Puntajes!$H$4,IF(AND(H27&gt;Experiencia1,H27&lt;=Experiencia2),Puntajes!$H$5,IF(AND(H27&gt;Experiencia2,H27&lt;=Experiencia3),Puntajes!$H$6,IF(H27&gt;Experiencia3,Puntajes!$H$7,0))))),"")</f>
        <v/>
      </c>
    </row>
    <row r="28" spans="2:9" ht="13">
      <c r="B28" s="52">
        <v>6.1</v>
      </c>
      <c r="C28" s="54" t="str">
        <f>IF(ISERROR(VLOOKUP(B28,'Capacidad Financiera'!$B$13:$AB$58078,2,0)),"",VLOOKUP(B28,'Capacidad Financiera'!$B$13:$AB$58078,2,0))</f>
        <v>JUAN CARLOS BRICEÑO CHAVES</v>
      </c>
      <c r="D28" s="175">
        <f>IF(ISERROR(VLOOKUP(B28,'Capacidad Financiera'!$B$13:$AB$58078,3,0)),"",VLOOKUP(B28,'Capacidad Financiera'!$B$13:$AB$58078,3,0))</f>
        <v>1</v>
      </c>
      <c r="E28" s="252">
        <v>58815368040</v>
      </c>
      <c r="F28" s="176">
        <f t="shared" ref="F28:F29" si="11">IF(OR(C28="",D28="",E28=""),"",E28/SALACTUAL)</f>
        <v>50702.903482758622</v>
      </c>
      <c r="G28" s="176">
        <f>IF(OR(C28="",D28="",E28=""),"",IF(B28&lt;&gt;"",IF(ISERROR(VLOOKUP($A$10,POA!$A$2:$D$7,2,0)),"",VLOOKUP($A$10,POA!$A$2:$D$7,2,0)/SALACTUAL),""))</f>
        <v>1034.4827586206898</v>
      </c>
      <c r="H28" s="177">
        <f>IF(OR(C28="",D28="",F28=""),"",IF(B28&lt;&gt;"",F28/(G28*D28),""))</f>
        <v>49.012806699999999</v>
      </c>
      <c r="I28" s="178">
        <f>IF(OR(C28="",D28="",E28=""),"",IF(AND(H28&gt;0,H28&lt;=Experiencia1),Puntajes!$H$4,IF(AND(H28&gt;Experiencia1,H28&lt;=Experiencia2),Puntajes!$H$5,IF(AND(H28&gt;Experiencia2,H28&lt;=Experiencia3),Puntajes!$H$6,IF(H28&gt;Experiencia3,Puntajes!$H$7,0)))))</f>
        <v>120</v>
      </c>
    </row>
    <row r="29" spans="2:9" ht="14.5" thickBot="1">
      <c r="B29" s="282">
        <v>6.2</v>
      </c>
      <c r="C29" s="262"/>
      <c r="D29" s="283">
        <v>0.1</v>
      </c>
      <c r="E29" s="284"/>
      <c r="F29" s="285" t="str">
        <f t="shared" si="11"/>
        <v/>
      </c>
      <c r="G29" s="285" t="str">
        <f>IF(OR(C29="",D29="",E29=""),"",IF(B29&lt;&gt;"",IF(ISERROR(VLOOKUP($A$10,POA!$A$2:$D$7,2,0)),"",VLOOKUP($A$10,POA!$A$2:$D$7,2,0)/SALACTUAL),""))</f>
        <v/>
      </c>
      <c r="H29" s="286" t="str">
        <f t="shared" ref="H29" si="12">IF(OR(C29="",D29="",F29=""),"",IF(B29&lt;&gt;"",F29/(G29*D29),""))</f>
        <v/>
      </c>
      <c r="I29" s="287" t="str">
        <f>IF(OR(C29="",D29="",E29=""),"",IF(AND(H29&gt;0,H29&lt;=Experiencia1),Puntajes!$H$4,IF(AND(H29&gt;Experiencia1,H29&lt;=Experiencia2),Puntajes!$H$5,IF(AND(H29&gt;Experiencia2,H29&lt;=Experiencia3),Puntajes!$H$6,IF(H29&gt;Experiencia3,Puntajes!$H$7,0)))))</f>
        <v/>
      </c>
    </row>
    <row r="30" spans="2:9" ht="26">
      <c r="B30" s="47">
        <f>+'Capacidad Financiera'!B30</f>
        <v>7</v>
      </c>
      <c r="C30" s="48" t="str">
        <f>IF(ISERROR(VLOOKUP(B30,'Capacidad Financiera'!$B$13:$AB$58078,2,0)),"",VLOOKUP(B30,'Capacidad Financiera'!$B$13:$AB$58078,2,0))</f>
        <v>CONSORCIO INFRAESTRUCTURA 2024</v>
      </c>
      <c r="D30" s="49">
        <f>IF(ISERROR(VLOOKUP(B30,'Capacidad Financiera'!$B$13:$AB$58078,3,0)),"",VLOOKUP(B30,'Capacidad Financiera'!$B$13:$AB$58078,3,0))</f>
        <v>1</v>
      </c>
      <c r="E30" s="50"/>
      <c r="F30" s="50"/>
      <c r="G30" s="50" t="str">
        <f>IF(OR(C30="",D30="",E30=""),"",IF(B31="",IF(B30&lt;&gt;"",IF(ISERROR(VLOOKUP($A$10,POA!$A$2:$D$7,2,0)),"",VLOOKUP($A$10,POA!$A$2:$D$7,2,0)),""),""))</f>
        <v/>
      </c>
      <c r="H30" s="94" t="str">
        <f>IF(OR(C30="",D30="",E30=""),"",IF(B31="",IF(B30&lt;&gt;"",E30/G30,""),""))</f>
        <v/>
      </c>
      <c r="I30" s="91" t="str">
        <f>IF(B31="",IF(E30="","",IF(AND(H30&gt;0,H30&lt;=Experiencia1),Puntajes!$H$4,IF(AND(H30&gt;Experiencia1,H30&lt;=Experiencia2),Puntajes!$H$5,IF(AND(H30&gt;Experiencia2,H30&lt;=Experiencia3),Puntajes!$H$6,IF(H30&gt;Experiencia3,Puntajes!$H$7,0))))),"")</f>
        <v/>
      </c>
    </row>
    <row r="31" spans="2:9" ht="16.5" customHeight="1">
      <c r="B31" s="52">
        <f>+'Capacidad Financiera'!B31</f>
        <v>7.1</v>
      </c>
      <c r="C31" s="54" t="str">
        <f>IF(ISERROR(VLOOKUP(B31,'Capacidad Financiera'!$B$13:$AB$58078,2,0)),"",VLOOKUP(B31,'Capacidad Financiera'!$B$13:$AB$58078,2,0))</f>
        <v>AGINSA INGENIERIA S.A.S.</v>
      </c>
      <c r="D31" s="175">
        <f>IF(ISERROR(VLOOKUP(B31,'Capacidad Financiera'!$B$13:$AB$58078,3,0)),"",VLOOKUP(B31,'Capacidad Financiera'!$B$13:$AB$58078,3,0))</f>
        <v>0.9</v>
      </c>
      <c r="E31" s="252">
        <v>106156950900</v>
      </c>
      <c r="F31" s="176">
        <f t="shared" ref="F31:F32" si="13">IF(OR(C31="",D31="",E31=""),"",E31/SALACTUAL)</f>
        <v>91514.612844827585</v>
      </c>
      <c r="G31" s="176">
        <f>IF(OR(C31="",D31="",E31=""),"",IF(B31&lt;&gt;"",IF(ISERROR(VLOOKUP($A$10,POA!$A$2:$D$7,2,0)),"",VLOOKUP($A$10,POA!$A$2:$D$7,2,0)/SALACTUAL),""))</f>
        <v>1034.4827586206898</v>
      </c>
      <c r="H31" s="177">
        <f>IF(OR(C31="",D31="",F31=""),"",IF(B31&lt;&gt;"",F31/(G31*D31),""))</f>
        <v>98.293473055555538</v>
      </c>
      <c r="I31" s="178">
        <f>IF(OR(C31="",D31="",E31=""),"",IF(AND(H31&gt;0,H31&lt;=Experiencia1),Puntajes!$H$4,IF(AND(H31&gt;Experiencia1,H31&lt;=Experiencia2),Puntajes!$H$5,IF(AND(H31&gt;Experiencia2,H31&lt;=Experiencia3),Puntajes!$H$6,IF(H31&gt;Experiencia3,Puntajes!$H$7,0)))))</f>
        <v>120</v>
      </c>
    </row>
    <row r="32" spans="2:9" ht="16.5" customHeight="1" thickBot="1">
      <c r="B32" s="282">
        <v>7.2</v>
      </c>
      <c r="C32" s="338" t="s">
        <v>277</v>
      </c>
      <c r="D32" s="283">
        <f>IF(ISERROR(VLOOKUP(B32,'Capacidad Financiera'!$B$13:$AB$58078,3,0)),"",VLOOKUP(B32,'Capacidad Financiera'!$B$13:$AB$58078,3,0))</f>
        <v>0.1</v>
      </c>
      <c r="E32" s="284">
        <v>1353794000</v>
      </c>
      <c r="F32" s="285">
        <f t="shared" si="13"/>
        <v>1167.0637931034482</v>
      </c>
      <c r="G32" s="285">
        <f>IF(OR(C32="",D32="",E32=""),"",IF(B32&lt;&gt;"",IF(ISERROR(VLOOKUP($A$10,POA!$A$2:$D$7,2,0)),"",VLOOKUP($A$10,POA!$A$2:$D$7,2,0)/SALACTUAL),""))</f>
        <v>1034.4827586206898</v>
      </c>
      <c r="H32" s="286">
        <f t="shared" ref="H32" si="14">IF(OR(C32="",D32="",F32=""),"",IF(B32&lt;&gt;"",F32/(G32*D32),""))</f>
        <v>11.281616666666665</v>
      </c>
      <c r="I32" s="287">
        <f>IF(OR(C32="",D32="",E32=""),"",IF(AND(H32&gt;0,H32&lt;=Experiencia1),Puntajes!$H$4,IF(AND(H32&gt;Experiencia1,H32&lt;=Experiencia2),Puntajes!$H$5,IF(AND(H32&gt;Experiencia2,H32&lt;=Experiencia3),Puntajes!$H$6,IF(H32&gt;Experiencia3,Puntajes!$H$7,0)))))</f>
        <v>120</v>
      </c>
    </row>
    <row r="33" spans="2:9" ht="13">
      <c r="B33" s="47">
        <f>+'Capacidad Financiera'!B33</f>
        <v>8</v>
      </c>
      <c r="C33" s="48" t="str">
        <f>IF(ISERROR(VLOOKUP(B33,'Capacidad Financiera'!$B$13:$AB$58078,2,0)),"",VLOOKUP(B33,'Capacidad Financiera'!$B$13:$AB$58078,2,0))</f>
        <v xml:space="preserve">CONSORCIO PROGRESAR </v>
      </c>
      <c r="D33" s="49">
        <f>IF(ISERROR(VLOOKUP(B33,'Capacidad Financiera'!$B$13:$AB$58078,3,0)),"",VLOOKUP(B33,'Capacidad Financiera'!$B$13:$AB$58078,3,0))</f>
        <v>1</v>
      </c>
      <c r="E33" s="50"/>
      <c r="F33" s="50"/>
      <c r="G33" s="50" t="str">
        <f>IF(OR(C33="",D33="",E33=""),"",IF(B34="",IF(B33&lt;&gt;"",IF(ISERROR(VLOOKUP($A$10,POA!$A$2:$D$7,2,0)),"",VLOOKUP($A$10,POA!$A$2:$D$7,2,0)),""),""))</f>
        <v/>
      </c>
      <c r="H33" s="94" t="str">
        <f>IF(OR(C33="",D33="",E33=""),"",IF(B34="",IF(B33&lt;&gt;"",E33/G33,""),""))</f>
        <v/>
      </c>
      <c r="I33" s="91" t="str">
        <f>IF(B34="",IF(E33="","",IF(AND(H33&gt;0,H33&lt;=Experiencia1),Puntajes!$H$4,IF(AND(H33&gt;Experiencia1,H33&lt;=Experiencia2),Puntajes!$H$5,IF(AND(H33&gt;Experiencia2,H33&lt;=Experiencia3),Puntajes!$H$6,IF(H33&gt;Experiencia3,Puntajes!$H$7,0))))),"")</f>
        <v/>
      </c>
    </row>
    <row r="34" spans="2:9" ht="13">
      <c r="B34" s="52">
        <f>+'Capacidad Financiera'!B34</f>
        <v>8.1</v>
      </c>
      <c r="C34" s="54" t="str">
        <f>IF(ISERROR(VLOOKUP(B34,'Capacidad Financiera'!$B$13:$AB$58078,2,0)),"",VLOOKUP(B34,'Capacidad Financiera'!$B$13:$AB$58078,2,0))</f>
        <v>INGENIECOL S.A.S.</v>
      </c>
      <c r="D34" s="175">
        <v>0.9</v>
      </c>
      <c r="E34" s="252">
        <v>7996227200</v>
      </c>
      <c r="F34" s="176">
        <f t="shared" ref="F34:F35" si="15">IF(OR(C34="",D34="",E34=""),"",E34/SALACTUAL)</f>
        <v>6893.299310344828</v>
      </c>
      <c r="G34" s="176">
        <f>IF(OR(C34="",D34="",E34=""),"",IF(B34&lt;&gt;"",IF(ISERROR(VLOOKUP($A$10,POA!$A$2:$D$7,2,0)),"",VLOOKUP($A$10,POA!$A$2:$D$7,2,0)/SALACTUAL),""))</f>
        <v>1034.4827586206898</v>
      </c>
      <c r="H34" s="177">
        <f>IF(OR(C34="",D34="",F34=""),"",IF(B34&lt;&gt;"",F34/(G34*D34),""))</f>
        <v>7.4039140740740734</v>
      </c>
      <c r="I34" s="178">
        <f>IF(OR(C34="",D34="",E34=""),"",IF(AND(H34&gt;0,H34&lt;=Experiencia1),Puntajes!$H$4,IF(AND(H34&gt;Experiencia1,H34&lt;=Experiencia2),Puntajes!$H$5,IF(AND(H34&gt;Experiencia2,H34&lt;=Experiencia3),Puntajes!$H$6,IF(H34&gt;Experiencia3,Puntajes!$H$7,0)))))</f>
        <v>100</v>
      </c>
    </row>
    <row r="35" spans="2:9" ht="13.5" thickBot="1">
      <c r="B35" s="282">
        <v>8.1999999999999993</v>
      </c>
      <c r="C35" s="338" t="str">
        <f>IF(ISERROR(VLOOKUP(B35,'Capacidad Financiera'!$B$13:$AB$58078,2,0)),"",VLOOKUP(B35,'Capacidad Financiera'!$B$13:$AB$58078,2,0))</f>
        <v>MARIA ALEJANDRA LEGARDA LEMOS</v>
      </c>
      <c r="D35" s="283">
        <f>IF(ISERROR(VLOOKUP(B35,'Capacidad Financiera'!$B$13:$AB$58078,3,0)),"",VLOOKUP(B35,'Capacidad Financiera'!$B$13:$AB$58078,3,0))</f>
        <v>0.1</v>
      </c>
      <c r="E35" s="284">
        <v>1012744380</v>
      </c>
      <c r="F35" s="285">
        <f t="shared" si="15"/>
        <v>873.05550000000005</v>
      </c>
      <c r="G35" s="285">
        <f>IF(OR(C35="",D35="",E35=""),"",IF(B35&lt;&gt;"",IF(ISERROR(VLOOKUP($A$10,POA!$A$2:$D$7,2,0)),"",VLOOKUP($A$10,POA!$A$2:$D$7,2,0)/SALACTUAL),""))</f>
        <v>1034.4827586206898</v>
      </c>
      <c r="H35" s="286">
        <f t="shared" ref="H35" si="16">IF(OR(C35="",D35="",F35=""),"",IF(B35&lt;&gt;"",F35/(G35*D35),""))</f>
        <v>8.4395364999999991</v>
      </c>
      <c r="I35" s="287">
        <f>IF(OR(C35="",D35="",E35=""),"",IF(AND(H35&gt;0,H35&lt;=Experiencia1),Puntajes!$H$4,IF(AND(H35&gt;Experiencia1,H35&lt;=Experiencia2),Puntajes!$H$5,IF(AND(H35&gt;Experiencia2,H35&lt;=Experiencia3),Puntajes!$H$6,IF(H35&gt;Experiencia3,Puntajes!$H$7,0)))))</f>
        <v>100</v>
      </c>
    </row>
    <row r="36" spans="2:9" ht="13">
      <c r="B36" s="47">
        <f>+'Capacidad Financiera'!B36</f>
        <v>9</v>
      </c>
      <c r="C36" s="48" t="str">
        <f>IF(ISERROR(VLOOKUP(B36,'Capacidad Financiera'!$B$13:$AB$58078,2,0)),"",VLOOKUP(B36,'Capacidad Financiera'!$B$13:$AB$58078,2,0))</f>
        <v>CONSORCIO VIAS E INGENIERIA</v>
      </c>
      <c r="D36" s="49">
        <f>IF(ISERROR(VLOOKUP(B36,'Capacidad Financiera'!$B$13:$AB$58078,3,0)),"",VLOOKUP(B36,'Capacidad Financiera'!$B$13:$AB$58078,3,0))</f>
        <v>1</v>
      </c>
      <c r="E36" s="50"/>
      <c r="F36" s="50"/>
      <c r="G36" s="50" t="str">
        <f>IF(OR(C36="",D36="",E36=""),"",IF(B37="",IF(B36&lt;&gt;"",IF(ISERROR(VLOOKUP($A$10,POA!$A$2:$D$7,2,0)),"",VLOOKUP($A$10,POA!$A$2:$D$7,2,0)),""),""))</f>
        <v/>
      </c>
      <c r="H36" s="94" t="str">
        <f>IF(OR(C36="",D36="",E36=""),"",IF(B37="",IF(B36&lt;&gt;"",E36/G36,""),""))</f>
        <v/>
      </c>
      <c r="I36" s="91" t="str">
        <f>IF(B37="",IF(E36="","",IF(AND(H36&gt;0,H36&lt;=Experiencia1),Puntajes!$H$4,IF(AND(H36&gt;Experiencia1,H36&lt;=Experiencia2),Puntajes!$H$5,IF(AND(H36&gt;Experiencia2,H36&lt;=Experiencia3),Puntajes!$H$6,IF(H36&gt;Experiencia3,Puntajes!$H$7,0))))),"")</f>
        <v/>
      </c>
    </row>
    <row r="37" spans="2:9" ht="13">
      <c r="B37" s="52">
        <f>+'Capacidad Financiera'!B37</f>
        <v>9.1</v>
      </c>
      <c r="C37" s="54" t="str">
        <f>IF(ISERROR(VLOOKUP(B37,'Capacidad Financiera'!$B$13:$AB$58078,2,0)),"",VLOOKUP(B37,'Capacidad Financiera'!$B$13:$AB$58078,2,0))</f>
        <v>BRASCO INGENIERIA S.A.S.</v>
      </c>
      <c r="D37" s="175">
        <v>0.9</v>
      </c>
      <c r="E37" s="252">
        <v>5159647740</v>
      </c>
      <c r="F37" s="176">
        <f t="shared" ref="F37" si="17">IF(OR(C37="",D37="",E37=""),"",E37/SALACTUAL)</f>
        <v>4447.9721896551728</v>
      </c>
      <c r="G37" s="176">
        <f>IF(OR(C37="",D37="",E37=""),"",IF(B37&lt;&gt;"",IF(ISERROR(VLOOKUP($A$10,POA!$A$2:$D$7,2,0)),"",VLOOKUP($A$10,POA!$A$2:$D$7,2,0)/SALACTUAL),""))</f>
        <v>1034.4827586206898</v>
      </c>
      <c r="H37" s="177">
        <f>IF(OR(C37="",D37="",F37=""),"",IF(B37&lt;&gt;"",F37/(G37*D37),""))</f>
        <v>4.7774516111111112</v>
      </c>
      <c r="I37" s="178">
        <f>IF(OR(C37="",D37="",E37=""),"",IF(AND(H37&gt;0,H37&lt;=Experiencia1),Puntajes!$H$4,IF(AND(H37&gt;Experiencia1,H37&lt;=Experiencia2),Puntajes!$H$5,IF(AND(H37&gt;Experiencia2,H37&lt;=Experiencia3),Puntajes!$H$6,IF(H37&gt;Experiencia3,Puntajes!$H$7,0)))))</f>
        <v>80</v>
      </c>
    </row>
    <row r="38" spans="2:9" ht="13">
      <c r="B38" s="52">
        <f>+'Capacidad Financiera'!B38</f>
        <v>9.1999999999999993</v>
      </c>
      <c r="C38" s="54" t="str">
        <f>IF(ISERROR(VLOOKUP(B38,'Capacidad Financiera'!$B$13:$AB$58078,2,0)),"",VLOOKUP(B38,'Capacidad Financiera'!$B$13:$AB$58078,2,0))</f>
        <v>VERTICES INENIERIA S.A.S.</v>
      </c>
      <c r="D38" s="175">
        <v>0.1</v>
      </c>
      <c r="E38" s="252">
        <v>94402751772.300003</v>
      </c>
      <c r="F38" s="176">
        <f t="shared" ref="F38" si="18">IF(OR(C38="",D38="",E38=""),"",E38/SALACTUAL)</f>
        <v>81381.682562327594</v>
      </c>
      <c r="G38" s="176">
        <f>IF(OR(C38="",D38="",E38=""),"",IF(B38&lt;&gt;"",IF(ISERROR(VLOOKUP($A$10,POA!$A$2:$D$7,2,0)),"",VLOOKUP($A$10,POA!$A$2:$D$7,2,0)/SALACTUAL),""))</f>
        <v>1034.4827586206898</v>
      </c>
      <c r="H38" s="177">
        <f>IF(OR(C38="",D38="",F38=""),"",IF(B38&lt;&gt;"",F38/(G38*D38),""))</f>
        <v>786.68959810249999</v>
      </c>
      <c r="I38" s="178">
        <f>IF(OR(C38="",D38="",E38=""),"",IF(AND(H38&gt;0,H38&lt;=Experiencia1),Puntajes!$H$4,IF(AND(H38&gt;Experiencia1,H38&lt;=Experiencia2),Puntajes!$H$5,IF(AND(H38&gt;Experiencia2,H38&lt;=Experiencia3),Puntajes!$H$6,IF(H38&gt;Experiencia3,Puntajes!$H$7,0)))))</f>
        <v>120</v>
      </c>
    </row>
    <row r="39" spans="2:9" ht="13">
      <c r="B39" s="52" t="str">
        <f>+'Capacidad Financiera'!B39</f>
        <v/>
      </c>
      <c r="C39" s="54">
        <f>IF(ISERROR(VLOOKUP(B39,'Capacidad Financiera'!$B$13:$AB$58078,2,0)),"",VLOOKUP(B39,'Capacidad Financiera'!$B$13:$AB$58078,2,0))</f>
        <v>0</v>
      </c>
      <c r="D39" s="175">
        <f>IF(ISERROR(VLOOKUP(B39,'Capacidad Financiera'!$B$13:$AB$58078,3,0)),"",VLOOKUP(B39,'Capacidad Financiera'!$B$13:$AB$58078,3,0))</f>
        <v>0</v>
      </c>
      <c r="E39" s="176"/>
      <c r="F39" s="176" t="str">
        <f t="shared" si="1"/>
        <v/>
      </c>
      <c r="G39" s="176" t="str">
        <f>IF(OR(C39="",D39="",E39=""),"",IF(B39&lt;&gt;"",IF(ISERROR(VLOOKUP($A$10,POA!$A$2:$D$7,2,0)),"",VLOOKUP($A$10,POA!$A$2:$D$7,2,0)/SALACTUAL),""))</f>
        <v/>
      </c>
      <c r="H39" s="177" t="str">
        <f t="shared" si="2"/>
        <v/>
      </c>
      <c r="I39" s="178" t="str">
        <f>IF(OR(C39="",D39="",E39=""),"",IF(AND(H39&gt;0,H39&lt;=Experiencia1),Puntajes!$H$4,IF(AND(H39&gt;Experiencia1,H39&lt;=Experiencia2),Puntajes!$H$5,IF(AND(H39&gt;Experiencia2,H39&lt;=Experiencia3),Puntajes!$H$6,IF(H39&gt;Experiencia3,Puntajes!$H$7,0)))))</f>
        <v/>
      </c>
    </row>
    <row r="40" spans="2:9" ht="13">
      <c r="B40" s="52" t="str">
        <f>+'Capacidad Financiera'!B40</f>
        <v/>
      </c>
      <c r="C40" s="54">
        <f>IF(ISERROR(VLOOKUP(B40,'Capacidad Financiera'!$B$13:$AB$58078,2,0)),"",VLOOKUP(B40,'Capacidad Financiera'!$B$13:$AB$58078,2,0))</f>
        <v>0</v>
      </c>
      <c r="D40" s="175">
        <f>IF(ISERROR(VLOOKUP(B40,'Capacidad Financiera'!$B$13:$AB$58078,3,0)),"",VLOOKUP(B40,'Capacidad Financiera'!$B$13:$AB$58078,3,0))</f>
        <v>0</v>
      </c>
      <c r="E40" s="176"/>
      <c r="F40" s="176" t="str">
        <f t="shared" si="1"/>
        <v/>
      </c>
      <c r="G40" s="176" t="str">
        <f>IF(OR(C40="",D40="",E40=""),"",IF(B40&lt;&gt;"",IF(ISERROR(VLOOKUP($A$10,POA!$A$2:$D$7,2,0)),"",VLOOKUP($A$10,POA!$A$2:$D$7,2,0)/SALACTUAL),""))</f>
        <v/>
      </c>
      <c r="H40" s="177" t="str">
        <f t="shared" si="2"/>
        <v/>
      </c>
      <c r="I40" s="178" t="str">
        <f>IF(OR(C40="",D40="",E40=""),"",IF(AND(H40&gt;0,H40&lt;=Experiencia1),Puntajes!$H$4,IF(AND(H40&gt;Experiencia1,H40&lt;=Experiencia2),Puntajes!$H$5,IF(AND(H40&gt;Experiencia2,H40&lt;=Experiencia3),Puntajes!$H$6,IF(H40&gt;Experiencia3,Puntajes!$H$7,0)))))</f>
        <v/>
      </c>
    </row>
    <row r="41" spans="2:9" ht="13">
      <c r="B41" s="52" t="str">
        <f>+'Capacidad Financiera'!B41</f>
        <v/>
      </c>
      <c r="C41" s="54">
        <f>IF(ISERROR(VLOOKUP(B41,'Capacidad Financiera'!$B$13:$AB$58078,2,0)),"",VLOOKUP(B41,'Capacidad Financiera'!$B$13:$AB$58078,2,0))</f>
        <v>0</v>
      </c>
      <c r="D41" s="175">
        <f>IF(ISERROR(VLOOKUP(B41,'Capacidad Financiera'!$B$13:$AB$58078,3,0)),"",VLOOKUP(B41,'Capacidad Financiera'!$B$13:$AB$58078,3,0))</f>
        <v>0</v>
      </c>
      <c r="E41" s="176"/>
      <c r="F41" s="176" t="str">
        <f t="shared" si="1"/>
        <v/>
      </c>
      <c r="G41" s="176" t="str">
        <f>IF(OR(C41="",D41="",E41=""),"",IF(B41&lt;&gt;"",IF(ISERROR(VLOOKUP($A$10,POA!$A$2:$D$7,2,0)),"",VLOOKUP($A$10,POA!$A$2:$D$7,2,0)/SALACTUAL),""))</f>
        <v/>
      </c>
      <c r="H41" s="177" t="str">
        <f t="shared" si="2"/>
        <v/>
      </c>
      <c r="I41" s="178" t="str">
        <f>IF(OR(C41="",D41="",E41=""),"",IF(AND(H41&gt;0,H41&lt;=Experiencia1),Puntajes!$H$4,IF(AND(H41&gt;Experiencia1,H41&lt;=Experiencia2),Puntajes!$H$5,IF(AND(H41&gt;Experiencia2,H41&lt;=Experiencia3),Puntajes!$H$6,IF(H41&gt;Experiencia3,Puntajes!$H$7,0)))))</f>
        <v/>
      </c>
    </row>
    <row r="42" spans="2:9" ht="13">
      <c r="B42" s="52" t="str">
        <f>+'Capacidad Financiera'!B42</f>
        <v/>
      </c>
      <c r="C42" s="54">
        <f>IF(ISERROR(VLOOKUP(B42,'Capacidad Financiera'!$B$13:$AB$58078,2,0)),"",VLOOKUP(B42,'Capacidad Financiera'!$B$13:$AB$58078,2,0))</f>
        <v>0</v>
      </c>
      <c r="D42" s="175">
        <f>IF(ISERROR(VLOOKUP(B42,'Capacidad Financiera'!$B$13:$AB$58078,3,0)),"",VLOOKUP(B42,'Capacidad Financiera'!$B$13:$AB$58078,3,0))</f>
        <v>0</v>
      </c>
      <c r="E42" s="176"/>
      <c r="F42" s="176" t="str">
        <f t="shared" si="1"/>
        <v/>
      </c>
      <c r="G42" s="176" t="str">
        <f>IF(OR(C42="",D42="",E42=""),"",IF(B42&lt;&gt;"",IF(ISERROR(VLOOKUP($A$10,POA!$A$2:$D$7,2,0)),"",VLOOKUP($A$10,POA!$A$2:$D$7,2,0)/SALACTUAL),""))</f>
        <v/>
      </c>
      <c r="H42" s="177" t="str">
        <f t="shared" si="2"/>
        <v/>
      </c>
      <c r="I42" s="178" t="str">
        <f>IF(OR(C42="",D42="",E42=""),"",IF(AND(H42&gt;0,H42&lt;=Experiencia1),Puntajes!$H$4,IF(AND(H42&gt;Experiencia1,H42&lt;=Experiencia2),Puntajes!$H$5,IF(AND(H42&gt;Experiencia2,H42&lt;=Experiencia3),Puntajes!$H$6,IF(H42&gt;Experiencia3,Puntajes!$H$7,0)))))</f>
        <v/>
      </c>
    </row>
    <row r="43" spans="2:9" ht="13">
      <c r="B43" s="52" t="str">
        <f>+'Capacidad Financiera'!B43</f>
        <v/>
      </c>
      <c r="C43" s="54">
        <f>IF(ISERROR(VLOOKUP(B43,'Capacidad Financiera'!$B$13:$AB$58078,2,0)),"",VLOOKUP(B43,'Capacidad Financiera'!$B$13:$AB$58078,2,0))</f>
        <v>0</v>
      </c>
      <c r="D43" s="175">
        <f>IF(ISERROR(VLOOKUP(B43,'Capacidad Financiera'!$B$13:$AB$58078,3,0)),"",VLOOKUP(B43,'Capacidad Financiera'!$B$13:$AB$58078,3,0))</f>
        <v>0</v>
      </c>
      <c r="E43" s="176"/>
      <c r="F43" s="176" t="str">
        <f t="shared" si="1"/>
        <v/>
      </c>
      <c r="G43" s="176" t="str">
        <f>IF(OR(C43="",D43="",E43=""),"",IF(B43&lt;&gt;"",IF(ISERROR(VLOOKUP($A$10,POA!$A$2:$D$7,2,0)),"",VLOOKUP($A$10,POA!$A$2:$D$7,2,0)/SALACTUAL),""))</f>
        <v/>
      </c>
      <c r="H43" s="177" t="str">
        <f t="shared" si="2"/>
        <v/>
      </c>
      <c r="I43" s="178" t="str">
        <f>IF(OR(C43="",D43="",E43=""),"",IF(AND(H43&gt;0,H43&lt;=Experiencia1),Puntajes!$H$4,IF(AND(H43&gt;Experiencia1,H43&lt;=Experiencia2),Puntajes!$H$5,IF(AND(H43&gt;Experiencia2,H43&lt;=Experiencia3),Puntajes!$H$6,IF(H43&gt;Experiencia3,Puntajes!$H$7,0)))))</f>
        <v/>
      </c>
    </row>
    <row r="44" spans="2:9" ht="13.5" thickBot="1">
      <c r="B44" s="129" t="str">
        <f>+'Capacidad Financiera'!B44</f>
        <v/>
      </c>
      <c r="C44" s="130">
        <f>IF(ISERROR(VLOOKUP(B44,'Capacidad Financiera'!$B$13:$AB$58078,2,0)),"",VLOOKUP(B44,'Capacidad Financiera'!$B$13:$AB$58078,2,0))</f>
        <v>0</v>
      </c>
      <c r="D44" s="179">
        <f>IF(ISERROR(VLOOKUP(B44,'Capacidad Financiera'!$B$13:$AB$58078,3,0)),"",VLOOKUP(B44,'Capacidad Financiera'!$B$13:$AB$58078,3,0))</f>
        <v>0</v>
      </c>
      <c r="E44" s="180"/>
      <c r="F44" s="180" t="str">
        <f t="shared" si="1"/>
        <v/>
      </c>
      <c r="G44" s="180" t="str">
        <f>IF(OR(C44="",D44="",E44=""),"",IF(B44&lt;&gt;"",IF(ISERROR(VLOOKUP($A$10,POA!$A$2:$D$7,2,0)),"",VLOOKUP($A$10,POA!$A$2:$D$7,2,0)/SALACTUAL),""))</f>
        <v/>
      </c>
      <c r="H44" s="181" t="str">
        <f t="shared" si="2"/>
        <v/>
      </c>
      <c r="I44" s="182" t="str">
        <f>IF(OR(C44="",D44="",E44=""),"",IF(AND(H44&gt;0,H44&lt;=Experiencia1),Puntajes!$H$4,IF(AND(H44&gt;Experiencia1,H44&lt;=Experiencia2),Puntajes!$H$5,IF(AND(H44&gt;Experiencia2,H44&lt;=Experiencia3),Puntajes!$H$6,IF(H44&gt;Experiencia3,Puntajes!$H$7,0)))))</f>
        <v/>
      </c>
    </row>
    <row r="45" spans="2:9" ht="13.5" thickBot="1">
      <c r="B45" s="136"/>
      <c r="C45" s="442"/>
      <c r="D45" s="442"/>
      <c r="E45" s="442"/>
      <c r="F45" s="442"/>
      <c r="G45" s="442"/>
      <c r="H45" s="442"/>
      <c r="I45" s="443"/>
    </row>
  </sheetData>
  <sheetProtection formatCells="0" formatColumns="0" formatRows="0" insertColumns="0" insertRows="0" insertHyperlinks="0" deleteColumns="0" deleteRows="0" sort="0" autoFilter="0" pivotTables="0"/>
  <mergeCells count="12">
    <mergeCell ref="C45:I45"/>
    <mergeCell ref="H11:I11"/>
    <mergeCell ref="B4:I4"/>
    <mergeCell ref="B5:I5"/>
    <mergeCell ref="B6:I6"/>
    <mergeCell ref="B7:I7"/>
    <mergeCell ref="B11:B12"/>
    <mergeCell ref="C11:C12"/>
    <mergeCell ref="D11:D12"/>
    <mergeCell ref="E11:E12"/>
    <mergeCell ref="G11:G12"/>
    <mergeCell ref="F11:F12"/>
  </mergeCells>
  <conditionalFormatting sqref="D10:G10">
    <cfRule type="expression" dxfId="259" priority="1331" stopIfTrue="1">
      <formula>IF(#REF!-INT(#REF!)&gt;0,TRUE,FALSE)</formula>
    </cfRule>
  </conditionalFormatting>
  <conditionalFormatting sqref="C10 H10:I10 B45 C13:C25 C27:C28 C30:C44">
    <cfRule type="cellIs" dxfId="258" priority="1332" stopIfTrue="1" operator="equal">
      <formula>"NO ADMISIBLE"</formula>
    </cfRule>
  </conditionalFormatting>
  <conditionalFormatting sqref="D13 G13:I13">
    <cfRule type="expression" dxfId="257" priority="1333" stopIfTrue="1">
      <formula>IF(#REF!-INT(#REF!)&gt;0,TRUE,FALSE)</formula>
    </cfRule>
  </conditionalFormatting>
  <conditionalFormatting sqref="F13">
    <cfRule type="expression" dxfId="256" priority="1322" stopIfTrue="1">
      <formula>IF(#REF!-INT(#REF!)&gt;0,TRUE,FALSE)</formula>
    </cfRule>
  </conditionalFormatting>
  <conditionalFormatting sqref="B14:D15 B17:D19 B21:D21 B23:D23 B25:I25 B28:I28 B31:I32 B34:I35 B37:I44 F23:I23 F21:I21 F17:I19 F14:I15 B26 D26:I26 B29 D29:I29">
    <cfRule type="expression" dxfId="255" priority="108">
      <formula>MOD(ROW(),2)=0</formula>
    </cfRule>
  </conditionalFormatting>
  <conditionalFormatting sqref="D16 G16:I16">
    <cfRule type="expression" dxfId="254" priority="23" stopIfTrue="1">
      <formula>IF(#REF!-INT(#REF!)&gt;0,TRUE,FALSE)</formula>
    </cfRule>
  </conditionalFormatting>
  <conditionalFormatting sqref="F16">
    <cfRule type="expression" dxfId="253" priority="22" stopIfTrue="1">
      <formula>IF(#REF!-INT(#REF!)&gt;0,TRUE,FALSE)</formula>
    </cfRule>
  </conditionalFormatting>
  <conditionalFormatting sqref="D20 G20:I20">
    <cfRule type="expression" dxfId="252" priority="21" stopIfTrue="1">
      <formula>IF(#REF!-INT(#REF!)&gt;0,TRUE,FALSE)</formula>
    </cfRule>
  </conditionalFormatting>
  <conditionalFormatting sqref="F20">
    <cfRule type="expression" dxfId="251" priority="20" stopIfTrue="1">
      <formula>IF(#REF!-INT(#REF!)&gt;0,TRUE,FALSE)</formula>
    </cfRule>
  </conditionalFormatting>
  <conditionalFormatting sqref="D22 G22:I22">
    <cfRule type="expression" dxfId="250" priority="19" stopIfTrue="1">
      <formula>IF(#REF!-INT(#REF!)&gt;0,TRUE,FALSE)</formula>
    </cfRule>
  </conditionalFormatting>
  <conditionalFormatting sqref="F22">
    <cfRule type="expression" dxfId="249" priority="18" stopIfTrue="1">
      <formula>IF(#REF!-INT(#REF!)&gt;0,TRUE,FALSE)</formula>
    </cfRule>
  </conditionalFormatting>
  <conditionalFormatting sqref="D24 G24:I24">
    <cfRule type="expression" dxfId="248" priority="17" stopIfTrue="1">
      <formula>IF(#REF!-INT(#REF!)&gt;0,TRUE,FALSE)</formula>
    </cfRule>
  </conditionalFormatting>
  <conditionalFormatting sqref="E24:F24">
    <cfRule type="expression" dxfId="247" priority="16" stopIfTrue="1">
      <formula>IF(#REF!-INT(#REF!)&gt;0,TRUE,FALSE)</formula>
    </cfRule>
  </conditionalFormatting>
  <conditionalFormatting sqref="D27 G27:I27">
    <cfRule type="expression" dxfId="246" priority="15" stopIfTrue="1">
      <formula>IF(#REF!-INT(#REF!)&gt;0,TRUE,FALSE)</formula>
    </cfRule>
  </conditionalFormatting>
  <conditionalFormatting sqref="E27:F27">
    <cfRule type="expression" dxfId="245" priority="14" stopIfTrue="1">
      <formula>IF(#REF!-INT(#REF!)&gt;0,TRUE,FALSE)</formula>
    </cfRule>
  </conditionalFormatting>
  <conditionalFormatting sqref="D30 G30:I30">
    <cfRule type="expression" dxfId="244" priority="13" stopIfTrue="1">
      <formula>IF(#REF!-INT(#REF!)&gt;0,TRUE,FALSE)</formula>
    </cfRule>
  </conditionalFormatting>
  <conditionalFormatting sqref="E30:F30">
    <cfRule type="expression" dxfId="243" priority="12" stopIfTrue="1">
      <formula>IF(#REF!-INT(#REF!)&gt;0,TRUE,FALSE)</formula>
    </cfRule>
  </conditionalFormatting>
  <conditionalFormatting sqref="D33 G33:I33">
    <cfRule type="expression" dxfId="242" priority="11" stopIfTrue="1">
      <formula>IF(#REF!-INT(#REF!)&gt;0,TRUE,FALSE)</formula>
    </cfRule>
  </conditionalFormatting>
  <conditionalFormatting sqref="E33:F33">
    <cfRule type="expression" dxfId="241" priority="10" stopIfTrue="1">
      <formula>IF(#REF!-INT(#REF!)&gt;0,TRUE,FALSE)</formula>
    </cfRule>
  </conditionalFormatting>
  <conditionalFormatting sqref="D36 G36:I36">
    <cfRule type="expression" dxfId="240" priority="9" stopIfTrue="1">
      <formula>IF(#REF!-INT(#REF!)&gt;0,TRUE,FALSE)</formula>
    </cfRule>
  </conditionalFormatting>
  <conditionalFormatting sqref="E36:F36">
    <cfRule type="expression" dxfId="239" priority="8" stopIfTrue="1">
      <formula>IF(#REF!-INT(#REF!)&gt;0,TRUE,FALSE)</formula>
    </cfRule>
  </conditionalFormatting>
  <conditionalFormatting sqref="E13">
    <cfRule type="expression" dxfId="238" priority="7" stopIfTrue="1">
      <formula>IF(#REF!-INT(#REF!)&gt;0,TRUE,FALSE)</formula>
    </cfRule>
  </conditionalFormatting>
  <conditionalFormatting sqref="E14:E15 E17:E19 E21 E23">
    <cfRule type="expression" dxfId="237" priority="6">
      <formula>MOD(ROW(),2)=0</formula>
    </cfRule>
  </conditionalFormatting>
  <conditionalFormatting sqref="E16">
    <cfRule type="expression" dxfId="236" priority="5" stopIfTrue="1">
      <formula>IF(#REF!-INT(#REF!)&gt;0,TRUE,FALSE)</formula>
    </cfRule>
  </conditionalFormatting>
  <conditionalFormatting sqref="E20">
    <cfRule type="expression" dxfId="235" priority="4" stopIfTrue="1">
      <formula>IF(#REF!-INT(#REF!)&gt;0,TRUE,FALSE)</formula>
    </cfRule>
  </conditionalFormatting>
  <conditionalFormatting sqref="E22">
    <cfRule type="expression" dxfId="234" priority="3" stopIfTrue="1">
      <formula>IF(#REF!-INT(#REF!)&gt;0,TRUE,FALSE)</formula>
    </cfRule>
  </conditionalFormatting>
  <conditionalFormatting sqref="C26">
    <cfRule type="expression" dxfId="233" priority="2">
      <formula>MOD(ROW(),2)=0</formula>
    </cfRule>
  </conditionalFormatting>
  <conditionalFormatting sqref="C29">
    <cfRule type="expression" dxfId="232" priority="1">
      <formula>MOD(ROW(),2)=0</formula>
    </cfRule>
  </conditionalFormatting>
  <dataValidations count="1">
    <dataValidation type="list" allowBlank="1" showInputMessage="1" showErrorMessage="1" sqref="B45" xr:uid="{00000000-0002-0000-04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3"/>
  <dimension ref="B2:J44"/>
  <sheetViews>
    <sheetView topLeftCell="A11" workbookViewId="0">
      <selection activeCell="E27" sqref="E27"/>
    </sheetView>
  </sheetViews>
  <sheetFormatPr baseColWidth="10" defaultColWidth="11.453125" defaultRowHeight="12.5"/>
  <cols>
    <col min="1" max="1" width="11.453125" style="63" customWidth="1"/>
    <col min="2" max="2" width="3.90625" style="63" customWidth="1"/>
    <col min="3" max="3" width="41.08984375" style="63" customWidth="1"/>
    <col min="4" max="4" width="35" style="62" customWidth="1"/>
    <col min="5" max="5" width="35" style="88" customWidth="1"/>
    <col min="6" max="6" width="11.453125" style="63"/>
    <col min="7" max="7" width="13.90625" style="74" customWidth="1"/>
    <col min="8" max="8" width="9.6328125" style="75" customWidth="1"/>
    <col min="9" max="9" width="12.54296875" style="63" customWidth="1"/>
    <col min="10" max="10" width="12.6328125" style="63" customWidth="1"/>
    <col min="11" max="16384" width="11.453125" style="63"/>
  </cols>
  <sheetData>
    <row r="2" spans="2:10" s="65" customFormat="1" ht="20.25" customHeight="1">
      <c r="B2" s="446" t="s">
        <v>121</v>
      </c>
      <c r="C2" s="446"/>
      <c r="D2" s="446"/>
      <c r="E2" s="446"/>
      <c r="G2" s="66"/>
      <c r="H2" s="67"/>
    </row>
    <row r="3" spans="2:10" s="65" customFormat="1" ht="9" customHeight="1">
      <c r="B3" s="128"/>
      <c r="C3" s="128"/>
      <c r="D3" s="128"/>
      <c r="E3" s="128"/>
      <c r="G3" s="66"/>
      <c r="H3" s="67"/>
    </row>
    <row r="4" spans="2:10" s="65" customFormat="1" ht="9" customHeight="1">
      <c r="B4" s="128"/>
      <c r="C4" s="128"/>
      <c r="D4" s="128"/>
      <c r="E4" s="128"/>
      <c r="G4" s="66"/>
      <c r="H4" s="67"/>
    </row>
    <row r="5" spans="2:10" s="65" customFormat="1" ht="9" customHeight="1">
      <c r="B5" s="128"/>
      <c r="C5" s="128"/>
      <c r="D5" s="128"/>
      <c r="E5" s="128"/>
      <c r="G5" s="66"/>
      <c r="H5" s="67"/>
    </row>
    <row r="6" spans="2:10" s="65" customFormat="1" ht="18" customHeight="1">
      <c r="B6" s="447" t="s">
        <v>62</v>
      </c>
      <c r="C6" s="447"/>
      <c r="D6" s="447"/>
      <c r="E6" s="447"/>
      <c r="G6" s="66"/>
      <c r="H6" s="67"/>
    </row>
    <row r="7" spans="2:10" s="65" customFormat="1" ht="13.5" customHeight="1">
      <c r="B7" s="448" t="str">
        <f>'Capacidad Financiera'!B4</f>
        <v xml:space="preserve">PROCESO No. </v>
      </c>
      <c r="C7" s="448"/>
      <c r="D7" s="448"/>
      <c r="E7" s="448"/>
      <c r="G7" s="66"/>
      <c r="H7" s="67"/>
    </row>
    <row r="8" spans="2:10" s="65" customFormat="1" ht="13.5" customHeight="1">
      <c r="B8" s="448" t="s">
        <v>129</v>
      </c>
      <c r="C8" s="448"/>
      <c r="D8" s="448"/>
      <c r="E8" s="448"/>
      <c r="G8" s="66"/>
      <c r="H8" s="67"/>
    </row>
    <row r="9" spans="2:10" s="65" customFormat="1" ht="13.5" customHeight="1">
      <c r="B9" s="102"/>
      <c r="C9" s="102"/>
      <c r="D9" s="102"/>
      <c r="E9" s="102"/>
      <c r="G9" s="66"/>
      <c r="H9" s="67"/>
    </row>
    <row r="10" spans="2:10" s="65" customFormat="1" ht="13.5" thickBot="1">
      <c r="B10" s="68"/>
      <c r="C10" s="68"/>
      <c r="D10" s="71"/>
      <c r="E10" s="72"/>
      <c r="G10" s="66"/>
      <c r="H10" s="67"/>
    </row>
    <row r="11" spans="2:10" ht="19.5" customHeight="1">
      <c r="B11" s="449" t="s">
        <v>78</v>
      </c>
      <c r="C11" s="451" t="s">
        <v>79</v>
      </c>
      <c r="D11" s="183" t="s">
        <v>130</v>
      </c>
      <c r="E11" s="184" t="s">
        <v>129</v>
      </c>
    </row>
    <row r="12" spans="2:10" ht="67.5" customHeight="1" thickBot="1">
      <c r="B12" s="450"/>
      <c r="C12" s="452"/>
      <c r="D12" s="173" t="s">
        <v>131</v>
      </c>
      <c r="E12" s="174" t="s">
        <v>132</v>
      </c>
    </row>
    <row r="13" spans="2:10" ht="13">
      <c r="B13" s="47">
        <f>+'Capacidad Financiera'!B13</f>
        <v>1</v>
      </c>
      <c r="C13" s="48" t="str">
        <f>IF(ISERROR(VLOOKUP(B13,'Capacidad Financiera'!$B$13:$AB$58078,2,0)),"",VLOOKUP(B13,'Capacidad Financiera'!$B$13:$AB$58078,2,0))</f>
        <v>CONSORCIO MEGACONSTRUCCIONES 2024</v>
      </c>
      <c r="D13" s="89"/>
      <c r="E13" s="90" t="str">
        <f>IF(B14="",IF(D13="","",IF(AND(D13&gt;0,D13&lt;=CapTecnica1),Puntajes!$L$4,IF(AND(D13&gt;CapTecnica1,D13&lt;=CapTecnica2),Puntajes!$L$5,IF(D13&gt;CapTecnica2,Puntajes!$L$6,0)))),"")</f>
        <v/>
      </c>
      <c r="G13" s="76"/>
      <c r="H13" s="77"/>
      <c r="I13" s="64"/>
      <c r="J13" s="64"/>
    </row>
    <row r="14" spans="2:10" ht="13">
      <c r="B14" s="185">
        <f>+'Capacidad Financiera'!B14</f>
        <v>1.1000000000000001</v>
      </c>
      <c r="C14" s="54" t="str">
        <f>IF(ISERROR(VLOOKUP(B14,'Capacidad Financiera'!$B$13:$AB$58078,2,0)),"",VLOOKUP(B14,'Capacidad Financiera'!$B$13:$AB$58078,2,0))</f>
        <v>MEGA CONSTRUCCIONES PACK SAS</v>
      </c>
      <c r="D14" s="253">
        <v>0</v>
      </c>
      <c r="E14" s="178">
        <f>IF(OR(C14="",D14=""),"",IF(AND(D14&gt;0,D14&lt;=CapTecnica1),Puntajes!$L$4,IF(AND(D14&gt;CapTecnica1,D14&lt;=CapTecnica2),Puntajes!$L$5,IF(D14&gt;CapTecnica2,Puntajes!$L$6,0))))</f>
        <v>0</v>
      </c>
    </row>
    <row r="15" spans="2:10" ht="13.5" thickBot="1">
      <c r="B15" s="185">
        <f>+'Capacidad Financiera'!B15</f>
        <v>1.2</v>
      </c>
      <c r="C15" s="54" t="str">
        <f>IF(ISERROR(VLOOKUP(B15,'Capacidad Financiera'!$B$13:$AB$58078,2,0)),"",VLOOKUP(B15,'Capacidad Financiera'!$B$13:$AB$58078,2,0))</f>
        <v>MTS CONTRUCCIONES SAS</v>
      </c>
      <c r="D15" s="253">
        <v>1</v>
      </c>
      <c r="E15" s="178">
        <f>IF(OR(C15="",D15=""),"",IF(AND(D15&gt;0,D15&lt;=CapTecnica1),Puntajes!$L$4,IF(AND(D15&gt;CapTecnica1,D15&lt;=CapTecnica2),Puntajes!$L$5,IF(D15&gt;CapTecnica2,Puntajes!$L$6,0))))</f>
        <v>20</v>
      </c>
    </row>
    <row r="16" spans="2:10" ht="13">
      <c r="B16" s="47">
        <f>+'Capacidad Financiera'!B16</f>
        <v>2</v>
      </c>
      <c r="C16" s="48" t="str">
        <f>IF(ISERROR(VLOOKUP(B16,'Capacidad Financiera'!$B$13:$AB$58078,2,0)),"",VLOOKUP(B16,'Capacidad Financiera'!$B$13:$AB$58078,2,0))</f>
        <v>YAMEL ARANGO PINILLA</v>
      </c>
      <c r="D16" s="89"/>
      <c r="E16" s="90" t="str">
        <f>IF(B17="",IF(D16="","",IF(AND(D16&gt;0,D16&lt;=CapTecnica1),Puntajes!$L$4,IF(AND(D16&gt;CapTecnica1,D16&lt;=CapTecnica2),Puntajes!$L$5,IF(D16&gt;CapTecnica2,Puntajes!$L$6,0)))),"")</f>
        <v/>
      </c>
      <c r="G16" s="76"/>
      <c r="H16" s="77"/>
      <c r="I16" s="64"/>
      <c r="J16" s="64"/>
    </row>
    <row r="17" spans="2:10" ht="13">
      <c r="B17" s="185">
        <f>+'Capacidad Financiera'!B17</f>
        <v>2.1</v>
      </c>
      <c r="C17" s="54" t="str">
        <f>IF(ISERROR(VLOOKUP(B17,'Capacidad Financiera'!$B$13:$AB$58078,2,0)),"",VLOOKUP(B17,'Capacidad Financiera'!$B$13:$AB$58078,2,0))</f>
        <v>YAMEL ARANGO PINILLA</v>
      </c>
      <c r="D17" s="253">
        <v>3</v>
      </c>
      <c r="E17" s="178">
        <f>IF(OR(C17="",D17=""),"",IF(AND(D17&gt;0,D17&lt;=CapTecnica1),Puntajes!$L$4,IF(AND(D17&gt;CapTecnica1,D17&lt;=CapTecnica2),Puntajes!$L$5,IF(D17&gt;CapTecnica2,Puntajes!$L$6,0))))</f>
        <v>20</v>
      </c>
    </row>
    <row r="18" spans="2:10" ht="13">
      <c r="B18" s="185">
        <f>+'Capacidad Financiera'!B18</f>
        <v>0</v>
      </c>
      <c r="C18" s="54" t="str">
        <f>IF(ISERROR(VLOOKUP(B18,'Capacidad Financiera'!$B$13:$AB$58078,2,0)),"",VLOOKUP(B18,'Capacidad Financiera'!$B$13:$AB$58078,2,0))</f>
        <v/>
      </c>
      <c r="D18" s="253"/>
      <c r="E18" s="178" t="str">
        <f>IF(OR(C18="",D18=""),"",IF(AND(D18&gt;0,D18&lt;=CapTecnica1),Puntajes!$L$4,IF(AND(D18&gt;CapTecnica1,D18&lt;=CapTecnica2),Puntajes!$L$5,IF(D18&gt;CapTecnica2,Puntajes!$L$6,0))))</f>
        <v/>
      </c>
    </row>
    <row r="19" spans="2:10" ht="13.5" thickBot="1">
      <c r="B19" s="185" t="str">
        <f>+'Capacidad Financiera'!B19</f>
        <v/>
      </c>
      <c r="C19" s="54">
        <f>IF(ISERROR(VLOOKUP(B19,'Capacidad Financiera'!$B$13:$AB$58078,2,0)),"",VLOOKUP(B19,'Capacidad Financiera'!$B$13:$AB$58078,2,0))</f>
        <v>0</v>
      </c>
      <c r="D19" s="253"/>
      <c r="E19" s="178" t="str">
        <f>IF(OR(C19="",D19=""),"",IF(AND(D19&gt;0,D19&lt;=CapTecnica1),Puntajes!$L$4,IF(AND(D19&gt;CapTecnica1,D19&lt;=CapTecnica2),Puntajes!$L$5,IF(D19&gt;CapTecnica2,Puntajes!$L$6,0))))</f>
        <v/>
      </c>
    </row>
    <row r="20" spans="2:10" ht="13">
      <c r="B20" s="47">
        <f>+'Capacidad Financiera'!B20</f>
        <v>3</v>
      </c>
      <c r="C20" s="48" t="str">
        <f>IF(ISERROR(VLOOKUP(B20,'Capacidad Financiera'!$B$13:$AB$58078,2,0)),"",VLOOKUP(B20,'Capacidad Financiera'!$B$13:$AB$58078,2,0))</f>
        <v xml:space="preserve">ARMANDO MARTINEZ SPADAFORA </v>
      </c>
      <c r="D20" s="89"/>
      <c r="E20" s="90" t="str">
        <f>IF(B21="",IF(D20="","",IF(AND(D20&gt;0,D20&lt;=CapTecnica1),Puntajes!$L$4,IF(AND(D20&gt;CapTecnica1,D20&lt;=CapTecnica2),Puntajes!$L$5,IF(D20&gt;CapTecnica2,Puntajes!$L$6,0)))),"")</f>
        <v/>
      </c>
      <c r="G20" s="76"/>
      <c r="H20" s="77"/>
      <c r="I20" s="64"/>
      <c r="J20" s="64"/>
    </row>
    <row r="21" spans="2:10" ht="13.5" thickBot="1">
      <c r="B21" s="185">
        <f>+'Capacidad Financiera'!B21</f>
        <v>3.1</v>
      </c>
      <c r="C21" s="54" t="str">
        <f>IF(ISERROR(VLOOKUP(B21,'Capacidad Financiera'!$B$13:$AB$58078,2,0)),"",VLOOKUP(B21,'Capacidad Financiera'!$B$13:$AB$58078,2,0))</f>
        <v xml:space="preserve">ARMANDO MARTINEZ SPADAFORA </v>
      </c>
      <c r="D21" s="253">
        <v>1</v>
      </c>
      <c r="E21" s="178">
        <f>IF(OR(C21="",D21=""),"",IF(AND(D21&gt;0,D21&lt;=CapTecnica1),Puntajes!$L$4,IF(AND(D21&gt;CapTecnica1,D21&lt;=CapTecnica2),Puntajes!$L$5,IF(D21&gt;CapTecnica2,Puntajes!$L$6,0))))</f>
        <v>20</v>
      </c>
    </row>
    <row r="22" spans="2:10" ht="13">
      <c r="B22" s="47">
        <f>+'Capacidad Financiera'!B22</f>
        <v>4</v>
      </c>
      <c r="C22" s="48" t="str">
        <f>IF(ISERROR(VLOOKUP(B22,'Capacidad Financiera'!$B$13:$AB$58078,2,0)),"",VLOOKUP(B22,'Capacidad Financiera'!$B$13:$AB$58078,2,0))</f>
        <v>CELAS S.A.S.</v>
      </c>
      <c r="D22" s="89"/>
      <c r="E22" s="90" t="str">
        <f>IF(B23="",IF(D22="","",IF(AND(D22&gt;0,D22&lt;=CapTecnica1),Puntajes!$L$4,IF(AND(D22&gt;CapTecnica1,D22&lt;=CapTecnica2),Puntajes!$L$5,IF(D22&gt;CapTecnica2,Puntajes!$L$6,0)))),"")</f>
        <v/>
      </c>
      <c r="G22" s="76"/>
      <c r="H22" s="77"/>
      <c r="I22" s="64"/>
      <c r="J22" s="64"/>
    </row>
    <row r="23" spans="2:10" ht="13.5" thickBot="1">
      <c r="B23" s="185">
        <f>+'Capacidad Financiera'!B23</f>
        <v>4.0999999999999996</v>
      </c>
      <c r="C23" s="54" t="str">
        <f>IF(ISERROR(VLOOKUP(B23,'Capacidad Financiera'!$B$13:$AB$58078,2,0)),"",VLOOKUP(B23,'Capacidad Financiera'!$B$13:$AB$58078,2,0))</f>
        <v>CELAS S.A.S.</v>
      </c>
      <c r="D23" s="253">
        <v>1</v>
      </c>
      <c r="E23" s="178">
        <f>IF(OR(C23="",D23=""),"",IF(AND(D23&gt;0,D23&lt;=CapTecnica1),Puntajes!$L$4,IF(AND(D23&gt;CapTecnica1,D23&lt;=CapTecnica2),Puntajes!$L$5,IF(D23&gt;CapTecnica2,Puntajes!$L$6,0))))</f>
        <v>20</v>
      </c>
    </row>
    <row r="24" spans="2:10" ht="13">
      <c r="B24" s="47">
        <f>+'Capacidad Financiera'!B24</f>
        <v>5</v>
      </c>
      <c r="C24" s="48" t="str">
        <f>IF(ISERROR(VLOOKUP(B24,'Capacidad Financiera'!$B$13:$AB$58078,2,0)),"",VLOOKUP(B24,'Capacidad Financiera'!$B$13:$AB$58078,2,0))</f>
        <v>GEPAV S.A.S.</v>
      </c>
      <c r="D24" s="89"/>
      <c r="E24" s="90" t="str">
        <f>IF(B25="",IF(D24="","",IF(AND(D24&gt;0,D24&lt;=CapTecnica1),Puntajes!$L$4,IF(AND(D24&gt;CapTecnica1,D24&lt;=CapTecnica2),Puntajes!$L$5,IF(D24&gt;CapTecnica2,Puntajes!$L$6,0)))),"")</f>
        <v/>
      </c>
      <c r="G24" s="76"/>
      <c r="H24" s="77"/>
      <c r="I24" s="64"/>
      <c r="J24" s="64"/>
    </row>
    <row r="25" spans="2:10" ht="13">
      <c r="B25" s="185">
        <f>+'Capacidad Financiera'!B25</f>
        <v>5.0999999999999996</v>
      </c>
      <c r="C25" s="54" t="str">
        <f>IF(ISERROR(VLOOKUP(B25,'Capacidad Financiera'!$B$13:$AB$58078,2,0)),"",VLOOKUP(B25,'Capacidad Financiera'!$B$13:$AB$58078,2,0))</f>
        <v>GEPAV S.A.S.</v>
      </c>
      <c r="D25" s="253">
        <v>2</v>
      </c>
      <c r="E25" s="178">
        <f>IF(OR(C25="",D25=""),"",IF(AND(D25&gt;0,D25&lt;=CapTecnica1),Puntajes!$L$4,IF(AND(D25&gt;CapTecnica1,D25&lt;=CapTecnica2),Puntajes!$L$5,IF(D25&gt;CapTecnica2,Puntajes!$L$6,0))))</f>
        <v>20</v>
      </c>
    </row>
    <row r="26" spans="2:10" ht="14.5" thickBot="1">
      <c r="B26" s="289">
        <v>5.2</v>
      </c>
      <c r="C26" s="262"/>
      <c r="D26" s="290"/>
      <c r="E26" s="287" t="str">
        <f>IF(OR(C26="",D26=""),"",IF(AND(D26&gt;0,D26&lt;=CapTecnica1),Puntajes!$L$4,IF(AND(D26&gt;CapTecnica1,D26&lt;=CapTecnica2),Puntajes!$L$5,IF(D26&gt;CapTecnica2,Puntajes!$L$6,0))))</f>
        <v/>
      </c>
    </row>
    <row r="27" spans="2:10" ht="13">
      <c r="B27" s="47">
        <f>+'Capacidad Financiera'!B27</f>
        <v>6</v>
      </c>
      <c r="C27" s="48" t="str">
        <f>IF(ISERROR(VLOOKUP(B27,'Capacidad Financiera'!$B$13:$AB$58078,2,0)),"",VLOOKUP(B27,'Capacidad Financiera'!$B$13:$AB$58078,2,0))</f>
        <v>JUAN CARLOS BRICEÑO CHAVES</v>
      </c>
      <c r="D27" s="89"/>
      <c r="E27" s="90" t="str">
        <f>IF(B28="",IF(D27="","",IF(AND(D27&gt;0,D27&lt;=CapTecnica1),Puntajes!$L$4,IF(AND(D27&gt;CapTecnica1,D27&lt;=CapTecnica2),Puntajes!$L$5,IF(D27&gt;CapTecnica2,Puntajes!$L$6,0)))),"")</f>
        <v/>
      </c>
      <c r="G27" s="76"/>
      <c r="H27" s="77"/>
      <c r="I27" s="64"/>
      <c r="J27" s="64"/>
    </row>
    <row r="28" spans="2:10" ht="13">
      <c r="B28" s="185">
        <f>+'Capacidad Financiera'!B28</f>
        <v>6.1</v>
      </c>
      <c r="C28" s="54" t="str">
        <f>IF(ISERROR(VLOOKUP(B28,'Capacidad Financiera'!$B$13:$AB$58078,2,0)),"",VLOOKUP(B28,'Capacidad Financiera'!$B$13:$AB$58078,2,0))</f>
        <v>JUAN CARLOS BRICEÑO CHAVES</v>
      </c>
      <c r="D28" s="253">
        <v>1</v>
      </c>
      <c r="E28" s="178">
        <f>IF(OR(C28="",D28=""),"",IF(AND(D28&gt;0,D28&lt;=CapTecnica1),Puntajes!$L$4,IF(AND(D28&gt;CapTecnica1,D28&lt;=CapTecnica2),Puntajes!$L$5,IF(D28&gt;CapTecnica2,Puntajes!$L$6,0))))</f>
        <v>20</v>
      </c>
    </row>
    <row r="29" spans="2:10" ht="14.5" thickBot="1">
      <c r="B29" s="289">
        <v>6.2</v>
      </c>
      <c r="C29" s="262"/>
      <c r="D29" s="290"/>
      <c r="E29" s="287" t="str">
        <f>IF(OR(C29="",D29=""),"",IF(AND(D29&gt;0,D29&lt;=CapTecnica1),Puntajes!$L$4,IF(AND(D29&gt;CapTecnica1,D29&lt;=CapTecnica2),Puntajes!$L$5,IF(D29&gt;CapTecnica2,Puntajes!$L$6,0))))</f>
        <v/>
      </c>
    </row>
    <row r="30" spans="2:10" ht="13">
      <c r="B30" s="47">
        <f>+'Capacidad Financiera'!B30</f>
        <v>7</v>
      </c>
      <c r="C30" s="48" t="str">
        <f>IF(ISERROR(VLOOKUP(B30,'Capacidad Financiera'!$B$13:$AB$58078,2,0)),"",VLOOKUP(B30,'Capacidad Financiera'!$B$13:$AB$58078,2,0))</f>
        <v>CONSORCIO INFRAESTRUCTURA 2024</v>
      </c>
      <c r="D30" s="89"/>
      <c r="E30" s="90" t="str">
        <f>IF(B31="",IF(D30="","",IF(AND(D30&gt;0,D30&lt;=CapTecnica1),Puntajes!$L$4,IF(AND(D30&gt;CapTecnica1,D30&lt;=CapTecnica2),Puntajes!$L$5,IF(D30&gt;CapTecnica2,Puntajes!$L$6,0)))),"")</f>
        <v/>
      </c>
      <c r="G30" s="76"/>
      <c r="H30" s="77"/>
      <c r="I30" s="64"/>
      <c r="J30" s="64"/>
    </row>
    <row r="31" spans="2:10" ht="13">
      <c r="B31" s="185">
        <f>+'Capacidad Financiera'!B31</f>
        <v>7.1</v>
      </c>
      <c r="C31" s="54" t="str">
        <f>IF(ISERROR(VLOOKUP(B31,'Capacidad Financiera'!$B$13:$AB$58078,2,0)),"",VLOOKUP(B31,'Capacidad Financiera'!$B$13:$AB$58078,2,0))</f>
        <v>AGINSA INGENIERIA S.A.S.</v>
      </c>
      <c r="D31" s="253">
        <v>3</v>
      </c>
      <c r="E31" s="178">
        <f>IF(OR(C31="",D31=""),"",IF(AND(D31&gt;0,D31&lt;=CapTecnica1),Puntajes!$L$4,IF(AND(D31&gt;CapTecnica1,D31&lt;=CapTecnica2),Puntajes!$L$5,IF(D31&gt;CapTecnica2,Puntajes!$L$6,0))))</f>
        <v>20</v>
      </c>
    </row>
    <row r="32" spans="2:10" ht="14.5" thickBot="1">
      <c r="B32" s="289">
        <v>7.2</v>
      </c>
      <c r="C32" s="262" t="s">
        <v>277</v>
      </c>
      <c r="D32" s="290">
        <v>2</v>
      </c>
      <c r="E32" s="287">
        <f>IF(OR(C32="",D32=""),"",IF(AND(D32&gt;0,D32&lt;=CapTecnica1),Puntajes!$L$4,IF(AND(D32&gt;CapTecnica1,D32&lt;=CapTecnica2),Puntajes!$L$5,IF(D32&gt;CapTecnica2,Puntajes!$L$6,0))))</f>
        <v>20</v>
      </c>
    </row>
    <row r="33" spans="2:10" ht="13">
      <c r="B33" s="47">
        <f>+'Capacidad Financiera'!B33</f>
        <v>8</v>
      </c>
      <c r="C33" s="48" t="str">
        <f>IF(ISERROR(VLOOKUP(B33,'Capacidad Financiera'!$B$13:$AB$58078,2,0)),"",VLOOKUP(B33,'Capacidad Financiera'!$B$13:$AB$58078,2,0))</f>
        <v xml:space="preserve">CONSORCIO PROGRESAR </v>
      </c>
      <c r="D33" s="89"/>
      <c r="E33" s="90" t="str">
        <f>IF(B34="",IF(D33="","",IF(AND(D33&gt;0,D33&lt;=CapTecnica1),Puntajes!$L$4,IF(AND(D33&gt;CapTecnica1,D33&lt;=CapTecnica2),Puntajes!$L$5,IF(D33&gt;CapTecnica2,Puntajes!$L$6,0)))),"")</f>
        <v/>
      </c>
      <c r="G33" s="76"/>
      <c r="H33" s="77"/>
      <c r="I33" s="64"/>
      <c r="J33" s="64"/>
    </row>
    <row r="34" spans="2:10" ht="13">
      <c r="B34" s="185">
        <f>+'Capacidad Financiera'!B34</f>
        <v>8.1</v>
      </c>
      <c r="C34" s="54" t="str">
        <f>IF(ISERROR(VLOOKUP(B34,'Capacidad Financiera'!$B$13:$AB$58078,2,0)),"",VLOOKUP(B34,'Capacidad Financiera'!$B$13:$AB$58078,2,0))</f>
        <v>INGENIECOL S.A.S.</v>
      </c>
      <c r="D34" s="253">
        <v>1</v>
      </c>
      <c r="E34" s="178">
        <f>IF(OR(C34="",D34=""),"",IF(AND(D34&gt;0,D34&lt;=CapTecnica1),Puntajes!$L$4,IF(AND(D34&gt;CapTecnica1,D34&lt;=CapTecnica2),Puntajes!$L$5,IF(D34&gt;CapTecnica2,Puntajes!$L$6,0))))</f>
        <v>20</v>
      </c>
    </row>
    <row r="35" spans="2:10" ht="13.5" thickBot="1">
      <c r="B35" s="289">
        <v>8.1999999999999993</v>
      </c>
      <c r="C35" s="338" t="str">
        <f>IF(ISERROR(VLOOKUP(B35,'Capacidad Financiera'!$B$13:$AB$58078,2,0)),"",VLOOKUP(B35,'Capacidad Financiera'!$B$13:$AB$58078,2,0))</f>
        <v>MARIA ALEJANDRA LEGARDA LEMOS</v>
      </c>
      <c r="D35" s="290">
        <v>1</v>
      </c>
      <c r="E35" s="287">
        <f>IF(OR(C35="",D35=""),"",IF(AND(D35&gt;0,D35&lt;=CapTecnica1),Puntajes!$L$4,IF(AND(D35&gt;CapTecnica1,D35&lt;=CapTecnica2),Puntajes!$L$5,IF(D35&gt;CapTecnica2,Puntajes!$L$6,0))))</f>
        <v>20</v>
      </c>
    </row>
    <row r="36" spans="2:10" ht="13">
      <c r="B36" s="47">
        <f>+'Capacidad Financiera'!B36</f>
        <v>9</v>
      </c>
      <c r="C36" s="48" t="str">
        <f>IF(ISERROR(VLOOKUP(B36,'Capacidad Financiera'!$B$13:$AB$58078,2,0)),"",VLOOKUP(B36,'Capacidad Financiera'!$B$13:$AB$58078,2,0))</f>
        <v>CONSORCIO VIAS E INGENIERIA</v>
      </c>
      <c r="D36" s="89"/>
      <c r="E36" s="90" t="str">
        <f>IF(B37="",IF(D36="","",IF(AND(D36&gt;0,D36&lt;=CapTecnica1),Puntajes!$L$4,IF(AND(D36&gt;CapTecnica1,D36&lt;=CapTecnica2),Puntajes!$L$5,IF(D36&gt;CapTecnica2,Puntajes!$L$6,0)))),"")</f>
        <v/>
      </c>
      <c r="G36" s="76"/>
      <c r="H36" s="77"/>
      <c r="I36" s="64"/>
      <c r="J36" s="64"/>
    </row>
    <row r="37" spans="2:10" ht="13">
      <c r="B37" s="185">
        <f>+'Capacidad Financiera'!B37</f>
        <v>9.1</v>
      </c>
      <c r="C37" s="54" t="str">
        <f>IF(ISERROR(VLOOKUP(B37,'Capacidad Financiera'!$B$13:$AB$58078,2,0)),"",VLOOKUP(B37,'Capacidad Financiera'!$B$13:$AB$58078,2,0))</f>
        <v>BRASCO INGENIERIA S.A.S.</v>
      </c>
      <c r="D37" s="253">
        <v>1</v>
      </c>
      <c r="E37" s="178">
        <f>IF(OR(C37="",D37=""),"",IF(AND(D37&gt;0,D37&lt;=CapTecnica1),Puntajes!$L$4,IF(AND(D37&gt;CapTecnica1,D37&lt;=CapTecnica2),Puntajes!$L$5,IF(D37&gt;CapTecnica2,Puntajes!$L$6,0))))</f>
        <v>20</v>
      </c>
    </row>
    <row r="38" spans="2:10" ht="13">
      <c r="B38" s="185">
        <f>+'Capacidad Financiera'!B38</f>
        <v>9.1999999999999993</v>
      </c>
      <c r="C38" s="54" t="str">
        <f>IF(ISERROR(VLOOKUP(B38,'Capacidad Financiera'!$B$13:$AB$58078,2,0)),"",VLOOKUP(B38,'Capacidad Financiera'!$B$13:$AB$58078,2,0))</f>
        <v>VERTICES INENIERIA S.A.S.</v>
      </c>
      <c r="D38" s="253">
        <v>1</v>
      </c>
      <c r="E38" s="178">
        <f>IF(OR(C38="",D38=""),"",IF(AND(D38&gt;0,D38&lt;=CapTecnica1),Puntajes!$L$4,IF(AND(D38&gt;CapTecnica1,D38&lt;=CapTecnica2),Puntajes!$L$5,IF(D38&gt;CapTecnica2,Puntajes!$L$6,0))))</f>
        <v>20</v>
      </c>
    </row>
    <row r="39" spans="2:10" ht="13">
      <c r="B39" s="185" t="str">
        <f>+'Capacidad Financiera'!B40</f>
        <v/>
      </c>
      <c r="C39" s="54"/>
      <c r="D39" s="186"/>
      <c r="E39" s="178" t="str">
        <f>IF(OR(C39="",D39=""),"",IF(AND(D39&gt;0,D39&lt;=CapTecnica1),Puntajes!$L$4,IF(AND(D39&gt;CapTecnica1,D39&lt;=CapTecnica2),Puntajes!$L$5,IF(D39&gt;CapTecnica2,Puntajes!$L$6,0))))</f>
        <v/>
      </c>
    </row>
    <row r="40" spans="2:10" ht="13">
      <c r="B40" s="185" t="str">
        <f>+'Capacidad Financiera'!B41</f>
        <v/>
      </c>
      <c r="C40" s="54">
        <f>IF(ISERROR(VLOOKUP(B40,'Capacidad Financiera'!$B$13:$AB$58078,2,0)),"",VLOOKUP(B40,'Capacidad Financiera'!$B$13:$AB$58078,2,0))</f>
        <v>0</v>
      </c>
      <c r="D40" s="186"/>
      <c r="E40" s="178" t="str">
        <f>IF(OR(C40="",D40=""),"",IF(AND(D40&gt;0,D40&lt;=CapTecnica1),Puntajes!$L$4,IF(AND(D40&gt;CapTecnica1,D40&lt;=CapTecnica2),Puntajes!$L$5,IF(D40&gt;CapTecnica2,Puntajes!$L$6,0))))</f>
        <v/>
      </c>
    </row>
    <row r="41" spans="2:10" ht="13">
      <c r="B41" s="185" t="str">
        <f>+'Capacidad Financiera'!B42</f>
        <v/>
      </c>
      <c r="C41" s="54">
        <f>IF(ISERROR(VLOOKUP(B41,'Capacidad Financiera'!$B$13:$AB$58078,2,0)),"",VLOOKUP(B41,'Capacidad Financiera'!$B$13:$AB$58078,2,0))</f>
        <v>0</v>
      </c>
      <c r="D41" s="186"/>
      <c r="E41" s="178" t="str">
        <f>IF(OR(C41="",D41=""),"",IF(AND(D41&gt;0,D41&lt;=CapTecnica1),Puntajes!$L$4,IF(AND(D41&gt;CapTecnica1,D41&lt;=CapTecnica2),Puntajes!$L$5,IF(D41&gt;CapTecnica2,Puntajes!$L$6,0))))</f>
        <v/>
      </c>
    </row>
    <row r="42" spans="2:10" ht="13">
      <c r="B42" s="185" t="str">
        <f>+'Capacidad Financiera'!B43</f>
        <v/>
      </c>
      <c r="C42" s="54">
        <f>IF(ISERROR(VLOOKUP(B42,'Capacidad Financiera'!$B$13:$AB$58078,2,0)),"",VLOOKUP(B42,'Capacidad Financiera'!$B$13:$AB$58078,2,0))</f>
        <v>0</v>
      </c>
      <c r="D42" s="186"/>
      <c r="E42" s="178" t="str">
        <f>IF(OR(C42="",D42=""),"",IF(AND(D42&gt;0,D42&lt;=CapTecnica1),Puntajes!$L$4,IF(AND(D42&gt;CapTecnica1,D42&lt;=CapTecnica2),Puntajes!$L$5,IF(D42&gt;CapTecnica2,Puntajes!$L$6,0))))</f>
        <v/>
      </c>
    </row>
    <row r="43" spans="2:10" ht="13.5" thickBot="1">
      <c r="B43" s="187" t="str">
        <f>+'Capacidad Financiera'!B44</f>
        <v/>
      </c>
      <c r="C43" s="130">
        <f>IF(ISERROR(VLOOKUP(B43,'Capacidad Financiera'!$B$13:$AB$58078,2,0)),"",VLOOKUP(B43,'Capacidad Financiera'!$B$13:$AB$58078,2,0))</f>
        <v>0</v>
      </c>
      <c r="D43" s="188"/>
      <c r="E43" s="182" t="str">
        <f>IF(OR(C43="",D43=""),"",IF(AND(D43&gt;0,D43&lt;=CapTecnica1),Puntajes!$L$4,IF(AND(D43&gt;CapTecnica1,D43&lt;=CapTecnica2),Puntajes!$L$5,IF(D43&gt;CapTecnica2,Puntajes!$L$6,0))))</f>
        <v/>
      </c>
    </row>
    <row r="44" spans="2:10" ht="13.5" thickBot="1">
      <c r="B44" s="137"/>
      <c r="C44" s="455"/>
      <c r="D44" s="455"/>
      <c r="E44" s="456"/>
    </row>
  </sheetData>
  <sheetProtection formatCells="0" formatColumns="0" formatRows="0" insertColumns="0" insertRows="0" insertHyperlinks="0" deleteColumns="0" deleteRows="0" sort="0" autoFilter="0" pivotTables="0"/>
  <mergeCells count="7">
    <mergeCell ref="C44:E44"/>
    <mergeCell ref="B2:E2"/>
    <mergeCell ref="B6:E6"/>
    <mergeCell ref="B7:E7"/>
    <mergeCell ref="B8:E8"/>
    <mergeCell ref="B11:B12"/>
    <mergeCell ref="C11:C12"/>
  </mergeCells>
  <conditionalFormatting sqref="D10">
    <cfRule type="expression" dxfId="231" priority="378" stopIfTrue="1">
      <formula>IF(#REF!-INT(#REF!)&gt;0,TRUE,FALSE)</formula>
    </cfRule>
  </conditionalFormatting>
  <conditionalFormatting sqref="C10 E10 C13:C25 C27:C28 C30:C31 C33:C43">
    <cfRule type="cellIs" dxfId="230" priority="379" stopIfTrue="1" operator="equal">
      <formula>"NO ADMISIBLE"</formula>
    </cfRule>
  </conditionalFormatting>
  <conditionalFormatting sqref="E14:E15 E17:E19 E21 E23 E25:E26 E28:E29 E31:E32 E34:E35 E37:E43">
    <cfRule type="expression" dxfId="229" priority="373" stopIfTrue="1">
      <formula>IF(#REF!-INT(#REF!)&gt;0,TRUE,FALSE)</formula>
    </cfRule>
  </conditionalFormatting>
  <conditionalFormatting sqref="D14:D15 D13:E13 D16:E16 D17:D19 D20:E20 D21 D22:E22 D23 D24:E24 D25:D26 D27:E27 D28:D29 D30:E30 D31:D32 D33:E33 D34:D35 D36:E36 D37:D43">
    <cfRule type="expression" dxfId="228" priority="380" stopIfTrue="1">
      <formula>IF(#REF!-INT(#REF!)&gt;0,TRUE,FALSE)</formula>
    </cfRule>
  </conditionalFormatting>
  <conditionalFormatting sqref="B14:E15 B17:E19 B21:E21 B23:E23 B25:E25 B28:E28 B31:E31 B34:E35 B37:E43 B26 D26:E26 B29 D29:E29 B32 D32:E32">
    <cfRule type="expression" dxfId="227" priority="87">
      <formula>MOD(ROW(),2)=0</formula>
    </cfRule>
  </conditionalFormatting>
  <conditionalFormatting sqref="C26">
    <cfRule type="expression" dxfId="226" priority="3">
      <formula>MOD(ROW(),2)=0</formula>
    </cfRule>
  </conditionalFormatting>
  <conditionalFormatting sqref="C29">
    <cfRule type="expression" dxfId="225" priority="2">
      <formula>MOD(ROW(),2)=0</formula>
    </cfRule>
  </conditionalFormatting>
  <conditionalFormatting sqref="C32">
    <cfRule type="expression" dxfId="224" priority="1">
      <formula>MOD(ROW(),2)=0</formula>
    </cfRule>
  </conditionalFormatting>
  <dataValidations count="1">
    <dataValidation type="list" allowBlank="1" showInputMessage="1" showErrorMessage="1" sqref="C10 C43" xr:uid="{00000000-0002-0000-05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/>
  <dimension ref="A2:L44"/>
  <sheetViews>
    <sheetView topLeftCell="A10" workbookViewId="0">
      <selection activeCell="E21" sqref="E21"/>
    </sheetView>
  </sheetViews>
  <sheetFormatPr baseColWidth="10" defaultColWidth="11.453125" defaultRowHeight="12.5"/>
  <cols>
    <col min="1" max="1" width="11.453125" style="63" customWidth="1"/>
    <col min="2" max="2" width="3.90625" style="63" customWidth="1"/>
    <col min="3" max="3" width="40" style="63" customWidth="1"/>
    <col min="4" max="5" width="18.6328125" style="59" customWidth="1"/>
    <col min="6" max="6" width="14.6328125" style="59" bestFit="1" customWidth="1"/>
    <col min="7" max="7" width="42.453125" style="59" customWidth="1"/>
    <col min="8" max="8" width="11.453125" style="63"/>
    <col min="9" max="9" width="13.90625" style="74" customWidth="1"/>
    <col min="10" max="10" width="9.6328125" style="75" customWidth="1"/>
    <col min="11" max="11" width="12.54296875" style="63" customWidth="1"/>
    <col min="12" max="12" width="12.6328125" style="63" customWidth="1"/>
    <col min="13" max="16384" width="11.453125" style="63"/>
  </cols>
  <sheetData>
    <row r="2" spans="2:12" s="65" customFormat="1" ht="20.25" customHeight="1">
      <c r="B2" s="446" t="s">
        <v>121</v>
      </c>
      <c r="C2" s="446"/>
      <c r="D2" s="446"/>
      <c r="E2" s="446"/>
      <c r="F2" s="446"/>
      <c r="G2" s="446"/>
      <c r="I2" s="66"/>
      <c r="J2" s="67"/>
    </row>
    <row r="3" spans="2:12" s="65" customFormat="1" ht="18" customHeight="1">
      <c r="B3" s="447" t="s">
        <v>62</v>
      </c>
      <c r="C3" s="447"/>
      <c r="D3" s="447"/>
      <c r="E3" s="447"/>
      <c r="F3" s="447"/>
      <c r="G3" s="447"/>
      <c r="I3" s="66"/>
      <c r="J3" s="67"/>
    </row>
    <row r="4" spans="2:12" s="65" customFormat="1" ht="13.5" customHeight="1">
      <c r="B4" s="448" t="str">
        <f>'Capacidad Financiera'!B4</f>
        <v xml:space="preserve">PROCESO No. </v>
      </c>
      <c r="C4" s="448"/>
      <c r="D4" s="448"/>
      <c r="E4" s="448"/>
      <c r="F4" s="448"/>
      <c r="G4" s="448"/>
      <c r="I4" s="66"/>
      <c r="J4" s="67"/>
    </row>
    <row r="5" spans="2:12" s="65" customFormat="1" ht="13.5" customHeight="1">
      <c r="B5" s="448" t="s">
        <v>133</v>
      </c>
      <c r="C5" s="448"/>
      <c r="D5" s="448"/>
      <c r="E5" s="448"/>
      <c r="F5" s="448"/>
      <c r="G5" s="448"/>
      <c r="I5" s="66"/>
      <c r="J5" s="67"/>
    </row>
    <row r="6" spans="2:12" s="65" customFormat="1" ht="6.75" customHeight="1">
      <c r="B6" s="102"/>
      <c r="C6" s="102"/>
      <c r="D6" s="102"/>
      <c r="E6" s="102"/>
      <c r="F6" s="102"/>
      <c r="G6" s="102"/>
      <c r="I6" s="66"/>
      <c r="J6" s="67"/>
    </row>
    <row r="7" spans="2:12" s="65" customFormat="1" ht="6.75" customHeight="1">
      <c r="B7" s="102"/>
      <c r="C7" s="102"/>
      <c r="D7" s="102"/>
      <c r="E7" s="102"/>
      <c r="F7" s="102"/>
      <c r="G7" s="102"/>
      <c r="I7" s="66"/>
      <c r="J7" s="67"/>
    </row>
    <row r="8" spans="2:12" s="65" customFormat="1" ht="6.75" customHeight="1">
      <c r="B8" s="102"/>
      <c r="C8" s="102"/>
      <c r="D8" s="102"/>
      <c r="E8" s="102"/>
      <c r="F8" s="102"/>
      <c r="G8" s="102"/>
      <c r="I8" s="66"/>
      <c r="J8" s="67"/>
    </row>
    <row r="9" spans="2:12" s="65" customFormat="1" ht="6.75" customHeight="1">
      <c r="B9" s="102"/>
      <c r="C9" s="102"/>
      <c r="D9" s="102"/>
      <c r="E9" s="102"/>
      <c r="F9" s="102"/>
      <c r="G9" s="102"/>
      <c r="I9" s="66"/>
      <c r="J9" s="67"/>
    </row>
    <row r="10" spans="2:12" s="65" customFormat="1" ht="13.5" thickBot="1">
      <c r="B10" s="68"/>
      <c r="C10" s="68"/>
      <c r="D10" s="72"/>
      <c r="E10" s="72"/>
      <c r="F10" s="72"/>
      <c r="G10" s="72"/>
      <c r="I10" s="66"/>
      <c r="J10" s="67"/>
    </row>
    <row r="11" spans="2:12" ht="43.5" customHeight="1">
      <c r="B11" s="449" t="s">
        <v>78</v>
      </c>
      <c r="C11" s="451" t="s">
        <v>79</v>
      </c>
      <c r="D11" s="453" t="s">
        <v>134</v>
      </c>
      <c r="E11" s="457" t="s">
        <v>135</v>
      </c>
      <c r="F11" s="457" t="s">
        <v>136</v>
      </c>
      <c r="G11" s="184" t="s">
        <v>133</v>
      </c>
    </row>
    <row r="12" spans="2:12" ht="84.75" customHeight="1" thickBot="1">
      <c r="B12" s="450"/>
      <c r="C12" s="452"/>
      <c r="D12" s="454"/>
      <c r="E12" s="458"/>
      <c r="F12" s="458"/>
      <c r="G12" s="174" t="s">
        <v>137</v>
      </c>
    </row>
    <row r="13" spans="2:12" ht="13">
      <c r="B13" s="47">
        <f>+'Capacidad Financiera'!B13</f>
        <v>1</v>
      </c>
      <c r="C13" s="48" t="str">
        <f>IF(ISERROR(VLOOKUP(B13,'Capacidad Financiera'!$B$13:$AB$58078,2,0)),"",VLOOKUP(B13,'Capacidad Financiera'!$B$13:$AB$58078,2,0))</f>
        <v>CONSORCIO MEGACONSTRUCCIONES 2024</v>
      </c>
      <c r="D13" s="95" t="str">
        <f>IF(B14="",IF(B13&lt;&gt;"",IF(ISERROR(VLOOKUP(C13,'Capacidad Financiera'!$C$13:$H$44,3,0)),"",VLOOKUP(C13,'Capacidad Financiera'!$C$13:$H$44,3,0))),"")</f>
        <v/>
      </c>
      <c r="E13" s="95" t="str">
        <f>IF(B14="",IF(B13&lt;&gt;"",IF(ISERROR(VLOOKUP(C13,'Capacidad Financiera'!$C$13:$H$44,5,0)),"",VLOOKUP(C13,'Capacidad Financiera'!$C$13:$H$44,5,0))),"")</f>
        <v/>
      </c>
      <c r="F13" s="53" t="str">
        <f>IF(OR(C13="",D13="",E13=""),"",IF(OR(D13=0,E13=0),0,D13/E13))</f>
        <v/>
      </c>
      <c r="G13" s="91" t="str">
        <f>IF(B14="",IF(AND(D13="",E13=""),"",IF(AND(F13&gt;0,F13&lt;=CapFinanciera1),Puntajes!$D$4,IF(AND(F13&gt;CapFinanciera1,F13&lt;=CapFinanciera2),Puntajes!$D$5,IF(AND(F13&gt;CapFinanciera2,F13&lt;=CapFinanciera3),Puntajes!$D$6,IF(AND(F13&gt;CapFinanciera3,F13&lt;=CapFinanciera4),Puntajes!$D$7,IF(F13&gt;CapFinanciera4,Puntajes!$D$8,0)))))),"")</f>
        <v/>
      </c>
      <c r="I13" s="76"/>
      <c r="J13" s="77"/>
      <c r="K13" s="64"/>
      <c r="L13" s="64"/>
    </row>
    <row r="14" spans="2:12" ht="13">
      <c r="B14" s="52">
        <f>+'Capacidad Financiera'!B14</f>
        <v>1.1000000000000001</v>
      </c>
      <c r="C14" s="54" t="str">
        <f>IF(ISERROR(VLOOKUP(B14,'Capacidad Financiera'!$B$13:$AB$58078,2,0)),"",VLOOKUP(B14,'Capacidad Financiera'!$B$13:$AB$58078,2,0))</f>
        <v>MEGA CONSTRUCCIONES PACK SAS</v>
      </c>
      <c r="D14" s="96">
        <f>IF(OR(B14="",C14=""),"",IF(ISERROR(VLOOKUP(C14,'Capacidad Financiera'!$C$14:$AB$58078,3,0)),"",VLOOKUP(C14,'Capacidad Financiera'!$C$14:$AB$58078,3,0)))</f>
        <v>644027281</v>
      </c>
      <c r="E14" s="96">
        <f>IF(OR(B14="",C14=""),"",IF(ISERROR(VLOOKUP(C14,'Capacidad Financiera'!$C$14:$AB$58078,5,0)),"",VLOOKUP(C14,'Capacidad Financiera'!$C$14:$AB$58078,5,0)))</f>
        <v>260831249</v>
      </c>
      <c r="F14" s="97">
        <f t="shared" ref="F14:F43" si="0">IF(OR(C14="",D14="",E14=""),"",IF(OR(D14=0,E14=0),0,D14/E14))</f>
        <v>2.4691339073409875</v>
      </c>
      <c r="G14" s="98">
        <f>IF(OR(C14="",D14="",E14=""),"",IF(AND(F14&gt;0,F14&lt;=CapFinanciera1),Puntajes!$D$4,IF(AND(F14&gt;CapFinanciera1,F14&lt;=CapFinanciera2),Puntajes!$D$5,IF(AND(F14&gt;CapFinanciera2,F14&lt;=CapFinanciera3),Puntajes!$D$6,IF(AND(F14&gt;CapFinanciera3,F14&lt;=CapFinanciera4),Puntajes!$D$7,IF(F14&gt;CapFinanciera4,Puntajes!$D$8,0))))))</f>
        <v>40</v>
      </c>
    </row>
    <row r="15" spans="2:12" ht="13.5" thickBot="1">
      <c r="B15" s="52">
        <f>+'Capacidad Financiera'!B15</f>
        <v>1.2</v>
      </c>
      <c r="C15" s="54" t="str">
        <f>IF(ISERROR(VLOOKUP(B15,'Capacidad Financiera'!$B$13:$AB$58078,2,0)),"",VLOOKUP(B15,'Capacidad Financiera'!$B$13:$AB$58078,2,0))</f>
        <v>MTS CONTRUCCIONES SAS</v>
      </c>
      <c r="D15" s="96">
        <f>IF(OR(B15="",C15=""),"",IF(ISERROR(VLOOKUP(C15,'Capacidad Financiera'!$C$14:$AB$58078,3,0)),"",VLOOKUP(C15,'Capacidad Financiera'!$C$14:$AB$58078,3,0)))</f>
        <v>13117399014</v>
      </c>
      <c r="E15" s="96">
        <f>IF(OR(B15="",C15=""),"",IF(ISERROR(VLOOKUP(C15,'Capacidad Financiera'!$C$14:$AB$58078,5,0)),"",VLOOKUP(C15,'Capacidad Financiera'!$C$14:$AB$58078,5,0)))</f>
        <v>3551759873</v>
      </c>
      <c r="F15" s="97">
        <f t="shared" si="0"/>
        <v>3.6932111074615994</v>
      </c>
      <c r="G15" s="98">
        <f>IF(OR(C15="",D15="",E15=""),"",IF(AND(F15&gt;0,F15&lt;=CapFinanciera1),Puntajes!$D$4,IF(AND(F15&gt;CapFinanciera1,F15&lt;=CapFinanciera2),Puntajes!$D$5,IF(AND(F15&gt;CapFinanciera2,F15&lt;=CapFinanciera3),Puntajes!$D$6,IF(AND(F15&gt;CapFinanciera3,F15&lt;=CapFinanciera4),Puntajes!$D$7,IF(F15&gt;CapFinanciera4,Puntajes!$D$8,0))))))</f>
        <v>40</v>
      </c>
    </row>
    <row r="16" spans="2:12" ht="13">
      <c r="B16" s="47">
        <f>+'Capacidad Financiera'!B16</f>
        <v>2</v>
      </c>
      <c r="C16" s="48" t="str">
        <f>IF(ISERROR(VLOOKUP(B16,'Capacidad Financiera'!$B$13:$AB$58078,2,0)),"",VLOOKUP(B16,'Capacidad Financiera'!$B$13:$AB$58078,2,0))</f>
        <v>YAMEL ARANGO PINILLA</v>
      </c>
      <c r="D16" s="95" t="str">
        <f>IF(B17="",IF(B16&lt;&gt;"",IF(ISERROR(VLOOKUP(C16,'Capacidad Financiera'!$C$13:$H$44,3,0)),"",VLOOKUP(C16,'Capacidad Financiera'!$C$13:$H$44,3,0))),"")</f>
        <v/>
      </c>
      <c r="E16" s="95" t="str">
        <f>IF(B17="",IF(B16&lt;&gt;"",IF(ISERROR(VLOOKUP(C16,'Capacidad Financiera'!$C$13:$H$44,5,0)),"",VLOOKUP(C16,'Capacidad Financiera'!$C$13:$H$44,5,0))),"")</f>
        <v/>
      </c>
      <c r="F16" s="53" t="str">
        <f>IF(OR(C16="",D16="",E16=""),"",IF(OR(D16=0,E16=0),0,D16/E16))</f>
        <v/>
      </c>
      <c r="G16" s="91" t="str">
        <f>IF(B17="",IF(AND(D16="",E16=""),"",IF(AND(F16&gt;0,F16&lt;=CapFinanciera1),Puntajes!$D$4,IF(AND(F16&gt;CapFinanciera1,F16&lt;=CapFinanciera2),Puntajes!$D$5,IF(AND(F16&gt;CapFinanciera2,F16&lt;=CapFinanciera3),Puntajes!$D$6,IF(AND(F16&gt;CapFinanciera3,F16&lt;=CapFinanciera4),Puntajes!$D$7,IF(F16&gt;CapFinanciera4,Puntajes!$D$8,0)))))),"")</f>
        <v/>
      </c>
      <c r="I16" s="76"/>
      <c r="J16" s="77"/>
      <c r="K16" s="64"/>
      <c r="L16" s="64"/>
    </row>
    <row r="17" spans="1:12" ht="13">
      <c r="B17" s="52">
        <f>+'Capacidad Financiera'!B17</f>
        <v>2.1</v>
      </c>
      <c r="C17" s="54" t="str">
        <f>IF(ISERROR(VLOOKUP(B17,'Capacidad Financiera'!$B$13:$AB$58078,2,0)),"",VLOOKUP(B17,'Capacidad Financiera'!$B$13:$AB$58078,2,0))</f>
        <v>YAMEL ARANGO PINILLA</v>
      </c>
      <c r="D17" s="96">
        <f>IF(OR(B17="",C17=""),"",IF(ISERROR(VLOOKUP(C17,'Capacidad Financiera'!$C$14:$AB$58078,3,0)),"",VLOOKUP(C17,'Capacidad Financiera'!$C$14:$AB$58078,3,0)))</f>
        <v>1220423662</v>
      </c>
      <c r="E17" s="96">
        <f>IF(OR(B17="",C17=""),"",IF(ISERROR(VLOOKUP(C17,'Capacidad Financiera'!$C$14:$AB$58078,5,0)),"",VLOOKUP(C17,'Capacidad Financiera'!$C$14:$AB$58078,5,0)))</f>
        <v>70538048</v>
      </c>
      <c r="F17" s="97">
        <f t="shared" ref="F17:F18" si="1">IF(OR(C17="",D17="",E17=""),"",IF(OR(D17=0,E17=0),0,D17/E17))</f>
        <v>17.301636444490214</v>
      </c>
      <c r="G17" s="98">
        <f>IF(OR(C17="",D17="",E17=""),"",IF(AND(F17&gt;0,F17&lt;=CapFinanciera1),Puntajes!$D$4,IF(AND(F17&gt;CapFinanciera1,F17&lt;=CapFinanciera2),Puntajes!$D$5,IF(AND(F17&gt;CapFinanciera2,F17&lt;=CapFinanciera3),Puntajes!$D$6,IF(AND(F17&gt;CapFinanciera3,F17&lt;=CapFinanciera4),Puntajes!$D$7,IF(F17&gt;CapFinanciera4,Puntajes!$D$8,0))))))</f>
        <v>40</v>
      </c>
    </row>
    <row r="18" spans="1:12" ht="13">
      <c r="B18" s="52">
        <f>+'Capacidad Financiera'!B18</f>
        <v>0</v>
      </c>
      <c r="C18" s="54" t="str">
        <f>IF(ISERROR(VLOOKUP(B18,'Capacidad Financiera'!$B$13:$AB$58078,2,0)),"",VLOOKUP(B18,'Capacidad Financiera'!$B$13:$AB$58078,2,0))</f>
        <v/>
      </c>
      <c r="D18" s="96" t="str">
        <f>IF(OR(B18="",C18=""),"",IF(ISERROR(VLOOKUP(C18,'Capacidad Financiera'!$C$14:$AB$58078,3,0)),"",VLOOKUP(C18,'Capacidad Financiera'!$C$14:$AB$58078,3,0)))</f>
        <v/>
      </c>
      <c r="E18" s="96" t="str">
        <f>IF(OR(B18="",C18=""),"",IF(ISERROR(VLOOKUP(C18,'Capacidad Financiera'!$C$14:$AB$58078,5,0)),"",VLOOKUP(C18,'Capacidad Financiera'!$C$14:$AB$58078,5,0)))</f>
        <v/>
      </c>
      <c r="F18" s="97" t="str">
        <f t="shared" si="1"/>
        <v/>
      </c>
      <c r="G18" s="98" t="str">
        <f>IF(OR(C18="",D18="",E18=""),"",IF(AND(F18&gt;0,F18&lt;=CapFinanciera1),Puntajes!$D$4,IF(AND(F18&gt;CapFinanciera1,F18&lt;=CapFinanciera2),Puntajes!$D$5,IF(AND(F18&gt;CapFinanciera2,F18&lt;=CapFinanciera3),Puntajes!$D$6,IF(AND(F18&gt;CapFinanciera3,F18&lt;=CapFinanciera4),Puntajes!$D$7,IF(F18&gt;CapFinanciera4,Puntajes!$D$8,0))))))</f>
        <v/>
      </c>
    </row>
    <row r="19" spans="1:12" ht="13.5" thickBot="1">
      <c r="B19" s="52" t="str">
        <f>+'Capacidad Financiera'!B19</f>
        <v/>
      </c>
      <c r="C19" s="54">
        <f>IF(ISERROR(VLOOKUP(B19,'Capacidad Financiera'!$B$13:$AB$58078,2,0)),"",VLOOKUP(B19,'Capacidad Financiera'!$B$13:$AB$58078,2,0))</f>
        <v>0</v>
      </c>
      <c r="D19" s="96" t="str">
        <f>IF(OR(B19="",C19=""),"",IF(ISERROR(VLOOKUP(C19,'Capacidad Financiera'!$C$14:$AB$58078,3,0)),"",VLOOKUP(C19,'Capacidad Financiera'!$C$14:$AB$58078,3,0)))</f>
        <v/>
      </c>
      <c r="E19" s="96" t="str">
        <f>IF(OR(B19="",C19=""),"",IF(ISERROR(VLOOKUP(C19,'Capacidad Financiera'!$C$14:$AB$58078,5,0)),"",VLOOKUP(C19,'Capacidad Financiera'!$C$14:$AB$58078,5,0)))</f>
        <v/>
      </c>
      <c r="F19" s="97" t="str">
        <f t="shared" ref="F19" si="2">IF(OR(C19="",D19="",E19=""),"",IF(OR(D19=0,E19=0),0,D19/E19))</f>
        <v/>
      </c>
      <c r="G19" s="98" t="str">
        <f>IF(OR(C19="",D19="",E19=""),"",IF(AND(F19&gt;0,F19&lt;=CapFinanciera1),Puntajes!$D$4,IF(AND(F19&gt;CapFinanciera1,F19&lt;=CapFinanciera2),Puntajes!$D$5,IF(AND(F19&gt;CapFinanciera2,F19&lt;=CapFinanciera3),Puntajes!$D$6,IF(AND(F19&gt;CapFinanciera3,F19&lt;=CapFinanciera4),Puntajes!$D$7,IF(F19&gt;CapFinanciera4,Puntajes!$D$8,0))))))</f>
        <v/>
      </c>
    </row>
    <row r="20" spans="1:12" ht="13">
      <c r="B20" s="47">
        <f>+'Capacidad Financiera'!B20</f>
        <v>3</v>
      </c>
      <c r="C20" s="48" t="str">
        <f>IF(ISERROR(VLOOKUP(B20,'Capacidad Financiera'!$B$13:$AB$58078,2,0)),"",VLOOKUP(B20,'Capacidad Financiera'!$B$13:$AB$58078,2,0))</f>
        <v xml:space="preserve">ARMANDO MARTINEZ SPADAFORA </v>
      </c>
      <c r="D20" s="95" t="str">
        <f>IF(B21="",IF(B20&lt;&gt;"",IF(ISERROR(VLOOKUP(C20,'Capacidad Financiera'!$C$13:$H$44,3,0)),"",VLOOKUP(C20,'Capacidad Financiera'!$C$13:$H$44,3,0))),"")</f>
        <v/>
      </c>
      <c r="E20" s="95" t="str">
        <f>IF(B21="",IF(B20&lt;&gt;"",IF(ISERROR(VLOOKUP(C20,'Capacidad Financiera'!$C$13:$H$44,5,0)),"",VLOOKUP(C20,'Capacidad Financiera'!$C$13:$H$44,5,0))),"")</f>
        <v/>
      </c>
      <c r="F20" s="53" t="str">
        <f>IF(OR(C20="",D20="",E20=""),"",IF(OR(D20=0,E20=0),0,D20/E20))</f>
        <v/>
      </c>
      <c r="G20" s="91" t="str">
        <f>IF(B21="",IF(AND(D20="",E20=""),"",IF(AND(F20&gt;0,F20&lt;=CapFinanciera1),Puntajes!$D$4,IF(AND(F20&gt;CapFinanciera1,F20&lt;=CapFinanciera2),Puntajes!$D$5,IF(AND(F20&gt;CapFinanciera2,F20&lt;=CapFinanciera3),Puntajes!$D$6,IF(AND(F20&gt;CapFinanciera3,F20&lt;=CapFinanciera4),Puntajes!$D$7,IF(F20&gt;CapFinanciera4,Puntajes!$D$8,0)))))),"")</f>
        <v/>
      </c>
      <c r="I20" s="76"/>
      <c r="J20" s="77"/>
      <c r="K20" s="64"/>
      <c r="L20" s="64"/>
    </row>
    <row r="21" spans="1:12" ht="13.5" thickBot="1">
      <c r="A21" s="257" t="s">
        <v>282</v>
      </c>
      <c r="B21" s="52">
        <v>3.1</v>
      </c>
      <c r="C21" s="54" t="s">
        <v>267</v>
      </c>
      <c r="D21" s="96">
        <f>IF(OR(B21="",C21=""),"",IF(ISERROR(VLOOKUP(C21,'Capacidad Financiera'!$C$14:$AB$58078,3,0)),"",VLOOKUP(C21,'Capacidad Financiera'!$C$14:$AB$58078,3,0)))</f>
        <v>1901444969.75</v>
      </c>
      <c r="E21" s="96">
        <f>IF(OR(B21="",C21=""),"",IF(ISERROR(VLOOKUP(C21,'Capacidad Financiera'!$C$14:$AB$58078,5,0)),"",VLOOKUP(C21,'Capacidad Financiera'!$C$14:$AB$58078,5,0)))</f>
        <v>36968370</v>
      </c>
      <c r="F21" s="97">
        <f t="shared" ref="F21" si="3">IF(OR(C21="",D21="",E21=""),"",IF(OR(D21=0,E21=0),0,D21/E21))</f>
        <v>51.434374027039873</v>
      </c>
      <c r="G21" s="98">
        <f>IF(OR(C21="",D21="",E21=""),"",IF(AND(F21&gt;0,F21&lt;=CapFinanciera1),Puntajes!$D$4,IF(AND(F21&gt;CapFinanciera1,F21&lt;=CapFinanciera2),Puntajes!$D$5,IF(AND(F21&gt;CapFinanciera2,F21&lt;=CapFinanciera3),Puntajes!$D$6,IF(AND(F21&gt;CapFinanciera3,F21&lt;=CapFinanciera4),Puntajes!$D$7,IF(F21&gt;CapFinanciera4,Puntajes!$D$8,0))))))</f>
        <v>40</v>
      </c>
    </row>
    <row r="22" spans="1:12" ht="13">
      <c r="B22" s="47">
        <f>+'Capacidad Financiera'!B22</f>
        <v>4</v>
      </c>
      <c r="C22" s="48" t="str">
        <f>IF(ISERROR(VLOOKUP(B22,'Capacidad Financiera'!$B$13:$AB$58078,2,0)),"",VLOOKUP(B22,'Capacidad Financiera'!$B$13:$AB$58078,2,0))</f>
        <v>CELAS S.A.S.</v>
      </c>
      <c r="D22" s="95" t="str">
        <f>IF(B23="",IF(B22&lt;&gt;"",IF(ISERROR(VLOOKUP(C22,'Capacidad Financiera'!$C$13:$H$44,3,0)),"",VLOOKUP(C22,'Capacidad Financiera'!$C$13:$H$44,3,0))),"")</f>
        <v/>
      </c>
      <c r="E22" s="95" t="str">
        <f>IF(B23="",IF(B22&lt;&gt;"",IF(ISERROR(VLOOKUP(C22,'Capacidad Financiera'!$C$13:$H$44,5,0)),"",VLOOKUP(C22,'Capacidad Financiera'!$C$13:$H$44,5,0))),"")</f>
        <v/>
      </c>
      <c r="F22" s="53" t="str">
        <f>IF(OR(C22="",D22="",E22=""),"",IF(OR(D22=0,E22=0),0,D22/E22))</f>
        <v/>
      </c>
      <c r="G22" s="91" t="str">
        <f>IF(B23="",IF(AND(D22="",E22=""),"",IF(AND(F22&gt;0,F22&lt;=CapFinanciera1),Puntajes!$D$4,IF(AND(F22&gt;CapFinanciera1,F22&lt;=CapFinanciera2),Puntajes!$D$5,IF(AND(F22&gt;CapFinanciera2,F22&lt;=CapFinanciera3),Puntajes!$D$6,IF(AND(F22&gt;CapFinanciera3,F22&lt;=CapFinanciera4),Puntajes!$D$7,IF(F22&gt;CapFinanciera4,Puntajes!$D$8,0)))))),"")</f>
        <v/>
      </c>
      <c r="I22" s="76"/>
      <c r="J22" s="77"/>
      <c r="K22" s="64"/>
      <c r="L22" s="64"/>
    </row>
    <row r="23" spans="1:12" ht="13.5" thickBot="1">
      <c r="B23" s="185">
        <v>4.0999999999999996</v>
      </c>
      <c r="C23" s="54" t="str">
        <f>IF(ISERROR(VLOOKUP(B23,'Capacidad Financiera'!$B$13:$AB$58078,2,0)),"",VLOOKUP(B23,'Capacidad Financiera'!$B$13:$AB$58078,2,0))</f>
        <v>CELAS S.A.S.</v>
      </c>
      <c r="D23" s="323">
        <f>IF(OR(B23="",C23=""),"",IF(ISERROR(VLOOKUP(C23,'Capacidad Financiera'!$C$14:$AB$58078,3,0)),"",VLOOKUP(C23,'Capacidad Financiera'!$C$14:$AB$58078,3,0)))</f>
        <v>995876000</v>
      </c>
      <c r="E23" s="323">
        <f>IF(OR(B23="",C23=""),"",IF(ISERROR(VLOOKUP(C23,'Capacidad Financiera'!$C$14:$AB$58078,5,0)),"",VLOOKUP(C23,'Capacidad Financiera'!$C$14:$AB$58078,5,0)))</f>
        <v>15316000</v>
      </c>
      <c r="F23" s="177">
        <f t="shared" ref="F23" si="4">IF(OR(C23="",D23="",E23=""),"",IF(OR(D23=0,E23=0),0,D23/E23))</f>
        <v>65.021937842778797</v>
      </c>
      <c r="G23" s="178">
        <f>IF(OR(C23="",D23="",E23=""),"",IF(AND(F23&gt;0,F23&lt;=CapFinanciera1),Puntajes!$D$4,IF(AND(F23&gt;CapFinanciera1,F23&lt;=CapFinanciera2),Puntajes!$D$5,IF(AND(F23&gt;CapFinanciera2,F23&lt;=CapFinanciera3),Puntajes!$D$6,IF(AND(F23&gt;CapFinanciera3,F23&lt;=CapFinanciera4),Puntajes!$D$7,IF(F23&gt;CapFinanciera4,Puntajes!$D$8,0))))))</f>
        <v>40</v>
      </c>
    </row>
    <row r="24" spans="1:12" ht="13">
      <c r="B24" s="47">
        <f>+'Capacidad Financiera'!B24</f>
        <v>5</v>
      </c>
      <c r="C24" s="48" t="str">
        <f>IF(ISERROR(VLOOKUP(B24,'Capacidad Financiera'!$B$13:$AB$58078,2,0)),"",VLOOKUP(B24,'Capacidad Financiera'!$B$13:$AB$58078,2,0))</f>
        <v>GEPAV S.A.S.</v>
      </c>
      <c r="D24" s="95" t="str">
        <f>IF(B25="",IF(B24&lt;&gt;"",IF(ISERROR(VLOOKUP(C24,'Capacidad Financiera'!$C$13:$H$44,3,0)),"",VLOOKUP(C24,'Capacidad Financiera'!$C$13:$H$44,3,0))),"")</f>
        <v/>
      </c>
      <c r="E24" s="95" t="str">
        <f>IF(B25="",IF(B24&lt;&gt;"",IF(ISERROR(VLOOKUP(C24,'Capacidad Financiera'!$C$13:$H$44,5,0)),"",VLOOKUP(C24,'Capacidad Financiera'!$C$13:$H$44,5,0))),"")</f>
        <v/>
      </c>
      <c r="F24" s="53" t="str">
        <f>IF(OR(C24="",D24="",E24=""),"",IF(OR(D24=0,E24=0),0,D24/E24))</f>
        <v/>
      </c>
      <c r="G24" s="91" t="str">
        <f>IF(B25="",IF(AND(D24="",E24=""),"",IF(AND(F24&gt;0,F24&lt;=CapFinanciera1),Puntajes!$D$4,IF(AND(F24&gt;CapFinanciera1,F24&lt;=CapFinanciera2),Puntajes!$D$5,IF(AND(F24&gt;CapFinanciera2,F24&lt;=CapFinanciera3),Puntajes!$D$6,IF(AND(F24&gt;CapFinanciera3,F24&lt;=CapFinanciera4),Puntajes!$D$7,IF(F24&gt;CapFinanciera4,Puntajes!$D$8,0)))))),"")</f>
        <v/>
      </c>
      <c r="I24" s="76"/>
      <c r="J24" s="77"/>
      <c r="K24" s="64"/>
      <c r="L24" s="64"/>
    </row>
    <row r="25" spans="1:12" ht="13">
      <c r="B25" s="52">
        <v>5.0999999999999996</v>
      </c>
      <c r="C25" s="54" t="str">
        <f>IF(ISERROR(VLOOKUP(B25,'Capacidad Financiera'!$B$13:$AB$58078,2,0)),"",VLOOKUP(B25,'Capacidad Financiera'!$B$13:$AB$58078,2,0))</f>
        <v>GEPAV S.A.S.</v>
      </c>
      <c r="D25" s="96">
        <f>IF(OR(B25="",C25=""),"",IF(ISERROR(VLOOKUP(C25,'Capacidad Financiera'!$C$14:$AB$58078,3,0)),"",VLOOKUP(C25,'Capacidad Financiera'!$C$14:$AB$58078,3,0)))</f>
        <v>2203405601</v>
      </c>
      <c r="E25" s="96">
        <f>IF(OR(B25="",C25=""),"",IF(ISERROR(VLOOKUP(C25,'Capacidad Financiera'!$C$14:$AB$58078,5,0)),"",VLOOKUP(C25,'Capacidad Financiera'!$C$14:$AB$58078,5,0)))</f>
        <v>178603667</v>
      </c>
      <c r="F25" s="97">
        <f t="shared" ref="F25:F26" si="5">IF(OR(C25="",D25="",E25=""),"",IF(OR(D25=0,E25=0),0,D25/E25))</f>
        <v>12.336844130977445</v>
      </c>
      <c r="G25" s="98">
        <f>IF(OR(C25="",D25="",E25=""),"",IF(AND(F25&gt;0,F25&lt;=CapFinanciera1),Puntajes!$D$4,IF(AND(F25&gt;CapFinanciera1,F25&lt;=CapFinanciera2),Puntajes!$D$5,IF(AND(F25&gt;CapFinanciera2,F25&lt;=CapFinanciera3),Puntajes!$D$6,IF(AND(F25&gt;CapFinanciera3,F25&lt;=CapFinanciera4),Puntajes!$D$7,IF(F25&gt;CapFinanciera4,Puntajes!$D$8,0))))))</f>
        <v>40</v>
      </c>
    </row>
    <row r="26" spans="1:12" ht="14.5" thickBot="1">
      <c r="B26" s="282">
        <v>5.2</v>
      </c>
      <c r="C26" s="262"/>
      <c r="D26" s="291" t="str">
        <f>IF(OR(B26="",C26=""),"",IF(ISERROR(VLOOKUP(C26,'Capacidad Financiera'!$C$14:$AB$58078,3,0)),"",VLOOKUP(C26,'Capacidad Financiera'!$C$14:$AB$58078,3,0)))</f>
        <v/>
      </c>
      <c r="E26" s="291" t="str">
        <f>IF(OR(B26="",C26=""),"",IF(ISERROR(VLOOKUP(C26,'Capacidad Financiera'!$C$14:$AB$58078,5,0)),"",VLOOKUP(C26,'Capacidad Financiera'!$C$14:$AB$58078,5,0)))</f>
        <v/>
      </c>
      <c r="F26" s="292" t="str">
        <f t="shared" si="5"/>
        <v/>
      </c>
      <c r="G26" s="293" t="str">
        <f>IF(OR(C26="",D26="",E26=""),"",IF(AND(F26&gt;0,F26&lt;=CapFinanciera1),Puntajes!$D$4,IF(AND(F26&gt;CapFinanciera1,F26&lt;=CapFinanciera2),Puntajes!$D$5,IF(AND(F26&gt;CapFinanciera2,F26&lt;=CapFinanciera3),Puntajes!$D$6,IF(AND(F26&gt;CapFinanciera3,F26&lt;=CapFinanciera4),Puntajes!$D$7,IF(F26&gt;CapFinanciera4,Puntajes!$D$8,0))))))</f>
        <v/>
      </c>
    </row>
    <row r="27" spans="1:12" ht="13">
      <c r="B27" s="47">
        <f>+'Capacidad Financiera'!B27</f>
        <v>6</v>
      </c>
      <c r="C27" s="48" t="str">
        <f>IF(ISERROR(VLOOKUP(B27,'Capacidad Financiera'!$B$13:$AB$58078,2,0)),"",VLOOKUP(B27,'Capacidad Financiera'!$B$13:$AB$58078,2,0))</f>
        <v>JUAN CARLOS BRICEÑO CHAVES</v>
      </c>
      <c r="D27" s="95" t="str">
        <f>IF(B28="",IF(B27&lt;&gt;"",IF(ISERROR(VLOOKUP(C27,'Capacidad Financiera'!$C$13:$H$44,3,0)),"",VLOOKUP(C27,'Capacidad Financiera'!$C$13:$H$44,3,0))),"")</f>
        <v/>
      </c>
      <c r="E27" s="95" t="str">
        <f>IF(B28="",IF(B27&lt;&gt;"",IF(ISERROR(VLOOKUP(C27,'Capacidad Financiera'!$C$13:$H$44,5,0)),"",VLOOKUP(C27,'Capacidad Financiera'!$C$13:$H$44,5,0))),"")</f>
        <v/>
      </c>
      <c r="F27" s="53" t="str">
        <f>IF(OR(C27="",D27="",E27=""),"",IF(OR(D27=0,E27=0),0,D27/E27))</f>
        <v/>
      </c>
      <c r="G27" s="91" t="str">
        <f>IF(B28="",IF(AND(D27="",E27=""),"",IF(AND(F27&gt;0,F27&lt;=CapFinanciera1),Puntajes!$D$4,IF(AND(F27&gt;CapFinanciera1,F27&lt;=CapFinanciera2),Puntajes!$D$5,IF(AND(F27&gt;CapFinanciera2,F27&lt;=CapFinanciera3),Puntajes!$D$6,IF(AND(F27&gt;CapFinanciera3,F27&lt;=CapFinanciera4),Puntajes!$D$7,IF(F27&gt;CapFinanciera4,Puntajes!$D$8,0)))))),"")</f>
        <v/>
      </c>
      <c r="I27" s="76"/>
      <c r="J27" s="77"/>
      <c r="K27" s="64"/>
      <c r="L27" s="64"/>
    </row>
    <row r="28" spans="1:12" ht="13">
      <c r="B28" s="52">
        <v>6.1</v>
      </c>
      <c r="C28" s="54" t="str">
        <f>IF(ISERROR(VLOOKUP(B28,'Capacidad Financiera'!$B$13:$AB$58078,2,0)),"",VLOOKUP(B28,'Capacidad Financiera'!$B$13:$AB$58078,2,0))</f>
        <v>JUAN CARLOS BRICEÑO CHAVES</v>
      </c>
      <c r="D28" s="96">
        <f>IF(OR(B28="",C28=""),"",IF(ISERROR(VLOOKUP(C28,'Capacidad Financiera'!$C$14:$AB$58078,3,0)),"",VLOOKUP(C28,'Capacidad Financiera'!$C$14:$AB$58078,3,0)))</f>
        <v>1313066570</v>
      </c>
      <c r="E28" s="96">
        <f>IF(OR(B28="",C28=""),"",IF(ISERROR(VLOOKUP(C28,'Capacidad Financiera'!$C$14:$AB$58078,5,0)),"",VLOOKUP(C28,'Capacidad Financiera'!$C$14:$AB$58078,5,0)))</f>
        <v>72295187</v>
      </c>
      <c r="F28" s="97">
        <f t="shared" ref="F28:F29" si="6">IF(OR(C28="",D28="",E28=""),"",IF(OR(D28=0,E28=0),0,D28/E28))</f>
        <v>18.162572426847724</v>
      </c>
      <c r="G28" s="98">
        <f>IF(OR(C28="",D28="",E28=""),"",IF(AND(F28&gt;0,F28&lt;=CapFinanciera1),Puntajes!$D$4,IF(AND(F28&gt;CapFinanciera1,F28&lt;=CapFinanciera2),Puntajes!$D$5,IF(AND(F28&gt;CapFinanciera2,F28&lt;=CapFinanciera3),Puntajes!$D$6,IF(AND(F28&gt;CapFinanciera3,F28&lt;=CapFinanciera4),Puntajes!$D$7,IF(F28&gt;CapFinanciera4,Puntajes!$D$8,0))))))</f>
        <v>40</v>
      </c>
    </row>
    <row r="29" spans="1:12" ht="14.5" thickBot="1">
      <c r="B29" s="282">
        <v>6.2</v>
      </c>
      <c r="C29" s="262"/>
      <c r="D29" s="291" t="str">
        <f>IF(OR(B29="",C29=""),"",IF(ISERROR(VLOOKUP(C29,'Capacidad Financiera'!$C$14:$AB$58078,3,0)),"",VLOOKUP(C29,'Capacidad Financiera'!$C$14:$AB$58078,3,0)))</f>
        <v/>
      </c>
      <c r="E29" s="291" t="str">
        <f>IF(OR(B29="",C29=""),"",IF(ISERROR(VLOOKUP(C29,'Capacidad Financiera'!$C$14:$AB$58078,5,0)),"",VLOOKUP(C29,'Capacidad Financiera'!$C$14:$AB$58078,5,0)))</f>
        <v/>
      </c>
      <c r="F29" s="292" t="str">
        <f t="shared" si="6"/>
        <v/>
      </c>
      <c r="G29" s="293" t="str">
        <f>IF(OR(C29="",D29="",E29=""),"",IF(AND(F29&gt;0,F29&lt;=CapFinanciera1),Puntajes!$D$4,IF(AND(F29&gt;CapFinanciera1,F29&lt;=CapFinanciera2),Puntajes!$D$5,IF(AND(F29&gt;CapFinanciera2,F29&lt;=CapFinanciera3),Puntajes!$D$6,IF(AND(F29&gt;CapFinanciera3,F29&lt;=CapFinanciera4),Puntajes!$D$7,IF(F29&gt;CapFinanciera4,Puntajes!$D$8,0))))))</f>
        <v/>
      </c>
    </row>
    <row r="30" spans="1:12" ht="13">
      <c r="B30" s="47">
        <f>+'Capacidad Financiera'!B30</f>
        <v>7</v>
      </c>
      <c r="C30" s="48" t="str">
        <f>IF(ISERROR(VLOOKUP(B30,'Capacidad Financiera'!$B$13:$AB$58078,2,0)),"",VLOOKUP(B30,'Capacidad Financiera'!$B$13:$AB$58078,2,0))</f>
        <v>CONSORCIO INFRAESTRUCTURA 2024</v>
      </c>
      <c r="D30" s="95" t="str">
        <f>IF(B31="",IF(B30&lt;&gt;"",IF(ISERROR(VLOOKUP(C30,'Capacidad Financiera'!$C$13:$H$44,3,0)),"",VLOOKUP(C30,'Capacidad Financiera'!$C$13:$H$44,3,0))),"")</f>
        <v/>
      </c>
      <c r="E30" s="95" t="str">
        <f>IF(B31="",IF(B30&lt;&gt;"",IF(ISERROR(VLOOKUP(C30,'Capacidad Financiera'!$C$13:$H$44,5,0)),"",VLOOKUP(C30,'Capacidad Financiera'!$C$13:$H$44,5,0))),"")</f>
        <v/>
      </c>
      <c r="F30" s="53" t="str">
        <f>IF(OR(C30="",D30="",E30=""),"",IF(OR(D30=0,E30=0),0,D30/E30))</f>
        <v/>
      </c>
      <c r="G30" s="91" t="str">
        <f>IF(B31="",IF(AND(D30="",E30=""),"",IF(AND(F30&gt;0,F30&lt;=CapFinanciera1),Puntajes!$D$4,IF(AND(F30&gt;CapFinanciera1,F30&lt;=CapFinanciera2),Puntajes!$D$5,IF(AND(F30&gt;CapFinanciera2,F30&lt;=CapFinanciera3),Puntajes!$D$6,IF(AND(F30&gt;CapFinanciera3,F30&lt;=CapFinanciera4),Puntajes!$D$7,IF(F30&gt;CapFinanciera4,Puntajes!$D$8,0)))))),"")</f>
        <v/>
      </c>
      <c r="I30" s="76"/>
      <c r="J30" s="77"/>
      <c r="K30" s="64"/>
      <c r="L30" s="64"/>
    </row>
    <row r="31" spans="1:12" ht="13">
      <c r="B31" s="52">
        <v>7.1</v>
      </c>
      <c r="C31" s="54" t="str">
        <f>IF(ISERROR(VLOOKUP(B31,'Capacidad Financiera'!$B$13:$AB$58078,2,0)),"",VLOOKUP(B31,'Capacidad Financiera'!$B$13:$AB$58078,2,0))</f>
        <v>AGINSA INGENIERIA S.A.S.</v>
      </c>
      <c r="D31" s="96">
        <f>IF(OR(B31="",C31=""),"",IF(ISERROR(VLOOKUP(C31,'Capacidad Financiera'!$C$14:$AB$58078,3,0)),"",VLOOKUP(C31,'Capacidad Financiera'!$C$14:$AB$58078,3,0)))</f>
        <v>4640227938</v>
      </c>
      <c r="E31" s="96">
        <f>IF(OR(B31="",C31=""),"",IF(ISERROR(VLOOKUP(C31,'Capacidad Financiera'!$C$14:$AB$58078,5,0)),"",VLOOKUP(C31,'Capacidad Financiera'!$C$14:$AB$58078,5,0)))</f>
        <v>275039152</v>
      </c>
      <c r="F31" s="97">
        <f t="shared" ref="F31:F32" si="7">IF(OR(C31="",D31="",E31=""),"",IF(OR(D31=0,E31=0),0,D31/E31))</f>
        <v>16.87115417662428</v>
      </c>
      <c r="G31" s="98">
        <f>IF(OR(C31="",D31="",E31=""),"",IF(AND(F31&gt;0,F31&lt;=CapFinanciera1),Puntajes!$D$4,IF(AND(F31&gt;CapFinanciera1,F31&lt;=CapFinanciera2),Puntajes!$D$5,IF(AND(F31&gt;CapFinanciera2,F31&lt;=CapFinanciera3),Puntajes!$D$6,IF(AND(F31&gt;CapFinanciera3,F31&lt;=CapFinanciera4),Puntajes!$D$7,IF(F31&gt;CapFinanciera4,Puntajes!$D$8,0))))))</f>
        <v>40</v>
      </c>
    </row>
    <row r="32" spans="1:12" ht="13.5" thickBot="1">
      <c r="B32" s="282">
        <v>7.2</v>
      </c>
      <c r="C32" s="338" t="str">
        <f>IF(ISERROR(VLOOKUP(B32,'Capacidad Financiera'!$B$13:$AB$58078,2,0)),"",VLOOKUP(B32,'Capacidad Financiera'!$B$13:$AB$58078,2,0))</f>
        <v>CEINGCO S.A.S.</v>
      </c>
      <c r="D32" s="291">
        <f>IF(OR(B32="",C32=""),"",IF(ISERROR(VLOOKUP(C32,'Capacidad Financiera'!$C$14:$AB$58078,3,0)),"",VLOOKUP(C32,'Capacidad Financiera'!$C$14:$AB$58078,3,0)))</f>
        <v>246421486</v>
      </c>
      <c r="E32" s="291">
        <f>IF(OR(B32="",C32=""),"",IF(ISERROR(VLOOKUP(C32,'Capacidad Financiera'!$C$14:$AB$58078,5,0)),"",VLOOKUP(C32,'Capacidad Financiera'!$C$14:$AB$58078,5,0)))</f>
        <v>48666964</v>
      </c>
      <c r="F32" s="292">
        <f t="shared" si="7"/>
        <v>5.0634242563394753</v>
      </c>
      <c r="G32" s="293">
        <f>IF(OR(C32="",D32="",E32=""),"",IF(AND(F32&gt;0,F32&lt;=CapFinanciera1),Puntajes!$D$4,IF(AND(F32&gt;CapFinanciera1,F32&lt;=CapFinanciera2),Puntajes!$D$5,IF(AND(F32&gt;CapFinanciera2,F32&lt;=CapFinanciera3),Puntajes!$D$6,IF(AND(F32&gt;CapFinanciera3,F32&lt;=CapFinanciera4),Puntajes!$D$7,IF(F32&gt;CapFinanciera4,Puntajes!$D$8,0))))))</f>
        <v>40</v>
      </c>
    </row>
    <row r="33" spans="2:12" ht="13">
      <c r="B33" s="47">
        <f>+'Capacidad Financiera'!B33</f>
        <v>8</v>
      </c>
      <c r="C33" s="48" t="str">
        <f>IF(ISERROR(VLOOKUP(B33,'Capacidad Financiera'!$B$13:$AB$58078,2,0)),"",VLOOKUP(B33,'Capacidad Financiera'!$B$13:$AB$58078,2,0))</f>
        <v xml:space="preserve">CONSORCIO PROGRESAR </v>
      </c>
      <c r="D33" s="95" t="str">
        <f>IF(B34="",IF(B33&lt;&gt;"",IF(ISERROR(VLOOKUP(C33,'Capacidad Financiera'!$C$13:$H$44,3,0)),"",VLOOKUP(C33,'Capacidad Financiera'!$C$13:$H$44,3,0))),"")</f>
        <v/>
      </c>
      <c r="E33" s="95" t="str">
        <f>IF(B34="",IF(B33&lt;&gt;"",IF(ISERROR(VLOOKUP(C33,'Capacidad Financiera'!$C$13:$H$44,5,0)),"",VLOOKUP(C33,'Capacidad Financiera'!$C$13:$H$44,5,0))),"")</f>
        <v/>
      </c>
      <c r="F33" s="53" t="str">
        <f>IF(OR(C33="",D33="",E33=""),"",IF(OR(D33=0,E33=0),0,D33/E33))</f>
        <v/>
      </c>
      <c r="G33" s="91" t="str">
        <f>IF(B34="",IF(AND(D33="",E33=""),"",IF(AND(F33&gt;0,F33&lt;=CapFinanciera1),Puntajes!$D$4,IF(AND(F33&gt;CapFinanciera1,F33&lt;=CapFinanciera2),Puntajes!$D$5,IF(AND(F33&gt;CapFinanciera2,F33&lt;=CapFinanciera3),Puntajes!$D$6,IF(AND(F33&gt;CapFinanciera3,F33&lt;=CapFinanciera4),Puntajes!$D$7,IF(F33&gt;CapFinanciera4,Puntajes!$D$8,0)))))),"")</f>
        <v/>
      </c>
      <c r="I33" s="76"/>
      <c r="J33" s="77"/>
      <c r="K33" s="64"/>
      <c r="L33" s="64"/>
    </row>
    <row r="34" spans="2:12" ht="13">
      <c r="B34" s="52">
        <f>+'Capacidad Financiera'!B34</f>
        <v>8.1</v>
      </c>
      <c r="C34" s="54" t="str">
        <f>IF(ISERROR(VLOOKUP(B34,'Capacidad Financiera'!$B$13:$AB$58078,2,0)),"",VLOOKUP(B34,'Capacidad Financiera'!$B$13:$AB$58078,2,0))</f>
        <v>INGENIECOL S.A.S.</v>
      </c>
      <c r="D34" s="96">
        <f>IF(OR(B34="",C34=""),"",IF(ISERROR(VLOOKUP(C34,'Capacidad Financiera'!$C$14:$AB$58078,3,0)),"",VLOOKUP(C34,'Capacidad Financiera'!$C$14:$AB$58078,3,0)))</f>
        <v>252533499</v>
      </c>
      <c r="E34" s="96">
        <f>IF(OR(B34="",C34=""),"",IF(ISERROR(VLOOKUP(C34,'Capacidad Financiera'!$C$14:$AB$58078,5,0)),"",VLOOKUP(C34,'Capacidad Financiera'!$C$14:$AB$58078,5,0)))</f>
        <v>9682115</v>
      </c>
      <c r="F34" s="97">
        <f t="shared" ref="F34:F35" si="8">IF(OR(C34="",D34="",E34=""),"",IF(OR(D34=0,E34=0),0,D34/E34))</f>
        <v>26.082472579596505</v>
      </c>
      <c r="G34" s="98">
        <f>IF(OR(C34="",D34="",E34=""),"",IF(AND(F34&gt;0,F34&lt;=CapFinanciera1),Puntajes!$D$4,IF(AND(F34&gt;CapFinanciera1,F34&lt;=CapFinanciera2),Puntajes!$D$5,IF(AND(F34&gt;CapFinanciera2,F34&lt;=CapFinanciera3),Puntajes!$D$6,IF(AND(F34&gt;CapFinanciera3,F34&lt;=CapFinanciera4),Puntajes!$D$7,IF(F34&gt;CapFinanciera4,Puntajes!$D$8,0))))))</f>
        <v>40</v>
      </c>
    </row>
    <row r="35" spans="2:12" ht="13.5" thickBot="1">
      <c r="B35" s="282">
        <v>8.1999999999999993</v>
      </c>
      <c r="C35" s="338" t="str">
        <f>IF(ISERROR(VLOOKUP(B35,'Capacidad Financiera'!$B$13:$AB$58078,2,0)),"",VLOOKUP(B35,'Capacidad Financiera'!$B$13:$AB$58078,2,0))</f>
        <v>MARIA ALEJANDRA LEGARDA LEMOS</v>
      </c>
      <c r="D35" s="291">
        <f>IF(OR(B35="",C35=""),"",IF(ISERROR(VLOOKUP(C35,'Capacidad Financiera'!$C$14:$AB$58078,3,0)),"",VLOOKUP(C35,'Capacidad Financiera'!$C$14:$AB$58078,3,0)))</f>
        <v>210529839</v>
      </c>
      <c r="E35" s="291">
        <f>IF(OR(B35="",C35=""),"",IF(ISERROR(VLOOKUP(C35,'Capacidad Financiera'!$C$14:$AB$58078,5,0)),"",VLOOKUP(C35,'Capacidad Financiera'!$C$14:$AB$58078,5,0)))</f>
        <v>14571600</v>
      </c>
      <c r="F35" s="292">
        <f t="shared" si="8"/>
        <v>14.447956229926707</v>
      </c>
      <c r="G35" s="293">
        <f>IF(OR(C35="",D35="",E35=""),"",IF(AND(F35&gt;0,F35&lt;=CapFinanciera1),Puntajes!$D$4,IF(AND(F35&gt;CapFinanciera1,F35&lt;=CapFinanciera2),Puntajes!$D$5,IF(AND(F35&gt;CapFinanciera2,F35&lt;=CapFinanciera3),Puntajes!$D$6,IF(AND(F35&gt;CapFinanciera3,F35&lt;=CapFinanciera4),Puntajes!$D$7,IF(F35&gt;CapFinanciera4,Puntajes!$D$8,0))))))</f>
        <v>40</v>
      </c>
    </row>
    <row r="36" spans="2:12" ht="13">
      <c r="B36" s="47">
        <f>+'Capacidad Financiera'!B36</f>
        <v>9</v>
      </c>
      <c r="C36" s="48" t="str">
        <f>IF(ISERROR(VLOOKUP(B36,'Capacidad Financiera'!$B$13:$AB$58078,2,0)),"",VLOOKUP(B36,'Capacidad Financiera'!$B$13:$AB$58078,2,0))</f>
        <v>CONSORCIO VIAS E INGENIERIA</v>
      </c>
      <c r="D36" s="95" t="str">
        <f>IF(B37="",IF(B36&lt;&gt;"",IF(ISERROR(VLOOKUP(C36,'Capacidad Financiera'!$C$13:$H$44,3,0)),"",VLOOKUP(C36,'Capacidad Financiera'!$C$13:$H$44,3,0))),"")</f>
        <v/>
      </c>
      <c r="E36" s="95" t="str">
        <f>IF(B37="",IF(B36&lt;&gt;"",IF(ISERROR(VLOOKUP(C36,'Capacidad Financiera'!$C$13:$H$44,5,0)),"",VLOOKUP(C36,'Capacidad Financiera'!$C$13:$H$44,5,0))),"")</f>
        <v/>
      </c>
      <c r="F36" s="53" t="str">
        <f>IF(OR(C36="",D36="",E36=""),"",IF(OR(D36=0,E36=0),0,D36/E36))</f>
        <v/>
      </c>
      <c r="G36" s="91" t="str">
        <f>IF(B37="",IF(AND(D36="",E36=""),"",IF(AND(F36&gt;0,F36&lt;=CapFinanciera1),Puntajes!$D$4,IF(AND(F36&gt;CapFinanciera1,F36&lt;=CapFinanciera2),Puntajes!$D$5,IF(AND(F36&gt;CapFinanciera2,F36&lt;=CapFinanciera3),Puntajes!$D$6,IF(AND(F36&gt;CapFinanciera3,F36&lt;=CapFinanciera4),Puntajes!$D$7,IF(F36&gt;CapFinanciera4,Puntajes!$D$8,0)))))),"")</f>
        <v/>
      </c>
      <c r="I36" s="76"/>
      <c r="J36" s="77"/>
      <c r="K36" s="64"/>
      <c r="L36" s="64"/>
    </row>
    <row r="37" spans="2:12" ht="13">
      <c r="B37" s="52">
        <f>+'Capacidad Financiera'!B37</f>
        <v>9.1</v>
      </c>
      <c r="C37" s="54" t="str">
        <f>IF(ISERROR(VLOOKUP(B37,'Capacidad Financiera'!$B$13:$AB$58078,2,0)),"",VLOOKUP(B37,'Capacidad Financiera'!$B$13:$AB$58078,2,0))</f>
        <v>BRASCO INGENIERIA S.A.S.</v>
      </c>
      <c r="D37" s="96">
        <f>IF(OR(B37="",C37=""),"",IF(ISERROR(VLOOKUP(C37,'Capacidad Financiera'!$C$14:$AB$58078,3,0)),"",VLOOKUP(C37,'Capacidad Financiera'!$C$14:$AB$58078,3,0)))</f>
        <v>755864538</v>
      </c>
      <c r="E37" s="96">
        <f>IF(OR(B37="",C37=""),"",IF(ISERROR(VLOOKUP(C37,'Capacidad Financiera'!$C$14:$AB$58078,5,0)),"",VLOOKUP(C37,'Capacidad Financiera'!$C$14:$AB$58078,5,0)))</f>
        <v>219143709</v>
      </c>
      <c r="F37" s="97">
        <f t="shared" ref="F37" si="9">IF(OR(C37="",D37="",E37=""),"",IF(OR(D37=0,E37=0),0,D37/E37))</f>
        <v>3.4491728804316257</v>
      </c>
      <c r="G37" s="98">
        <f>IF(OR(C37="",D37="",E37=""),"",IF(AND(F37&gt;0,F37&lt;=CapFinanciera1),Puntajes!$D$4,IF(AND(F37&gt;CapFinanciera1,F37&lt;=CapFinanciera2),Puntajes!$D$5,IF(AND(F37&gt;CapFinanciera2,F37&lt;=CapFinanciera3),Puntajes!$D$6,IF(AND(F37&gt;CapFinanciera3,F37&lt;=CapFinanciera4),Puntajes!$D$7,IF(F37&gt;CapFinanciera4,Puntajes!$D$8,0))))))</f>
        <v>40</v>
      </c>
    </row>
    <row r="38" spans="2:12" ht="13">
      <c r="B38" s="52">
        <f>+'Capacidad Financiera'!B38</f>
        <v>9.1999999999999993</v>
      </c>
      <c r="C38" s="54" t="str">
        <f>IF(ISERROR(VLOOKUP(B38,'Capacidad Financiera'!$B$13:$AB$58078,2,0)),"",VLOOKUP(B38,'Capacidad Financiera'!$B$13:$AB$58078,2,0))</f>
        <v>VERTICES INENIERIA S.A.S.</v>
      </c>
      <c r="D38" s="96">
        <f>IF(OR(B38="",C38=""),"",IF(ISERROR(VLOOKUP(C38,'Capacidad Financiera'!$C$14:$AB$58078,3,0)),"",VLOOKUP(C38,'Capacidad Financiera'!$C$14:$AB$58078,3,0)))</f>
        <v>1857464000</v>
      </c>
      <c r="E38" s="96">
        <f>IF(OR(B38="",C38=""),"",IF(ISERROR(VLOOKUP(C38,'Capacidad Financiera'!$C$14:$AB$58078,5,0)),"",VLOOKUP(C38,'Capacidad Financiera'!$C$14:$AB$58078,5,0)))</f>
        <v>791434000</v>
      </c>
      <c r="F38" s="97">
        <f t="shared" ref="F38" si="10">IF(OR(C38="",D38="",E38=""),"",IF(OR(D38=0,E38=0),0,D38/E38))</f>
        <v>2.3469600750030954</v>
      </c>
      <c r="G38" s="98">
        <f>IF(OR(C38="",D38="",E38=""),"",IF(AND(F38&gt;0,F38&lt;=CapFinanciera1),Puntajes!$D$4,IF(AND(F38&gt;CapFinanciera1,F38&lt;=CapFinanciera2),Puntajes!$D$5,IF(AND(F38&gt;CapFinanciera2,F38&lt;=CapFinanciera3),Puntajes!$D$6,IF(AND(F38&gt;CapFinanciera3,F38&lt;=CapFinanciera4),Puntajes!$D$7,IF(F38&gt;CapFinanciera4,Puntajes!$D$8,0))))))</f>
        <v>40</v>
      </c>
    </row>
    <row r="39" spans="2:12" ht="13">
      <c r="B39" s="52" t="str">
        <f>+'Capacidad Financiera'!B40</f>
        <v/>
      </c>
      <c r="C39" s="54">
        <f>IF(ISERROR(VLOOKUP(B39,'Capacidad Financiera'!$B$13:$AB$58078,2,0)),"",VLOOKUP(B39,'Capacidad Financiera'!$B$13:$AB$58078,2,0))</f>
        <v>0</v>
      </c>
      <c r="D39" s="96" t="str">
        <f>IF(OR(B39="",C39=""),"",IF(ISERROR(VLOOKUP(C39,'Capacidad Financiera'!$C$14:$AB$58078,3,0)),"",VLOOKUP(C39,'Capacidad Financiera'!$C$14:$AB$58078,3,0)))</f>
        <v/>
      </c>
      <c r="E39" s="96" t="str">
        <f>IF(OR(B39="",C39=""),"",IF(ISERROR(VLOOKUP(C39,'Capacidad Financiera'!$C$14:$AB$58078,5,0)),"",VLOOKUP(C39,'Capacidad Financiera'!$C$14:$AB$58078,5,0)))</f>
        <v/>
      </c>
      <c r="F39" s="97" t="str">
        <f t="shared" si="0"/>
        <v/>
      </c>
      <c r="G39" s="98" t="str">
        <f>IF(OR(C39="",D39="",E39=""),"",IF(AND(F39&gt;0,F39&lt;=CapFinanciera1),Puntajes!$D$4,IF(AND(F39&gt;CapFinanciera1,F39&lt;=CapFinanciera2),Puntajes!$D$5,IF(AND(F39&gt;CapFinanciera2,F39&lt;=CapFinanciera3),Puntajes!$D$6,IF(AND(F39&gt;CapFinanciera3,F39&lt;=CapFinanciera4),Puntajes!$D$7,IF(F39&gt;CapFinanciera4,Puntajes!$D$8,0))))))</f>
        <v/>
      </c>
    </row>
    <row r="40" spans="2:12" ht="13">
      <c r="B40" s="52" t="str">
        <f>+'Capacidad Financiera'!B41</f>
        <v/>
      </c>
      <c r="C40" s="54">
        <f>IF(ISERROR(VLOOKUP(B40,'Capacidad Financiera'!$B$13:$AB$58078,2,0)),"",VLOOKUP(B40,'Capacidad Financiera'!$B$13:$AB$58078,2,0))</f>
        <v>0</v>
      </c>
      <c r="D40" s="96" t="str">
        <f>IF(OR(B40="",C40=""),"",IF(ISERROR(VLOOKUP(C40,'Capacidad Financiera'!$C$14:$AB$58078,3,0)),"",VLOOKUP(C40,'Capacidad Financiera'!$C$14:$AB$58078,3,0)))</f>
        <v/>
      </c>
      <c r="E40" s="96" t="str">
        <f>IF(OR(B40="",C40=""),"",IF(ISERROR(VLOOKUP(C40,'Capacidad Financiera'!$C$14:$AB$58078,5,0)),"",VLOOKUP(C40,'Capacidad Financiera'!$C$14:$AB$58078,5,0)))</f>
        <v/>
      </c>
      <c r="F40" s="97" t="str">
        <f t="shared" si="0"/>
        <v/>
      </c>
      <c r="G40" s="98" t="str">
        <f>IF(OR(C40="",D40="",E40=""),"",IF(AND(F40&gt;0,F40&lt;=CapFinanciera1),Puntajes!$D$4,IF(AND(F40&gt;CapFinanciera1,F40&lt;=CapFinanciera2),Puntajes!$D$5,IF(AND(F40&gt;CapFinanciera2,F40&lt;=CapFinanciera3),Puntajes!$D$6,IF(AND(F40&gt;CapFinanciera3,F40&lt;=CapFinanciera4),Puntajes!$D$7,IF(F40&gt;CapFinanciera4,Puntajes!$D$8,0))))))</f>
        <v/>
      </c>
    </row>
    <row r="41" spans="2:12" ht="13">
      <c r="B41" s="52" t="str">
        <f>+'Capacidad Financiera'!B42</f>
        <v/>
      </c>
      <c r="C41" s="54">
        <f>IF(ISERROR(VLOOKUP(B41,'Capacidad Financiera'!$B$13:$AB$58078,2,0)),"",VLOOKUP(B41,'Capacidad Financiera'!$B$13:$AB$58078,2,0))</f>
        <v>0</v>
      </c>
      <c r="D41" s="96" t="str">
        <f>IF(OR(B41="",C41=""),"",IF(ISERROR(VLOOKUP(C41,'Capacidad Financiera'!$C$14:$AB$58078,3,0)),"",VLOOKUP(C41,'Capacidad Financiera'!$C$14:$AB$58078,3,0)))</f>
        <v/>
      </c>
      <c r="E41" s="96" t="str">
        <f>IF(OR(B41="",C41=""),"",IF(ISERROR(VLOOKUP(C41,'Capacidad Financiera'!$C$14:$AB$58078,5,0)),"",VLOOKUP(C41,'Capacidad Financiera'!$C$14:$AB$58078,5,0)))</f>
        <v/>
      </c>
      <c r="F41" s="97" t="str">
        <f t="shared" si="0"/>
        <v/>
      </c>
      <c r="G41" s="98" t="str">
        <f>IF(OR(C41="",D41="",E41=""),"",IF(AND(F41&gt;0,F41&lt;=CapFinanciera1),Puntajes!$D$4,IF(AND(F41&gt;CapFinanciera1,F41&lt;=CapFinanciera2),Puntajes!$D$5,IF(AND(F41&gt;CapFinanciera2,F41&lt;=CapFinanciera3),Puntajes!$D$6,IF(AND(F41&gt;CapFinanciera3,F41&lt;=CapFinanciera4),Puntajes!$D$7,IF(F41&gt;CapFinanciera4,Puntajes!$D$8,0))))))</f>
        <v/>
      </c>
    </row>
    <row r="42" spans="2:12" ht="13">
      <c r="B42" s="52" t="str">
        <f>+'Capacidad Financiera'!B43</f>
        <v/>
      </c>
      <c r="C42" s="54">
        <f>IF(ISERROR(VLOOKUP(B42,'Capacidad Financiera'!$B$13:$AB$58078,2,0)),"",VLOOKUP(B42,'Capacidad Financiera'!$B$13:$AB$58078,2,0))</f>
        <v>0</v>
      </c>
      <c r="D42" s="96" t="str">
        <f>IF(OR(B42="",C42=""),"",IF(ISERROR(VLOOKUP(C42,'Capacidad Financiera'!$C$14:$AB$58078,3,0)),"",VLOOKUP(C42,'Capacidad Financiera'!$C$14:$AB$58078,3,0)))</f>
        <v/>
      </c>
      <c r="E42" s="96" t="str">
        <f>IF(OR(B42="",C42=""),"",IF(ISERROR(VLOOKUP(C42,'Capacidad Financiera'!$C$14:$AB$58078,5,0)),"",VLOOKUP(C42,'Capacidad Financiera'!$C$14:$AB$58078,5,0)))</f>
        <v/>
      </c>
      <c r="F42" s="97" t="str">
        <f t="shared" si="0"/>
        <v/>
      </c>
      <c r="G42" s="98" t="str">
        <f>IF(OR(C42="",D42="",E42=""),"",IF(AND(F42&gt;0,F42&lt;=CapFinanciera1),Puntajes!$D$4,IF(AND(F42&gt;CapFinanciera1,F42&lt;=CapFinanciera2),Puntajes!$D$5,IF(AND(F42&gt;CapFinanciera2,F42&lt;=CapFinanciera3),Puntajes!$D$6,IF(AND(F42&gt;CapFinanciera3,F42&lt;=CapFinanciera4),Puntajes!$D$7,IF(F42&gt;CapFinanciera4,Puntajes!$D$8,0))))))</f>
        <v/>
      </c>
    </row>
    <row r="43" spans="2:12" ht="13.5" thickBot="1">
      <c r="B43" s="129" t="str">
        <f>+'Capacidad Financiera'!B44</f>
        <v/>
      </c>
      <c r="C43" s="130">
        <f>IF(ISERROR(VLOOKUP(B43,'Capacidad Financiera'!$B$13:$AB$58078,2,0)),"",VLOOKUP(B43,'Capacidad Financiera'!$B$13:$AB$58078,2,0))</f>
        <v>0</v>
      </c>
      <c r="D43" s="131" t="str">
        <f>IF(OR(B43="",C43=""),"",IF(ISERROR(VLOOKUP(C43,'Capacidad Financiera'!$C$14:$AB$58078,3,0)),"",VLOOKUP(C43,'Capacidad Financiera'!$C$14:$AB$58078,3,0)))</f>
        <v/>
      </c>
      <c r="E43" s="131" t="str">
        <f>IF(OR(B43="",C43=""),"",IF(ISERROR(VLOOKUP(C43,'Capacidad Financiera'!$C$14:$AB$58078,5,0)),"",VLOOKUP(C43,'Capacidad Financiera'!$C$14:$AB$58078,5,0)))</f>
        <v/>
      </c>
      <c r="F43" s="132" t="str">
        <f t="shared" si="0"/>
        <v/>
      </c>
      <c r="G43" s="133" t="str">
        <f>IF(OR(C43="",D43="",E43=""),"",IF(AND(F43&gt;0,F43&lt;=CapFinanciera1),Puntajes!$D$4,IF(AND(F43&gt;CapFinanciera1,F43&lt;=CapFinanciera2),Puntajes!$D$5,IF(AND(F43&gt;CapFinanciera2,F43&lt;=CapFinanciera3),Puntajes!$D$6,IF(AND(F43&gt;CapFinanciera3,F43&lt;=CapFinanciera4),Puntajes!$D$7,IF(F43&gt;CapFinanciera4,Puntajes!$D$8,0))))))</f>
        <v/>
      </c>
    </row>
    <row r="44" spans="2:12" ht="13.5" thickBot="1">
      <c r="B44" s="137"/>
      <c r="C44" s="455"/>
      <c r="D44" s="455"/>
      <c r="E44" s="455"/>
      <c r="F44" s="455"/>
      <c r="G44" s="456"/>
    </row>
  </sheetData>
  <sheetProtection formatCells="0" formatColumns="0" formatRows="0" insertColumns="0" insertRows="0" insertHyperlinks="0" deleteColumns="0" deleteRows="0" sort="0" autoFilter="0" pivotTables="0"/>
  <mergeCells count="10">
    <mergeCell ref="C44:G44"/>
    <mergeCell ref="D11:D12"/>
    <mergeCell ref="E11:E12"/>
    <mergeCell ref="F11:F12"/>
    <mergeCell ref="B2:G2"/>
    <mergeCell ref="B3:G3"/>
    <mergeCell ref="B4:G4"/>
    <mergeCell ref="B5:G5"/>
    <mergeCell ref="B11:B12"/>
    <mergeCell ref="C11:C12"/>
  </mergeCells>
  <conditionalFormatting sqref="C10:G10 C13:C25 C27:C28 C30:C43">
    <cfRule type="cellIs" dxfId="223" priority="735" stopIfTrue="1" operator="equal">
      <formula>"NO ADMISIBLE"</formula>
    </cfRule>
  </conditionalFormatting>
  <conditionalFormatting sqref="D40:G43">
    <cfRule type="expression" dxfId="222" priority="733" stopIfTrue="1">
      <formula>IF(#REF!-INT(#REF!)&gt;0,TRUE,FALSE)</formula>
    </cfRule>
  </conditionalFormatting>
  <conditionalFormatting sqref="D14:G14">
    <cfRule type="expression" dxfId="221" priority="729" stopIfTrue="1">
      <formula>IF(#REF!-INT(#REF!)&gt;0,TRUE,FALSE)</formula>
    </cfRule>
  </conditionalFormatting>
  <conditionalFormatting sqref="D13:G13">
    <cfRule type="expression" dxfId="220" priority="736" stopIfTrue="1">
      <formula>IF(#REF!-INT(#REF!)&gt;0,TRUE,FALSE)</formula>
    </cfRule>
  </conditionalFormatting>
  <conditionalFormatting sqref="D15:G15 D18:G19">
    <cfRule type="expression" dxfId="219" priority="3241" stopIfTrue="1">
      <formula>IF(#REF!-INT(#REF!)&gt;0,TRUE,FALSE)</formula>
    </cfRule>
  </conditionalFormatting>
  <conditionalFormatting sqref="D39:G39">
    <cfRule type="expression" dxfId="218" priority="3243" stopIfTrue="1">
      <formula>IF(#REF!-INT(#REF!)&gt;0,TRUE,FALSE)</formula>
    </cfRule>
  </conditionalFormatting>
  <conditionalFormatting sqref="B14:G15 B17:G19 B21:G21 B23:G23 B25:G25 B28:G28 B31:G32 B34:G35 B37:G43 B26 D26:G26 B29 D29:G29">
    <cfRule type="expression" dxfId="217" priority="161">
      <formula>MOD(ROW(),2)=0</formula>
    </cfRule>
  </conditionalFormatting>
  <conditionalFormatting sqref="D17:G17">
    <cfRule type="expression" dxfId="216" priority="12" stopIfTrue="1">
      <formula>IF(#REF!-INT(#REF!)&gt;0,TRUE,FALSE)</formula>
    </cfRule>
  </conditionalFormatting>
  <conditionalFormatting sqref="D16:G16">
    <cfRule type="expression" dxfId="215" priority="13" stopIfTrue="1">
      <formula>IF(#REF!-INT(#REF!)&gt;0,TRUE,FALSE)</formula>
    </cfRule>
  </conditionalFormatting>
  <conditionalFormatting sqref="D21:G21">
    <cfRule type="expression" dxfId="214" priority="10" stopIfTrue="1">
      <formula>IF(#REF!-INT(#REF!)&gt;0,TRUE,FALSE)</formula>
    </cfRule>
  </conditionalFormatting>
  <conditionalFormatting sqref="D20:G20">
    <cfRule type="expression" dxfId="213" priority="11" stopIfTrue="1">
      <formula>IF(#REF!-INT(#REF!)&gt;0,TRUE,FALSE)</formula>
    </cfRule>
  </conditionalFormatting>
  <conditionalFormatting sqref="D23:G23 D25:G26 D28:G29 D31:G32 D34:G35 D37:G38">
    <cfRule type="expression" dxfId="212" priority="8" stopIfTrue="1">
      <formula>IF(#REF!-INT(#REF!)&gt;0,TRUE,FALSE)</formula>
    </cfRule>
  </conditionalFormatting>
  <conditionalFormatting sqref="D22:G22">
    <cfRule type="expression" dxfId="211" priority="9" stopIfTrue="1">
      <formula>IF(#REF!-INT(#REF!)&gt;0,TRUE,FALSE)</formula>
    </cfRule>
  </conditionalFormatting>
  <conditionalFormatting sqref="D24:G24">
    <cfRule type="expression" dxfId="210" priority="7" stopIfTrue="1">
      <formula>IF(#REF!-INT(#REF!)&gt;0,TRUE,FALSE)</formula>
    </cfRule>
  </conditionalFormatting>
  <conditionalFormatting sqref="D27:G27">
    <cfRule type="expression" dxfId="209" priority="6" stopIfTrue="1">
      <formula>IF(#REF!-INT(#REF!)&gt;0,TRUE,FALSE)</formula>
    </cfRule>
  </conditionalFormatting>
  <conditionalFormatting sqref="D30:G30">
    <cfRule type="expression" dxfId="208" priority="5" stopIfTrue="1">
      <formula>IF(#REF!-INT(#REF!)&gt;0,TRUE,FALSE)</formula>
    </cfRule>
  </conditionalFormatting>
  <conditionalFormatting sqref="D33:G33">
    <cfRule type="expression" dxfId="207" priority="4" stopIfTrue="1">
      <formula>IF(#REF!-INT(#REF!)&gt;0,TRUE,FALSE)</formula>
    </cfRule>
  </conditionalFormatting>
  <conditionalFormatting sqref="D36:G36">
    <cfRule type="expression" dxfId="206" priority="3" stopIfTrue="1">
      <formula>IF(#REF!-INT(#REF!)&gt;0,TRUE,FALSE)</formula>
    </cfRule>
  </conditionalFormatting>
  <conditionalFormatting sqref="C26">
    <cfRule type="expression" dxfId="205" priority="2">
      <formula>MOD(ROW(),2)=0</formula>
    </cfRule>
  </conditionalFormatting>
  <conditionalFormatting sqref="C29">
    <cfRule type="expression" dxfId="204" priority="1">
      <formula>MOD(ROW(),2)=0</formula>
    </cfRule>
  </conditionalFormatting>
  <dataValidations count="1">
    <dataValidation type="list" allowBlank="1" showInputMessage="1" showErrorMessage="1" sqref="C10" xr:uid="{00000000-0002-0000-06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222250</xdr:colOff>
                    <xdr:row>2</xdr:row>
                    <xdr:rowOff>114300</xdr:rowOff>
                  </from>
                  <to>
                    <xdr:col>1</xdr:col>
                    <xdr:colOff>0</xdr:colOff>
                    <xdr:row>4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B5:I46"/>
  <sheetViews>
    <sheetView topLeftCell="A12" workbookViewId="0">
      <selection activeCell="F23" sqref="F23"/>
    </sheetView>
  </sheetViews>
  <sheetFormatPr baseColWidth="10" defaultColWidth="11.453125" defaultRowHeight="12.5"/>
  <cols>
    <col min="1" max="1" width="11.453125" style="63" customWidth="1"/>
    <col min="2" max="2" width="3.90625" style="63" customWidth="1"/>
    <col min="3" max="3" width="34.08984375" style="63" customWidth="1"/>
    <col min="4" max="4" width="42" style="59" customWidth="1"/>
    <col min="5" max="5" width="11.453125" style="63"/>
    <col min="6" max="6" width="13.90625" style="74" customWidth="1"/>
    <col min="7" max="7" width="9.6328125" style="75" customWidth="1"/>
    <col min="8" max="8" width="12.54296875" style="63" customWidth="1"/>
    <col min="9" max="9" width="12.6328125" style="63" customWidth="1"/>
    <col min="10" max="16384" width="11.453125" style="63"/>
  </cols>
  <sheetData>
    <row r="5" spans="2:9" s="65" customFormat="1" ht="20.25" customHeight="1">
      <c r="B5" s="446" t="s">
        <v>121</v>
      </c>
      <c r="C5" s="446"/>
      <c r="D5" s="446"/>
      <c r="F5" s="66"/>
      <c r="G5" s="67"/>
    </row>
    <row r="6" spans="2:9" s="65" customFormat="1" ht="18" customHeight="1">
      <c r="B6" s="447" t="s">
        <v>62</v>
      </c>
      <c r="C6" s="447"/>
      <c r="D6" s="447"/>
      <c r="F6" s="66"/>
      <c r="G6" s="67"/>
    </row>
    <row r="7" spans="2:9" s="65" customFormat="1" ht="13.5" customHeight="1">
      <c r="B7" s="448" t="str">
        <f>'Capacidad Financiera'!B4</f>
        <v xml:space="preserve">PROCESO No. </v>
      </c>
      <c r="C7" s="448"/>
      <c r="D7" s="448"/>
      <c r="F7" s="66"/>
      <c r="G7" s="67"/>
    </row>
    <row r="8" spans="2:9" s="65" customFormat="1" ht="13.5" customHeight="1">
      <c r="B8" s="448" t="s">
        <v>138</v>
      </c>
      <c r="C8" s="448"/>
      <c r="D8" s="448"/>
      <c r="F8" s="66"/>
      <c r="G8" s="67"/>
    </row>
    <row r="9" spans="2:9" s="65" customFormat="1" ht="13.5" customHeight="1">
      <c r="B9" s="102"/>
      <c r="C9" s="102"/>
      <c r="D9" s="102"/>
      <c r="F9" s="66"/>
      <c r="G9" s="67"/>
    </row>
    <row r="10" spans="2:9" s="65" customFormat="1" ht="13.5" thickBot="1">
      <c r="B10" s="68"/>
      <c r="C10" s="68"/>
      <c r="D10" s="72"/>
      <c r="F10" s="66"/>
      <c r="G10" s="67"/>
    </row>
    <row r="11" spans="2:9" ht="36" customHeight="1">
      <c r="B11" s="449" t="s">
        <v>78</v>
      </c>
      <c r="C11" s="451" t="s">
        <v>79</v>
      </c>
      <c r="D11" s="459" t="s">
        <v>139</v>
      </c>
    </row>
    <row r="12" spans="2:9" ht="36" customHeight="1" thickBot="1">
      <c r="B12" s="450"/>
      <c r="C12" s="452"/>
      <c r="D12" s="460"/>
    </row>
    <row r="13" spans="2:9" ht="13">
      <c r="B13" s="47">
        <f>+'Capacidad Financiera'!B13</f>
        <v>1</v>
      </c>
      <c r="C13" s="48" t="str">
        <f>IF(ISERROR(VLOOKUP(B13,'Capacidad Financiera'!$B$13:$AB$58078,2,0)),"",VLOOKUP(B13,'Capacidad Financiera'!$B$13:$AB$58078,2,0))</f>
        <v>CONSORCIO MEGACONSTRUCCIONES 2024</v>
      </c>
      <c r="D13" s="91"/>
      <c r="F13" s="76"/>
      <c r="G13" s="77"/>
      <c r="H13" s="64"/>
      <c r="I13" s="64"/>
    </row>
    <row r="14" spans="2:9" ht="13">
      <c r="B14" s="52">
        <f>+'Capacidad Financiera'!B14</f>
        <v>1.1000000000000001</v>
      </c>
      <c r="C14" s="54" t="str">
        <f>IF(ISERROR(VLOOKUP(B14,'Capacidad Financiera'!$B$13:$AB$58078,2,0)),"",VLOOKUP(B14,'Capacidad Financiera'!$B$13:$AB$58078,2,0))</f>
        <v>MEGA CONSTRUCCIONES PACK SAS</v>
      </c>
      <c r="D14" s="254">
        <v>1</v>
      </c>
    </row>
    <row r="15" spans="2:9" ht="13.5" thickBot="1">
      <c r="B15" s="52">
        <f>+'Capacidad Financiera'!B15</f>
        <v>1.2</v>
      </c>
      <c r="C15" s="54" t="str">
        <f>IF(ISERROR(VLOOKUP(B15,'Capacidad Financiera'!$B$13:$AB$58078,2,0)),"",VLOOKUP(B15,'Capacidad Financiera'!$B$13:$AB$58078,2,0))</f>
        <v>MTS CONTRUCCIONES SAS</v>
      </c>
      <c r="D15" s="254">
        <v>4211121600.9000001</v>
      </c>
    </row>
    <row r="16" spans="2:9" ht="13">
      <c r="B16" s="47">
        <f>+'Capacidad Financiera'!B16</f>
        <v>2</v>
      </c>
      <c r="C16" s="48" t="str">
        <f>IF(ISERROR(VLOOKUP(B16,'Capacidad Financiera'!$B$13:$AB$58078,2,0)),"",VLOOKUP(B16,'Capacidad Financiera'!$B$13:$AB$58078,2,0))</f>
        <v>YAMEL ARANGO PINILLA</v>
      </c>
      <c r="D16" s="91"/>
      <c r="F16" s="76"/>
      <c r="G16" s="77"/>
      <c r="H16" s="64"/>
      <c r="I16" s="64"/>
    </row>
    <row r="17" spans="2:9" ht="13">
      <c r="B17" s="52">
        <f>+'Capacidad Financiera'!B17</f>
        <v>2.1</v>
      </c>
      <c r="C17" s="54" t="str">
        <f>IF(ISERROR(VLOOKUP(B17,'Capacidad Financiera'!$B$13:$AB$58078,2,0)),"",VLOOKUP(B17,'Capacidad Financiera'!$B$13:$AB$58078,2,0))</f>
        <v>YAMEL ARANGO PINILLA</v>
      </c>
      <c r="D17" s="254">
        <v>1</v>
      </c>
    </row>
    <row r="18" spans="2:9" ht="13">
      <c r="B18" s="52">
        <f>+'Capacidad Financiera'!B18</f>
        <v>0</v>
      </c>
      <c r="C18" s="54" t="str">
        <f>IF(ISERROR(VLOOKUP(B18,'Capacidad Financiera'!$B$13:$AB$58078,2,0)),"",VLOOKUP(B18,'Capacidad Financiera'!$B$13:$AB$58078,2,0))</f>
        <v/>
      </c>
      <c r="D18" s="254"/>
    </row>
    <row r="19" spans="2:9" ht="13.5" thickBot="1">
      <c r="B19" s="52" t="str">
        <f>+'Capacidad Financiera'!B19</f>
        <v/>
      </c>
      <c r="C19" s="54">
        <f>IF(ISERROR(VLOOKUP(B19,'Capacidad Financiera'!$B$13:$AB$58078,2,0)),"",VLOOKUP(B19,'Capacidad Financiera'!$B$13:$AB$58078,2,0))</f>
        <v>0</v>
      </c>
      <c r="D19" s="254"/>
    </row>
    <row r="20" spans="2:9" ht="13">
      <c r="B20" s="47">
        <f>+'Capacidad Financiera'!B20</f>
        <v>3</v>
      </c>
      <c r="C20" s="48" t="str">
        <f>IF(ISERROR(VLOOKUP(B20,'Capacidad Financiera'!$B$13:$AB$58078,2,0)),"",VLOOKUP(B20,'Capacidad Financiera'!$B$13:$AB$58078,2,0))</f>
        <v xml:space="preserve">ARMANDO MARTINEZ SPADAFORA </v>
      </c>
      <c r="D20" s="91"/>
      <c r="F20" s="76"/>
      <c r="G20" s="77"/>
      <c r="H20" s="64"/>
      <c r="I20" s="64"/>
    </row>
    <row r="21" spans="2:9" ht="13.5" thickBot="1">
      <c r="B21" s="52">
        <v>3.1</v>
      </c>
      <c r="C21" s="54" t="str">
        <f>IF(ISERROR(VLOOKUP(B21,'Capacidad Financiera'!$B$13:$AB$58078,2,0)),"",VLOOKUP(B21,'Capacidad Financiera'!$B$13:$AB$58078,2,0))</f>
        <v xml:space="preserve">ARMANDO MARTINEZ SPADAFORA </v>
      </c>
      <c r="D21" s="254">
        <v>1</v>
      </c>
    </row>
    <row r="22" spans="2:9" ht="13">
      <c r="B22" s="47">
        <f>+'Capacidad Financiera'!B22</f>
        <v>4</v>
      </c>
      <c r="C22" s="48" t="str">
        <f>IF(ISERROR(VLOOKUP(B22,'Capacidad Financiera'!$B$13:$AB$58078,2,0)),"",VLOOKUP(B22,'Capacidad Financiera'!$B$13:$AB$58078,2,0))</f>
        <v>CELAS S.A.S.</v>
      </c>
      <c r="D22" s="91"/>
      <c r="F22" s="76"/>
      <c r="G22" s="77"/>
      <c r="H22" s="64"/>
      <c r="I22" s="64"/>
    </row>
    <row r="23" spans="2:9" ht="13.5" thickBot="1">
      <c r="B23" s="185">
        <f>+'Capacidad Financiera'!B23</f>
        <v>4.0999999999999996</v>
      </c>
      <c r="C23" s="54" t="str">
        <f>IF(ISERROR(VLOOKUP(B23,'Capacidad Financiera'!$B$13:$AB$58078,2,0)),"",VLOOKUP(B23,'Capacidad Financiera'!$B$13:$AB$58078,2,0))</f>
        <v>CELAS S.A.S.</v>
      </c>
      <c r="D23" s="331">
        <v>1782078238.3954692</v>
      </c>
    </row>
    <row r="24" spans="2:9" ht="13">
      <c r="B24" s="47">
        <f>+'Capacidad Financiera'!B24</f>
        <v>5</v>
      </c>
      <c r="C24" s="48" t="str">
        <f>IF(ISERROR(VLOOKUP(B24,'Capacidad Financiera'!$B$13:$AB$58078,2,0)),"",VLOOKUP(B24,'Capacidad Financiera'!$B$13:$AB$58078,2,0))</f>
        <v>GEPAV S.A.S.</v>
      </c>
      <c r="D24" s="91"/>
      <c r="F24" s="76"/>
      <c r="G24" s="77"/>
      <c r="H24" s="64"/>
      <c r="I24" s="64"/>
    </row>
    <row r="25" spans="2:9" ht="13">
      <c r="B25" s="52">
        <f>+'Capacidad Financiera'!B25</f>
        <v>5.0999999999999996</v>
      </c>
      <c r="C25" s="54" t="str">
        <f>IF(ISERROR(VLOOKUP(B25,'Capacidad Financiera'!$B$13:$AB$58078,2,0)),"",VLOOKUP(B25,'Capacidad Financiera'!$B$13:$AB$58078,2,0))</f>
        <v>GEPAV S.A.S.</v>
      </c>
      <c r="D25" s="254">
        <v>303657096</v>
      </c>
    </row>
    <row r="26" spans="2:9" ht="14.5" thickBot="1">
      <c r="B26" s="282">
        <v>5.2</v>
      </c>
      <c r="C26" s="262"/>
      <c r="D26" s="294"/>
    </row>
    <row r="27" spans="2:9" ht="13">
      <c r="B27" s="47">
        <f>+'Capacidad Financiera'!B27</f>
        <v>6</v>
      </c>
      <c r="C27" s="48" t="str">
        <f>IF(ISERROR(VLOOKUP(B27,'Capacidad Financiera'!$B$13:$AB$58078,2,0)),"",VLOOKUP(B27,'Capacidad Financiera'!$B$13:$AB$58078,2,0))</f>
        <v>JUAN CARLOS BRICEÑO CHAVES</v>
      </c>
      <c r="D27" s="91"/>
      <c r="F27" s="76"/>
      <c r="G27" s="77"/>
      <c r="H27" s="64"/>
      <c r="I27" s="64"/>
    </row>
    <row r="28" spans="2:9" ht="13">
      <c r="B28" s="52">
        <f>+'Capacidad Financiera'!B28</f>
        <v>6.1</v>
      </c>
      <c r="C28" s="54" t="str">
        <f>IF(ISERROR(VLOOKUP(B28,'Capacidad Financiera'!$B$13:$AB$58078,2,0)),"",VLOOKUP(B28,'Capacidad Financiera'!$B$13:$AB$58078,2,0))</f>
        <v>JUAN CARLOS BRICEÑO CHAVES</v>
      </c>
      <c r="D28" s="254">
        <v>1008879043.21</v>
      </c>
    </row>
    <row r="29" spans="2:9" ht="14.5" thickBot="1">
      <c r="B29" s="282">
        <v>6.2</v>
      </c>
      <c r="C29" s="262"/>
      <c r="D29" s="294"/>
    </row>
    <row r="30" spans="2:9" ht="13">
      <c r="B30" s="47">
        <f>+'Capacidad Financiera'!B30</f>
        <v>7</v>
      </c>
      <c r="C30" s="48" t="str">
        <f>IF(ISERROR(VLOOKUP(B30,'Capacidad Financiera'!$B$13:$AB$58078,2,0)),"",VLOOKUP(B30,'Capacidad Financiera'!$B$13:$AB$58078,2,0))</f>
        <v>CONSORCIO INFRAESTRUCTURA 2024</v>
      </c>
      <c r="D30" s="91"/>
      <c r="F30" s="76"/>
      <c r="G30" s="77"/>
      <c r="H30" s="64"/>
      <c r="I30" s="64"/>
    </row>
    <row r="31" spans="2:9" ht="14">
      <c r="B31" s="52">
        <f>+'Capacidad Financiera'!B31</f>
        <v>7.1</v>
      </c>
      <c r="C31" s="225" t="s">
        <v>276</v>
      </c>
      <c r="D31" s="254">
        <v>2409475924.3200002</v>
      </c>
    </row>
    <row r="32" spans="2:9" ht="14.5" thickBot="1">
      <c r="B32" s="282">
        <v>7.2</v>
      </c>
      <c r="C32" s="262" t="str">
        <f>IF(ISERROR(VLOOKUP(B32,'Capacidad Financiera'!$B$13:$AB$58078,2,0)),"",VLOOKUP(B32,'Capacidad Financiera'!$B$13:$AB$58078,2,0))</f>
        <v>CEINGCO S.A.S.</v>
      </c>
      <c r="D32" s="294">
        <v>1</v>
      </c>
    </row>
    <row r="33" spans="2:9" ht="13">
      <c r="B33" s="47">
        <f>+'Capacidad Financiera'!B33</f>
        <v>8</v>
      </c>
      <c r="C33" s="48" t="str">
        <f>IF(ISERROR(VLOOKUP(B33,'Capacidad Financiera'!$B$13:$AB$58078,2,0)),"",VLOOKUP(B33,'Capacidad Financiera'!$B$13:$AB$58078,2,0))</f>
        <v xml:space="preserve">CONSORCIO PROGRESAR </v>
      </c>
      <c r="D33" s="91"/>
      <c r="F33" s="76"/>
      <c r="G33" s="77"/>
      <c r="H33" s="64"/>
      <c r="I33" s="64"/>
    </row>
    <row r="34" spans="2:9" ht="13">
      <c r="B34" s="52">
        <f>+'Capacidad Financiera'!B34</f>
        <v>8.1</v>
      </c>
      <c r="C34" s="54" t="str">
        <f>IF(ISERROR(VLOOKUP(B34,'Capacidad Financiera'!$B$13:$AB$58078,2,0)),"",VLOOKUP(B34,'Capacidad Financiera'!$B$13:$AB$58078,2,0))</f>
        <v>INGENIECOL S.A.S.</v>
      </c>
      <c r="D34" s="254">
        <v>1</v>
      </c>
    </row>
    <row r="35" spans="2:9" ht="13.5" thickBot="1">
      <c r="B35" s="282">
        <v>8.1999999999999993</v>
      </c>
      <c r="C35" s="338" t="str">
        <f>IF(ISERROR(VLOOKUP(B35,'Capacidad Financiera'!$B$13:$AB$58078,2,0)),"",VLOOKUP(B35,'Capacidad Financiera'!$B$13:$AB$58078,2,0))</f>
        <v>MARIA ALEJANDRA LEGARDA LEMOS</v>
      </c>
      <c r="D35" s="294">
        <v>1</v>
      </c>
    </row>
    <row r="36" spans="2:9" ht="13">
      <c r="B36" s="47">
        <f>+'Capacidad Financiera'!B36</f>
        <v>9</v>
      </c>
      <c r="C36" s="48" t="str">
        <f>IF(ISERROR(VLOOKUP(B36,'Capacidad Financiera'!$B$13:$AB$58078,2,0)),"",VLOOKUP(B36,'Capacidad Financiera'!$B$13:$AB$58078,2,0))</f>
        <v>CONSORCIO VIAS E INGENIERIA</v>
      </c>
      <c r="D36" s="91"/>
      <c r="F36" s="76"/>
      <c r="G36" s="77"/>
      <c r="H36" s="64"/>
      <c r="I36" s="64"/>
    </row>
    <row r="37" spans="2:9" ht="13">
      <c r="B37" s="52">
        <f>+'Capacidad Financiera'!B37</f>
        <v>9.1</v>
      </c>
      <c r="C37" s="54" t="str">
        <f>IF(ISERROR(VLOOKUP(B37,'Capacidad Financiera'!$B$13:$AB$58078,2,0)),"",VLOOKUP(B37,'Capacidad Financiera'!$B$13:$AB$58078,2,0))</f>
        <v>BRASCO INGENIERIA S.A.S.</v>
      </c>
      <c r="D37" s="254">
        <v>289129643.18000001</v>
      </c>
    </row>
    <row r="38" spans="2:9" ht="13">
      <c r="B38" s="52">
        <f>+'Capacidad Financiera'!B38</f>
        <v>9.1999999999999993</v>
      </c>
      <c r="C38" s="54" t="str">
        <f>IF(ISERROR(VLOOKUP(B38,'Capacidad Financiera'!$B$13:$AB$58078,2,0)),"",VLOOKUP(B38,'Capacidad Financiera'!$B$13:$AB$58078,2,0))</f>
        <v>VERTICES INENIERIA S.A.S.</v>
      </c>
      <c r="D38" s="254">
        <v>588310586.74000001</v>
      </c>
    </row>
    <row r="39" spans="2:9" ht="13">
      <c r="B39" s="52" t="e">
        <f>+'Capacidad Financiera'!#REF!</f>
        <v>#REF!</v>
      </c>
      <c r="C39" s="54" t="str">
        <f>IF(ISERROR(VLOOKUP(B39,'Capacidad Financiera'!$B$13:$AB$58078,2,0)),"",VLOOKUP(B39,'Capacidad Financiera'!$B$13:$AB$58078,2,0))</f>
        <v/>
      </c>
      <c r="D39" s="92"/>
    </row>
    <row r="40" spans="2:9" ht="13">
      <c r="B40" s="52" t="str">
        <f>+'Capacidad Financiera'!B39</f>
        <v/>
      </c>
      <c r="C40" s="54">
        <f>IF(ISERROR(VLOOKUP(B40,'Capacidad Financiera'!$B$13:$AB$58078,2,0)),"",VLOOKUP(B40,'Capacidad Financiera'!$B$13:$AB$58078,2,0))</f>
        <v>0</v>
      </c>
      <c r="D40" s="92"/>
    </row>
    <row r="41" spans="2:9" ht="13">
      <c r="B41" s="52" t="str">
        <f>+'Capacidad Financiera'!B40</f>
        <v/>
      </c>
      <c r="C41" s="54">
        <f>IF(ISERROR(VLOOKUP(B41,'Capacidad Financiera'!$B$13:$AB$58078,2,0)),"",VLOOKUP(B41,'Capacidad Financiera'!$B$13:$AB$58078,2,0))</f>
        <v>0</v>
      </c>
      <c r="D41" s="92"/>
    </row>
    <row r="42" spans="2:9" ht="13">
      <c r="B42" s="52" t="str">
        <f>+'Capacidad Financiera'!B41</f>
        <v/>
      </c>
      <c r="C42" s="54">
        <f>IF(ISERROR(VLOOKUP(B42,'Capacidad Financiera'!$B$13:$AB$58078,2,0)),"",VLOOKUP(B42,'Capacidad Financiera'!$B$13:$AB$58078,2,0))</f>
        <v>0</v>
      </c>
      <c r="D42" s="92"/>
    </row>
    <row r="43" spans="2:9" ht="13">
      <c r="B43" s="52" t="str">
        <f>+'Capacidad Financiera'!B42</f>
        <v/>
      </c>
      <c r="C43" s="54">
        <f>IF(ISERROR(VLOOKUP(B43,'Capacidad Financiera'!$B$13:$AB$58078,2,0)),"",VLOOKUP(B43,'Capacidad Financiera'!$B$13:$AB$58078,2,0))</f>
        <v>0</v>
      </c>
      <c r="D43" s="92"/>
    </row>
    <row r="44" spans="2:9" ht="13">
      <c r="B44" s="52" t="str">
        <f>+'Capacidad Financiera'!B43</f>
        <v/>
      </c>
      <c r="C44" s="54">
        <f>IF(ISERROR(VLOOKUP(B44,'Capacidad Financiera'!$B$13:$AB$58078,2,0)),"",VLOOKUP(B44,'Capacidad Financiera'!$B$13:$AB$58078,2,0))</f>
        <v>0</v>
      </c>
      <c r="D44" s="92"/>
    </row>
    <row r="45" spans="2:9" ht="13.5" thickBot="1">
      <c r="B45" s="129" t="str">
        <f>+'Capacidad Financiera'!B44</f>
        <v/>
      </c>
      <c r="C45" s="130">
        <f>IF(ISERROR(VLOOKUP(B45,'Capacidad Financiera'!$B$13:$AB$58078,2,0)),"",VLOOKUP(B45,'Capacidad Financiera'!$B$13:$AB$58078,2,0))</f>
        <v>0</v>
      </c>
      <c r="D45" s="134"/>
    </row>
    <row r="46" spans="2:9" ht="13.5" thickBot="1">
      <c r="B46" s="137"/>
      <c r="C46" s="455"/>
      <c r="D46" s="456"/>
    </row>
  </sheetData>
  <sheetProtection formatCells="0" formatColumns="0" formatRows="0" insertColumns="0" insertRows="0" insertHyperlinks="0" deleteColumns="0" deleteRows="0" sort="0" autoFilter="0" pivotTables="0"/>
  <mergeCells count="8">
    <mergeCell ref="C46:D46"/>
    <mergeCell ref="D11:D12"/>
    <mergeCell ref="B5:D5"/>
    <mergeCell ref="B6:D6"/>
    <mergeCell ref="B7:D7"/>
    <mergeCell ref="B8:D8"/>
    <mergeCell ref="B11:B12"/>
    <mergeCell ref="C11:C12"/>
  </mergeCells>
  <conditionalFormatting sqref="C10:D10 C13:C25 C27:C28 C30 C33:C45">
    <cfRule type="cellIs" dxfId="203" priority="744" stopIfTrue="1" operator="equal">
      <formula>"NO ADMISIBLE"</formula>
    </cfRule>
  </conditionalFormatting>
  <conditionalFormatting sqref="D42:D45">
    <cfRule type="expression" dxfId="202" priority="742" stopIfTrue="1">
      <formula>IF(#REF!-INT(#REF!)&gt;0,TRUE,FALSE)</formula>
    </cfRule>
  </conditionalFormatting>
  <conditionalFormatting sqref="D14">
    <cfRule type="expression" dxfId="201" priority="738" stopIfTrue="1">
      <formula>IF(#REF!-INT(#REF!)&gt;0,TRUE,FALSE)</formula>
    </cfRule>
  </conditionalFormatting>
  <conditionalFormatting sqref="D13">
    <cfRule type="expression" dxfId="200" priority="745" stopIfTrue="1">
      <formula>IF(#REF!-INT(#REF!)&gt;0,TRUE,FALSE)</formula>
    </cfRule>
  </conditionalFormatting>
  <conditionalFormatting sqref="D15 D18:D19 D39:D40">
    <cfRule type="expression" dxfId="199" priority="3253" stopIfTrue="1">
      <formula>IF(#REF!-INT(#REF!)&gt;0,TRUE,FALSE)</formula>
    </cfRule>
  </conditionalFormatting>
  <conditionalFormatting sqref="D41">
    <cfRule type="expression" dxfId="198" priority="3255" stopIfTrue="1">
      <formula>IF(#REF!-INT(#REF!)&gt;0,TRUE,FALSE)</formula>
    </cfRule>
  </conditionalFormatting>
  <conditionalFormatting sqref="B14:D15 B17:D19 B21:D21 B23:D23 B25:D25 B28:D28 B31:B32 B34:D35 B37:D45 B26 D26 B29 D29 D31:D32">
    <cfRule type="expression" dxfId="197" priority="166">
      <formula>MOD(ROW(),2)=0</formula>
    </cfRule>
  </conditionalFormatting>
  <conditionalFormatting sqref="D17">
    <cfRule type="expression" dxfId="196" priority="13" stopIfTrue="1">
      <formula>IF(#REF!-INT(#REF!)&gt;0,TRUE,FALSE)</formula>
    </cfRule>
  </conditionalFormatting>
  <conditionalFormatting sqref="D16">
    <cfRule type="expression" dxfId="195" priority="14" stopIfTrue="1">
      <formula>IF(#REF!-INT(#REF!)&gt;0,TRUE,FALSE)</formula>
    </cfRule>
  </conditionalFormatting>
  <conditionalFormatting sqref="D21 D23 D25:D26 D28:D29 D31:D32 D34:D35 D37:D38">
    <cfRule type="expression" dxfId="194" priority="11" stopIfTrue="1">
      <formula>IF(#REF!-INT(#REF!)&gt;0,TRUE,FALSE)</formula>
    </cfRule>
  </conditionalFormatting>
  <conditionalFormatting sqref="D20">
    <cfRule type="expression" dxfId="193" priority="12" stopIfTrue="1">
      <formula>IF(#REF!-INT(#REF!)&gt;0,TRUE,FALSE)</formula>
    </cfRule>
  </conditionalFormatting>
  <conditionalFormatting sqref="D22">
    <cfRule type="expression" dxfId="192" priority="10" stopIfTrue="1">
      <formula>IF(#REF!-INT(#REF!)&gt;0,TRUE,FALSE)</formula>
    </cfRule>
  </conditionalFormatting>
  <conditionalFormatting sqref="D24">
    <cfRule type="expression" dxfId="191" priority="9" stopIfTrue="1">
      <formula>IF(#REF!-INT(#REF!)&gt;0,TRUE,FALSE)</formula>
    </cfRule>
  </conditionalFormatting>
  <conditionalFormatting sqref="D27">
    <cfRule type="expression" dxfId="190" priority="8" stopIfTrue="1">
      <formula>IF(#REF!-INT(#REF!)&gt;0,TRUE,FALSE)</formula>
    </cfRule>
  </conditionalFormatting>
  <conditionalFormatting sqref="D30">
    <cfRule type="expression" dxfId="189" priority="7" stopIfTrue="1">
      <formula>IF(#REF!-INT(#REF!)&gt;0,TRUE,FALSE)</formula>
    </cfRule>
  </conditionalFormatting>
  <conditionalFormatting sqref="D33">
    <cfRule type="expression" dxfId="188" priority="5" stopIfTrue="1">
      <formula>IF(#REF!-INT(#REF!)&gt;0,TRUE,FALSE)</formula>
    </cfRule>
  </conditionalFormatting>
  <conditionalFormatting sqref="D36">
    <cfRule type="expression" dxfId="187" priority="4" stopIfTrue="1">
      <formula>IF(#REF!-INT(#REF!)&gt;0,TRUE,FALSE)</formula>
    </cfRule>
  </conditionalFormatting>
  <conditionalFormatting sqref="C26">
    <cfRule type="expression" dxfId="186" priority="3">
      <formula>MOD(ROW(),2)=0</formula>
    </cfRule>
  </conditionalFormatting>
  <conditionalFormatting sqref="C29">
    <cfRule type="expression" dxfId="185" priority="2">
      <formula>MOD(ROW(),2)=0</formula>
    </cfRule>
  </conditionalFormatting>
  <conditionalFormatting sqref="C31:C32">
    <cfRule type="expression" dxfId="184" priority="1">
      <formula>MOD(ROW(),2)=0</formula>
    </cfRule>
  </conditionalFormatting>
  <dataValidations count="1">
    <dataValidation type="list" allowBlank="1" showInputMessage="1" showErrorMessage="1" sqref="C10" xr:uid="{00000000-0002-0000-07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B2:I46"/>
  <sheetViews>
    <sheetView topLeftCell="A9" zoomScale="85" zoomScaleNormal="85" workbookViewId="0">
      <selection activeCell="D26" sqref="D26"/>
    </sheetView>
  </sheetViews>
  <sheetFormatPr baseColWidth="10" defaultColWidth="11.453125" defaultRowHeight="12.5"/>
  <cols>
    <col min="1" max="1" width="11.453125" style="63" customWidth="1"/>
    <col min="2" max="2" width="3.90625" style="63" customWidth="1"/>
    <col min="3" max="3" width="42.54296875" style="63" customWidth="1"/>
    <col min="4" max="4" width="68.08984375" style="59" customWidth="1"/>
    <col min="5" max="5" width="17.54296875" style="63" bestFit="1" customWidth="1"/>
    <col min="6" max="6" width="13.90625" style="74" customWidth="1"/>
    <col min="7" max="7" width="9.6328125" style="75" customWidth="1"/>
    <col min="8" max="8" width="12.54296875" style="63" customWidth="1"/>
    <col min="9" max="9" width="12.6328125" style="63" customWidth="1"/>
    <col min="10" max="16384" width="11.453125" style="63"/>
  </cols>
  <sheetData>
    <row r="2" spans="2:9" s="65" customFormat="1" ht="20.25" customHeight="1">
      <c r="B2" s="446" t="s">
        <v>121</v>
      </c>
      <c r="C2" s="446"/>
      <c r="D2" s="446"/>
      <c r="F2" s="66"/>
      <c r="G2" s="67"/>
    </row>
    <row r="3" spans="2:9" s="65" customFormat="1" ht="9.75" customHeight="1">
      <c r="B3" s="128"/>
      <c r="C3" s="128"/>
      <c r="D3" s="128"/>
      <c r="F3" s="66"/>
      <c r="G3" s="67"/>
    </row>
    <row r="4" spans="2:9" s="65" customFormat="1" ht="9.75" customHeight="1">
      <c r="B4" s="128"/>
      <c r="C4" s="128"/>
      <c r="D4" s="128"/>
      <c r="F4" s="66"/>
      <c r="G4" s="67"/>
    </row>
    <row r="5" spans="2:9" s="65" customFormat="1" ht="9.75" customHeight="1">
      <c r="B5" s="128"/>
      <c r="C5" s="128"/>
      <c r="D5" s="128"/>
      <c r="F5" s="66"/>
      <c r="G5" s="67"/>
    </row>
    <row r="6" spans="2:9" s="65" customFormat="1" ht="18" customHeight="1">
      <c r="B6" s="447" t="s">
        <v>62</v>
      </c>
      <c r="C6" s="447"/>
      <c r="D6" s="447"/>
      <c r="F6" s="66"/>
      <c r="G6" s="67"/>
    </row>
    <row r="7" spans="2:9" s="65" customFormat="1" ht="13.5" customHeight="1">
      <c r="B7" s="448" t="str">
        <f>'Capacidad Financiera'!B4</f>
        <v xml:space="preserve">PROCESO No. </v>
      </c>
      <c r="C7" s="448"/>
      <c r="D7" s="448"/>
      <c r="F7" s="66"/>
      <c r="G7" s="67"/>
    </row>
    <row r="8" spans="2:9" s="65" customFormat="1" ht="13.5" customHeight="1">
      <c r="B8" s="448" t="s">
        <v>140</v>
      </c>
      <c r="C8" s="448"/>
      <c r="D8" s="448"/>
      <c r="F8" s="66"/>
      <c r="G8" s="67"/>
    </row>
    <row r="9" spans="2:9" s="65" customFormat="1" ht="13.5" customHeight="1">
      <c r="B9" s="102"/>
      <c r="C9" s="102"/>
      <c r="D9" s="102"/>
      <c r="F9" s="66"/>
      <c r="G9" s="67"/>
    </row>
    <row r="10" spans="2:9" s="65" customFormat="1" ht="13.5" thickBot="1">
      <c r="B10" s="68"/>
      <c r="C10" s="68"/>
      <c r="D10" s="72"/>
      <c r="F10" s="66"/>
      <c r="G10" s="67"/>
    </row>
    <row r="11" spans="2:9" ht="23.25" customHeight="1">
      <c r="B11" s="449" t="s">
        <v>78</v>
      </c>
      <c r="C11" s="451" t="s">
        <v>79</v>
      </c>
      <c r="D11" s="184" t="s">
        <v>141</v>
      </c>
    </row>
    <row r="12" spans="2:9" ht="66" customHeight="1" thickBot="1">
      <c r="B12" s="450"/>
      <c r="C12" s="452"/>
      <c r="D12" s="174" t="s">
        <v>142</v>
      </c>
    </row>
    <row r="13" spans="2:9" ht="13">
      <c r="B13" s="47">
        <f>+'Capacidad Financiera'!B13</f>
        <v>1</v>
      </c>
      <c r="C13" s="48" t="str">
        <f>IF(ISERROR(VLOOKUP(B13,'Capacidad Financiera'!$B$13:$AB$58078,2,0)),"",VLOOKUP(B13,'Capacidad Financiera'!$B$13:$AB$58078,2,0))</f>
        <v>CONSORCIO MEGACONSTRUCCIONES 2024</v>
      </c>
      <c r="D13" s="91"/>
      <c r="F13" s="76"/>
      <c r="G13" s="77"/>
      <c r="H13" s="64"/>
      <c r="I13" s="64"/>
    </row>
    <row r="14" spans="2:9" ht="13">
      <c r="B14" s="52">
        <f>+'Capacidad Financiera'!B14</f>
        <v>1.1000000000000001</v>
      </c>
      <c r="C14" s="54" t="str">
        <f>IF(ISERROR(VLOOKUP(B14,'Capacidad Financiera'!$B$13:$AB$58078,2,0)),"",VLOOKUP(B14,'Capacidad Financiera'!$B$13:$AB$58078,2,0))</f>
        <v>MEGA CONSTRUCCIONES PACK SAS</v>
      </c>
      <c r="D14" s="251">
        <v>1245178490</v>
      </c>
    </row>
    <row r="15" spans="2:9" ht="13.5" thickBot="1">
      <c r="B15" s="52">
        <f>+'Capacidad Financiera'!B15</f>
        <v>1.2</v>
      </c>
      <c r="C15" s="54" t="str">
        <f>IF(ISERROR(VLOOKUP(B15,'Capacidad Financiera'!$B$13:$AB$58078,2,0)),"",VLOOKUP(B15,'Capacidad Financiera'!$B$13:$AB$58078,2,0))</f>
        <v>MTS CONTRUCCIONES SAS</v>
      </c>
      <c r="D15" s="251">
        <v>21958962450</v>
      </c>
    </row>
    <row r="16" spans="2:9" ht="13">
      <c r="B16" s="47">
        <f>+'Capacidad Financiera'!B16</f>
        <v>2</v>
      </c>
      <c r="C16" s="48" t="str">
        <f>IF(ISERROR(VLOOKUP(B16,'Capacidad Financiera'!$B$13:$AB$58078,2,0)),"",VLOOKUP(B16,'Capacidad Financiera'!$B$13:$AB$58078,2,0))</f>
        <v>YAMEL ARANGO PINILLA</v>
      </c>
      <c r="D16" s="91"/>
      <c r="F16" s="76"/>
      <c r="G16" s="77"/>
      <c r="H16" s="64"/>
      <c r="I16" s="64"/>
    </row>
    <row r="17" spans="2:9" ht="13">
      <c r="B17" s="52">
        <f>+'Capacidad Financiera'!B17</f>
        <v>2.1</v>
      </c>
      <c r="C17" s="54" t="str">
        <f>IF(ISERROR(VLOOKUP(B17,'Capacidad Financiera'!$B$13:$AB$58078,2,0)),"",VLOOKUP(B17,'Capacidad Financiera'!$B$13:$AB$58078,2,0))</f>
        <v>YAMEL ARANGO PINILLA</v>
      </c>
      <c r="D17" s="251">
        <v>1</v>
      </c>
    </row>
    <row r="18" spans="2:9" ht="13">
      <c r="B18" s="52">
        <f>+'Capacidad Financiera'!B18</f>
        <v>0</v>
      </c>
      <c r="C18" s="54" t="str">
        <f>IF(ISERROR(VLOOKUP(B18,'Capacidad Financiera'!$B$13:$AB$58078,2,0)),"",VLOOKUP(B18,'Capacidad Financiera'!$B$13:$AB$58078,2,0))</f>
        <v/>
      </c>
      <c r="D18" s="251"/>
    </row>
    <row r="19" spans="2:9" ht="13.5" thickBot="1">
      <c r="B19" s="52" t="str">
        <f>+'Capacidad Financiera'!B19</f>
        <v/>
      </c>
      <c r="C19" s="54">
        <f>IF(ISERROR(VLOOKUP(B19,'Capacidad Financiera'!$B$13:$AB$58078,2,0)),"",VLOOKUP(B19,'Capacidad Financiera'!$B$13:$AB$58078,2,0))</f>
        <v>0</v>
      </c>
      <c r="D19" s="251"/>
    </row>
    <row r="20" spans="2:9" ht="13">
      <c r="B20" s="47">
        <f>+'Capacidad Financiera'!B20</f>
        <v>3</v>
      </c>
      <c r="C20" s="48" t="s">
        <v>267</v>
      </c>
      <c r="D20" s="91"/>
      <c r="F20" s="76"/>
      <c r="G20" s="77"/>
      <c r="H20" s="64"/>
      <c r="I20" s="64"/>
    </row>
    <row r="21" spans="2:9" ht="13.5" thickBot="1">
      <c r="B21" s="52">
        <v>3.1</v>
      </c>
      <c r="C21" s="54" t="s">
        <v>267</v>
      </c>
      <c r="D21" s="251">
        <v>1400000000</v>
      </c>
    </row>
    <row r="22" spans="2:9" ht="13">
      <c r="B22" s="47">
        <f>+'Capacidad Financiera'!B22</f>
        <v>4</v>
      </c>
      <c r="C22" s="48" t="s">
        <v>269</v>
      </c>
      <c r="D22" s="91"/>
      <c r="F22" s="76"/>
      <c r="G22" s="77"/>
      <c r="H22" s="64"/>
      <c r="I22" s="64"/>
    </row>
    <row r="23" spans="2:9" ht="13.5" thickBot="1">
      <c r="B23" s="185">
        <v>4.0999999999999996</v>
      </c>
      <c r="C23" s="54" t="s">
        <v>269</v>
      </c>
      <c r="D23" s="330">
        <v>7014000000</v>
      </c>
    </row>
    <row r="24" spans="2:9" ht="13">
      <c r="B24" s="47">
        <f>+'Capacidad Financiera'!B24</f>
        <v>5</v>
      </c>
      <c r="C24" s="48" t="str">
        <f>IF(ISERROR(VLOOKUP(B24,'Capacidad Financiera'!$B$13:$AB$58078,2,0)),"",VLOOKUP(B24,'Capacidad Financiera'!$B$13:$AB$58078,2,0))</f>
        <v>GEPAV S.A.S.</v>
      </c>
      <c r="D24" s="91"/>
      <c r="F24" s="76"/>
      <c r="G24" s="77"/>
      <c r="H24" s="64"/>
      <c r="I24" s="64"/>
    </row>
    <row r="25" spans="2:9" ht="13">
      <c r="B25" s="52">
        <v>5.0999999999999996</v>
      </c>
      <c r="C25" s="54" t="str">
        <f>IF(ISERROR(VLOOKUP(B25,'Capacidad Financiera'!$B$13:$AB$58078,2,0)),"",VLOOKUP(B25,'Capacidad Financiera'!$B$13:$AB$58078,2,0))</f>
        <v>GEPAV S.A.S.</v>
      </c>
      <c r="D25" s="251">
        <v>3363964123</v>
      </c>
    </row>
    <row r="26" spans="2:9" ht="14.5" thickBot="1">
      <c r="B26" s="282">
        <v>5.2</v>
      </c>
      <c r="C26" s="262"/>
      <c r="D26" s="295"/>
    </row>
    <row r="27" spans="2:9" ht="13">
      <c r="B27" s="47">
        <f>+'Capacidad Financiera'!B27</f>
        <v>6</v>
      </c>
      <c r="C27" s="48" t="str">
        <f>IF(ISERROR(VLOOKUP(B27,'Capacidad Financiera'!$B$13:$AB$58078,2,0)),"",VLOOKUP(B27,'Capacidad Financiera'!$B$13:$AB$58078,2,0))</f>
        <v>JUAN CARLOS BRICEÑO CHAVES</v>
      </c>
      <c r="D27" s="91">
        <v>0</v>
      </c>
      <c r="F27" s="76"/>
      <c r="G27" s="77"/>
      <c r="H27" s="64"/>
      <c r="I27" s="64"/>
    </row>
    <row r="28" spans="2:9" ht="13">
      <c r="B28" s="52">
        <v>6.1</v>
      </c>
      <c r="C28" s="54" t="str">
        <f>IF(ISERROR(VLOOKUP(B28,'Capacidad Financiera'!$B$13:$AB$58078,2,0)),"",VLOOKUP(B28,'Capacidad Financiera'!$B$13:$AB$58078,2,0))</f>
        <v>JUAN CARLOS BRICEÑO CHAVES</v>
      </c>
      <c r="D28" s="251">
        <v>2976344640</v>
      </c>
    </row>
    <row r="29" spans="2:9" ht="14.5" thickBot="1">
      <c r="B29" s="282">
        <v>6.2</v>
      </c>
      <c r="C29" s="262"/>
      <c r="D29" s="295"/>
    </row>
    <row r="30" spans="2:9" ht="13">
      <c r="B30" s="47">
        <f>+'Capacidad Financiera'!B30</f>
        <v>7</v>
      </c>
      <c r="C30" s="48" t="str">
        <f>IF(ISERROR(VLOOKUP(B30,'Capacidad Financiera'!$B$13:$AB$58078,2,0)),"",VLOOKUP(B30,'Capacidad Financiera'!$B$13:$AB$58078,2,0))</f>
        <v>CONSORCIO INFRAESTRUCTURA 2024</v>
      </c>
      <c r="D30" s="91"/>
      <c r="F30" s="76"/>
      <c r="G30" s="77"/>
      <c r="H30" s="64"/>
      <c r="I30" s="64"/>
    </row>
    <row r="31" spans="2:9" ht="14">
      <c r="B31" s="52">
        <v>7.1</v>
      </c>
      <c r="C31" s="225" t="s">
        <v>276</v>
      </c>
      <c r="D31" s="251">
        <v>10755472774.780001</v>
      </c>
    </row>
    <row r="32" spans="2:9" ht="14.5" thickBot="1">
      <c r="B32" s="282">
        <v>7.2</v>
      </c>
      <c r="C32" s="262" t="s">
        <v>277</v>
      </c>
      <c r="D32" s="295">
        <v>511373477</v>
      </c>
    </row>
    <row r="33" spans="2:9" ht="13">
      <c r="B33" s="47">
        <f>+'Capacidad Financiera'!B33</f>
        <v>8</v>
      </c>
      <c r="C33" s="48" t="str">
        <f>IF(ISERROR(VLOOKUP(B33,'Capacidad Financiera'!$B$13:$AB$58078,2,0)),"",VLOOKUP(B33,'Capacidad Financiera'!$B$13:$AB$58078,2,0))</f>
        <v xml:space="preserve">CONSORCIO PROGRESAR </v>
      </c>
      <c r="D33" s="91"/>
      <c r="F33" s="76"/>
      <c r="G33" s="77"/>
      <c r="H33" s="64"/>
      <c r="I33" s="64"/>
    </row>
    <row r="34" spans="2:9" ht="13">
      <c r="B34" s="52">
        <f>+'Capacidad Financiera'!B34</f>
        <v>8.1</v>
      </c>
      <c r="C34" s="54" t="str">
        <f>IF(ISERROR(VLOOKUP(B34,'Capacidad Financiera'!$B$13:$AB$58078,2,0)),"",VLOOKUP(B34,'Capacidad Financiera'!$B$13:$AB$58078,2,0))</f>
        <v>INGENIECOL S.A.S.</v>
      </c>
      <c r="D34" s="251">
        <v>910319645</v>
      </c>
    </row>
    <row r="35" spans="2:9" ht="13.5" thickBot="1">
      <c r="B35" s="282">
        <v>8.1999999999999993</v>
      </c>
      <c r="C35" s="338" t="str">
        <f>IF(ISERROR(VLOOKUP(B35,'Capacidad Financiera'!$B$13:$AB$58078,2,0)),"",VLOOKUP(B35,'Capacidad Financiera'!$B$13:$AB$58078,2,0))</f>
        <v>MARIA ALEJANDRA LEGARDA LEMOS</v>
      </c>
      <c r="D35" s="295">
        <v>218540000</v>
      </c>
    </row>
    <row r="36" spans="2:9" ht="13">
      <c r="B36" s="47">
        <f>+'Capacidad Financiera'!B36</f>
        <v>9</v>
      </c>
      <c r="C36" s="48" t="str">
        <f>IF(ISERROR(VLOOKUP(B36,'Capacidad Financiera'!$B$13:$AB$58078,2,0)),"",VLOOKUP(B36,'Capacidad Financiera'!$B$13:$AB$58078,2,0))</f>
        <v>CONSORCIO VIAS E INGENIERIA</v>
      </c>
      <c r="D36" s="91"/>
      <c r="F36" s="76"/>
      <c r="G36" s="77"/>
      <c r="H36" s="64"/>
      <c r="I36" s="64"/>
    </row>
    <row r="37" spans="2:9" ht="13">
      <c r="B37" s="52">
        <f>+'Capacidad Financiera'!B37</f>
        <v>9.1</v>
      </c>
      <c r="C37" s="54" t="str">
        <f>IF(ISERROR(VLOOKUP(B37,'Capacidad Financiera'!$B$13:$AB$58078,2,0)),"",VLOOKUP(B37,'Capacidad Financiera'!$B$13:$AB$58078,2,0))</f>
        <v>BRASCO INGENIERIA S.A.S.</v>
      </c>
      <c r="D37" s="251">
        <v>1550360760</v>
      </c>
    </row>
    <row r="38" spans="2:9" ht="13">
      <c r="B38" s="52">
        <f>+'Capacidad Financiera'!B38</f>
        <v>9.1999999999999993</v>
      </c>
      <c r="C38" s="54" t="str">
        <f>IF(ISERROR(VLOOKUP(B38,'Capacidad Financiera'!$B$13:$AB$58078,2,0)),"",VLOOKUP(B38,'Capacidad Financiera'!$B$13:$AB$58078,2,0))</f>
        <v>VERTICES INENIERIA S.A.S.</v>
      </c>
      <c r="D38" s="251">
        <v>3087387000</v>
      </c>
    </row>
    <row r="39" spans="2:9" ht="13">
      <c r="B39" s="52" t="e">
        <f>+'Capacidad Financiera'!#REF!</f>
        <v>#REF!</v>
      </c>
      <c r="C39" s="54" t="str">
        <f>IF(ISERROR(VLOOKUP(B39,'Capacidad Financiera'!$B$13:$AB$58078,2,0)),"",VLOOKUP(B39,'Capacidad Financiera'!$B$13:$AB$58078,2,0))</f>
        <v/>
      </c>
      <c r="D39" s="99"/>
    </row>
    <row r="40" spans="2:9" ht="13">
      <c r="B40" s="52" t="str">
        <f>+'Capacidad Financiera'!B39</f>
        <v/>
      </c>
      <c r="C40" s="54">
        <f>IF(ISERROR(VLOOKUP(B40,'Capacidad Financiera'!$B$13:$AB$58078,2,0)),"",VLOOKUP(B40,'Capacidad Financiera'!$B$13:$AB$58078,2,0))</f>
        <v>0</v>
      </c>
      <c r="D40" s="99"/>
    </row>
    <row r="41" spans="2:9" ht="13">
      <c r="B41" s="52" t="str">
        <f>+'Capacidad Financiera'!B40</f>
        <v/>
      </c>
      <c r="C41" s="54">
        <f>IF(ISERROR(VLOOKUP(B41,'Capacidad Financiera'!$B$13:$AB$58078,2,0)),"",VLOOKUP(B41,'Capacidad Financiera'!$B$13:$AB$58078,2,0))</f>
        <v>0</v>
      </c>
      <c r="D41" s="99"/>
    </row>
    <row r="42" spans="2:9" ht="13">
      <c r="B42" s="52" t="str">
        <f>+'Capacidad Financiera'!B41</f>
        <v/>
      </c>
      <c r="C42" s="54">
        <f>IF(ISERROR(VLOOKUP(B42,'Capacidad Financiera'!$B$13:$AB$58078,2,0)),"",VLOOKUP(B42,'Capacidad Financiera'!$B$13:$AB$58078,2,0))</f>
        <v>0</v>
      </c>
      <c r="D42" s="99"/>
    </row>
    <row r="43" spans="2:9" ht="13">
      <c r="B43" s="52" t="str">
        <f>+'Capacidad Financiera'!B42</f>
        <v/>
      </c>
      <c r="C43" s="54">
        <f>IF(ISERROR(VLOOKUP(B43,'Capacidad Financiera'!$B$13:$AB$58078,2,0)),"",VLOOKUP(B43,'Capacidad Financiera'!$B$13:$AB$58078,2,0))</f>
        <v>0</v>
      </c>
      <c r="D43" s="99"/>
    </row>
    <row r="44" spans="2:9" ht="13">
      <c r="B44" s="52" t="str">
        <f>+'Capacidad Financiera'!B43</f>
        <v/>
      </c>
      <c r="C44" s="54">
        <f>IF(ISERROR(VLOOKUP(B44,'Capacidad Financiera'!$B$13:$AB$58078,2,0)),"",VLOOKUP(B44,'Capacidad Financiera'!$B$13:$AB$58078,2,0))</f>
        <v>0</v>
      </c>
      <c r="D44" s="99"/>
    </row>
    <row r="45" spans="2:9" ht="13.5" thickBot="1">
      <c r="B45" s="129" t="str">
        <f>+'Capacidad Financiera'!B44</f>
        <v/>
      </c>
      <c r="C45" s="130">
        <f>IF(ISERROR(VLOOKUP(B45,'Capacidad Financiera'!$B$13:$AB$58078,2,0)),"",VLOOKUP(B45,'Capacidad Financiera'!$B$13:$AB$58078,2,0))</f>
        <v>0</v>
      </c>
      <c r="D45" s="135"/>
    </row>
    <row r="46" spans="2:9" ht="13.5" thickBot="1">
      <c r="B46" s="137"/>
      <c r="C46" s="455"/>
      <c r="D46" s="456"/>
    </row>
  </sheetData>
  <sheetProtection formatCells="0" formatColumns="0" formatRows="0" insertColumns="0" insertRows="0" insertHyperlinks="0" deleteColumns="0" deleteRows="0" sort="0" autoFilter="0" pivotTables="0"/>
  <mergeCells count="7">
    <mergeCell ref="C46:D46"/>
    <mergeCell ref="B2:D2"/>
    <mergeCell ref="B6:D6"/>
    <mergeCell ref="B7:D7"/>
    <mergeCell ref="B8:D8"/>
    <mergeCell ref="B11:B12"/>
    <mergeCell ref="C11:C12"/>
  </mergeCells>
  <conditionalFormatting sqref="C10:D10 C13:C25 C27:C28 C30 C33:C45">
    <cfRule type="cellIs" dxfId="183" priority="517" stopIfTrue="1" operator="equal">
      <formula>"NO ADMISIBLE"</formula>
    </cfRule>
  </conditionalFormatting>
  <conditionalFormatting sqref="D14">
    <cfRule type="expression" dxfId="182" priority="511" stopIfTrue="1">
      <formula>IF(#REF!-INT(#REF!)&gt;0,TRUE,FALSE)</formula>
    </cfRule>
  </conditionalFormatting>
  <conditionalFormatting sqref="D13">
    <cfRule type="expression" dxfId="181" priority="518" stopIfTrue="1">
      <formula>IF(#REF!-INT(#REF!)&gt;0,TRUE,FALSE)</formula>
    </cfRule>
  </conditionalFormatting>
  <conditionalFormatting sqref="D15 D18:D19 D39:D45">
    <cfRule type="expression" dxfId="180" priority="501" stopIfTrue="1">
      <formula>IF(#REF!-INT(#REF!)&gt;0,TRUE,FALSE)</formula>
    </cfRule>
  </conditionalFormatting>
  <conditionalFormatting sqref="B14:D15 B17:D19 B21:D21 B23:D23 B25:D25 B28:D28 B31:B32 B34:D35 B37:D45 B26 D26 B29 D29 D31:D32">
    <cfRule type="expression" dxfId="179" priority="119">
      <formula>MOD(ROW(),2)=0</formula>
    </cfRule>
  </conditionalFormatting>
  <conditionalFormatting sqref="D17">
    <cfRule type="expression" dxfId="178" priority="12" stopIfTrue="1">
      <formula>IF(#REF!-INT(#REF!)&gt;0,TRUE,FALSE)</formula>
    </cfRule>
  </conditionalFormatting>
  <conditionalFormatting sqref="D16">
    <cfRule type="expression" dxfId="177" priority="13" stopIfTrue="1">
      <formula>IF(#REF!-INT(#REF!)&gt;0,TRUE,FALSE)</formula>
    </cfRule>
  </conditionalFormatting>
  <conditionalFormatting sqref="D21 D23 D25:D26 D28:D29 D31:D32 D34:D35 D37:D38">
    <cfRule type="expression" dxfId="176" priority="10" stopIfTrue="1">
      <formula>IF(#REF!-INT(#REF!)&gt;0,TRUE,FALSE)</formula>
    </cfRule>
  </conditionalFormatting>
  <conditionalFormatting sqref="D20">
    <cfRule type="expression" dxfId="175" priority="11" stopIfTrue="1">
      <formula>IF(#REF!-INT(#REF!)&gt;0,TRUE,FALSE)</formula>
    </cfRule>
  </conditionalFormatting>
  <conditionalFormatting sqref="D22">
    <cfRule type="expression" dxfId="174" priority="9" stopIfTrue="1">
      <formula>IF(#REF!-INT(#REF!)&gt;0,TRUE,FALSE)</formula>
    </cfRule>
  </conditionalFormatting>
  <conditionalFormatting sqref="D24">
    <cfRule type="expression" dxfId="173" priority="8" stopIfTrue="1">
      <formula>IF(#REF!-INT(#REF!)&gt;0,TRUE,FALSE)</formula>
    </cfRule>
  </conditionalFormatting>
  <conditionalFormatting sqref="D27">
    <cfRule type="expression" dxfId="172" priority="7" stopIfTrue="1">
      <formula>IF(#REF!-INT(#REF!)&gt;0,TRUE,FALSE)</formula>
    </cfRule>
  </conditionalFormatting>
  <conditionalFormatting sqref="D30">
    <cfRule type="expression" dxfId="171" priority="6" stopIfTrue="1">
      <formula>IF(#REF!-INT(#REF!)&gt;0,TRUE,FALSE)</formula>
    </cfRule>
  </conditionalFormatting>
  <conditionalFormatting sqref="D33">
    <cfRule type="expression" dxfId="170" priority="5" stopIfTrue="1">
      <formula>IF(#REF!-INT(#REF!)&gt;0,TRUE,FALSE)</formula>
    </cfRule>
  </conditionalFormatting>
  <conditionalFormatting sqref="D36">
    <cfRule type="expression" dxfId="169" priority="4" stopIfTrue="1">
      <formula>IF(#REF!-INT(#REF!)&gt;0,TRUE,FALSE)</formula>
    </cfRule>
  </conditionalFormatting>
  <conditionalFormatting sqref="C26">
    <cfRule type="expression" dxfId="168" priority="3">
      <formula>MOD(ROW(),2)=0</formula>
    </cfRule>
  </conditionalFormatting>
  <conditionalFormatting sqref="C29">
    <cfRule type="expression" dxfId="167" priority="2">
      <formula>MOD(ROW(),2)=0</formula>
    </cfRule>
  </conditionalFormatting>
  <conditionalFormatting sqref="C31:C32">
    <cfRule type="expression" dxfId="166" priority="1">
      <formula>MOD(ROW(),2)=0</formula>
    </cfRule>
  </conditionalFormatting>
  <dataValidations disablePrompts="1" count="1">
    <dataValidation type="list" allowBlank="1" showInputMessage="1" showErrorMessage="1" sqref="C10" xr:uid="{00000000-0002-0000-08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A1:W39"/>
  <sheetViews>
    <sheetView tabSelected="1" zoomScale="85" zoomScaleNormal="85" workbookViewId="0">
      <selection activeCell="B16" sqref="B16"/>
    </sheetView>
  </sheetViews>
  <sheetFormatPr baseColWidth="10" defaultColWidth="11.453125" defaultRowHeight="12.5"/>
  <cols>
    <col min="1" max="1" width="11.453125" style="63" customWidth="1"/>
    <col min="2" max="2" width="6.08984375" style="63" bestFit="1" customWidth="1"/>
    <col min="3" max="3" width="40.36328125" style="63" customWidth="1"/>
    <col min="4" max="4" width="11.54296875" style="63" customWidth="1"/>
    <col min="5" max="5" width="6.08984375" style="63" bestFit="1" customWidth="1"/>
    <col min="6" max="7" width="18.36328125" style="63" bestFit="1" customWidth="1"/>
    <col min="8" max="8" width="3.6328125" style="63" customWidth="1"/>
    <col min="9" max="9" width="29" style="63" customWidth="1"/>
    <col min="10" max="10" width="20.6328125" style="59" customWidth="1"/>
    <col min="11" max="11" width="14.54296875" style="59" customWidth="1"/>
    <col min="12" max="12" width="8.90625" style="59" hidden="1" customWidth="1"/>
    <col min="13" max="13" width="14.54296875" style="59" hidden="1" customWidth="1"/>
    <col min="14" max="14" width="13.08984375" style="59" customWidth="1"/>
    <col min="15" max="15" width="13.90625" style="59" bestFit="1" customWidth="1"/>
    <col min="16" max="16" width="20.6328125" style="59" customWidth="1"/>
    <col min="17" max="17" width="26.453125" style="59" customWidth="1"/>
    <col min="18" max="18" width="29.453125" style="63" customWidth="1"/>
    <col min="19" max="19" width="11.453125" style="63"/>
    <col min="20" max="20" width="13.90625" style="74" customWidth="1"/>
    <col min="21" max="21" width="9.6328125" style="75" customWidth="1"/>
    <col min="22" max="22" width="12.54296875" style="63" customWidth="1"/>
    <col min="23" max="23" width="12.6328125" style="63" customWidth="1"/>
    <col min="24" max="16384" width="11.453125" style="63"/>
  </cols>
  <sheetData>
    <row r="1" spans="1:23" ht="9" customHeight="1">
      <c r="J1" s="322"/>
      <c r="K1" s="322"/>
      <c r="L1" s="322"/>
      <c r="M1" s="322"/>
      <c r="N1" s="322"/>
      <c r="O1" s="322"/>
      <c r="P1" s="322"/>
      <c r="Q1" s="322"/>
    </row>
    <row r="2" spans="1:23" ht="9" customHeight="1">
      <c r="J2" s="322"/>
      <c r="K2" s="322"/>
      <c r="L2" s="322"/>
      <c r="M2" s="322"/>
      <c r="N2" s="322"/>
      <c r="O2" s="322"/>
      <c r="P2" s="322"/>
      <c r="Q2" s="322"/>
    </row>
    <row r="3" spans="1:23" ht="9" customHeight="1">
      <c r="J3" s="322"/>
      <c r="K3" s="322"/>
      <c r="L3" s="322"/>
      <c r="M3" s="322"/>
      <c r="N3" s="322"/>
      <c r="O3" s="322"/>
      <c r="P3" s="322"/>
      <c r="Q3" s="322"/>
    </row>
    <row r="4" spans="1:23" s="65" customFormat="1" ht="20.25" customHeight="1">
      <c r="B4" s="446" t="s">
        <v>121</v>
      </c>
      <c r="C4" s="446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T4" s="66"/>
      <c r="U4" s="67"/>
    </row>
    <row r="5" spans="1:23" s="65" customFormat="1" ht="18" customHeight="1">
      <c r="B5" s="447" t="s">
        <v>62</v>
      </c>
      <c r="C5" s="447"/>
      <c r="D5" s="447"/>
      <c r="E5" s="447"/>
      <c r="F5" s="447"/>
      <c r="G5" s="447"/>
      <c r="H5" s="447"/>
      <c r="I5" s="447"/>
      <c r="J5" s="447"/>
      <c r="K5" s="447"/>
      <c r="L5" s="447"/>
      <c r="M5" s="447"/>
      <c r="N5" s="447"/>
      <c r="O5" s="447"/>
      <c r="P5" s="447"/>
      <c r="Q5" s="447"/>
      <c r="R5" s="447"/>
      <c r="T5" s="66"/>
      <c r="U5" s="67"/>
    </row>
    <row r="6" spans="1:23" s="65" customFormat="1" ht="13.5" customHeight="1">
      <c r="B6" s="448" t="str">
        <f>'Capacidad Financiera'!B4</f>
        <v xml:space="preserve">PROCESO No. </v>
      </c>
      <c r="C6" s="448"/>
      <c r="D6" s="448"/>
      <c r="E6" s="448"/>
      <c r="F6" s="448"/>
      <c r="G6" s="448"/>
      <c r="H6" s="448"/>
      <c r="I6" s="448"/>
      <c r="J6" s="448"/>
      <c r="K6" s="448"/>
      <c r="L6" s="448"/>
      <c r="M6" s="448"/>
      <c r="N6" s="448"/>
      <c r="O6" s="448"/>
      <c r="P6" s="448"/>
      <c r="Q6" s="448"/>
      <c r="R6" s="448"/>
      <c r="T6" s="66"/>
      <c r="U6" s="67"/>
    </row>
    <row r="7" spans="1:23" s="65" customFormat="1" ht="13.5" customHeight="1">
      <c r="B7" s="448" t="s">
        <v>143</v>
      </c>
      <c r="C7" s="448"/>
      <c r="D7" s="448"/>
      <c r="E7" s="448"/>
      <c r="F7" s="448"/>
      <c r="G7" s="448"/>
      <c r="H7" s="448"/>
      <c r="I7" s="448"/>
      <c r="J7" s="448"/>
      <c r="K7" s="448"/>
      <c r="L7" s="448"/>
      <c r="M7" s="448"/>
      <c r="N7" s="448"/>
      <c r="O7" s="448"/>
      <c r="P7" s="448"/>
      <c r="Q7" s="448"/>
      <c r="R7" s="448"/>
      <c r="T7" s="66"/>
      <c r="U7" s="67"/>
    </row>
    <row r="8" spans="1:23" s="65" customFormat="1" ht="13.5" customHeight="1">
      <c r="B8" s="102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2"/>
      <c r="T8" s="66"/>
      <c r="U8" s="67"/>
    </row>
    <row r="9" spans="1:23" s="65" customFormat="1" ht="13.5" thickBot="1">
      <c r="B9" s="68"/>
      <c r="C9" s="68"/>
      <c r="D9" s="69"/>
      <c r="E9" s="69"/>
      <c r="F9" s="70"/>
      <c r="G9" s="70"/>
      <c r="H9" s="70"/>
      <c r="I9" s="71"/>
      <c r="K9" s="72"/>
      <c r="L9" s="72"/>
      <c r="M9" s="72"/>
      <c r="N9" s="72"/>
      <c r="O9" s="72"/>
      <c r="P9" s="72"/>
      <c r="Q9" s="72"/>
      <c r="R9" s="73"/>
      <c r="T9" s="66"/>
      <c r="U9" s="67"/>
    </row>
    <row r="10" spans="1:23" ht="54" customHeight="1">
      <c r="B10" s="449" t="s">
        <v>78</v>
      </c>
      <c r="C10" s="451" t="s">
        <v>79</v>
      </c>
      <c r="D10" s="189" t="s">
        <v>144</v>
      </c>
      <c r="E10" s="475" t="s">
        <v>87</v>
      </c>
      <c r="F10" s="189" t="s">
        <v>145</v>
      </c>
      <c r="G10" s="189" t="s">
        <v>48</v>
      </c>
      <c r="H10" s="478" t="s">
        <v>146</v>
      </c>
      <c r="I10" s="199" t="s">
        <v>147</v>
      </c>
      <c r="J10" s="189" t="s">
        <v>148</v>
      </c>
      <c r="K10" s="189" t="s">
        <v>149</v>
      </c>
      <c r="L10" s="464" t="s">
        <v>89</v>
      </c>
      <c r="M10" s="467" t="s">
        <v>90</v>
      </c>
      <c r="N10" s="189" t="s">
        <v>54</v>
      </c>
      <c r="O10" s="183" t="s">
        <v>52</v>
      </c>
      <c r="P10" s="190" t="s">
        <v>150</v>
      </c>
      <c r="Q10" s="200" t="s">
        <v>151</v>
      </c>
      <c r="R10" s="191" t="s">
        <v>152</v>
      </c>
    </row>
    <row r="11" spans="1:23">
      <c r="B11" s="473"/>
      <c r="C11" s="474"/>
      <c r="D11" s="463" t="s">
        <v>153</v>
      </c>
      <c r="E11" s="476"/>
      <c r="F11" s="463" t="s">
        <v>154</v>
      </c>
      <c r="G11" s="463" t="s">
        <v>154</v>
      </c>
      <c r="H11" s="479"/>
      <c r="I11" s="470" t="s">
        <v>155</v>
      </c>
      <c r="J11" s="472" t="s">
        <v>156</v>
      </c>
      <c r="K11" s="472" t="s">
        <v>57</v>
      </c>
      <c r="L11" s="465"/>
      <c r="M11" s="468"/>
      <c r="N11" s="472" t="s">
        <v>57</v>
      </c>
      <c r="O11" s="472" t="s">
        <v>57</v>
      </c>
      <c r="P11" s="472" t="s">
        <v>156</v>
      </c>
      <c r="Q11" s="470" t="s">
        <v>157</v>
      </c>
      <c r="R11" s="461" t="s">
        <v>158</v>
      </c>
    </row>
    <row r="12" spans="1:23" ht="51" customHeight="1" thickBot="1">
      <c r="B12" s="450"/>
      <c r="C12" s="452"/>
      <c r="D12" s="454"/>
      <c r="E12" s="477"/>
      <c r="F12" s="454"/>
      <c r="G12" s="454"/>
      <c r="H12" s="480"/>
      <c r="I12" s="471"/>
      <c r="J12" s="458"/>
      <c r="K12" s="458"/>
      <c r="L12" s="466"/>
      <c r="M12" s="469"/>
      <c r="N12" s="458"/>
      <c r="O12" s="458"/>
      <c r="P12" s="458"/>
      <c r="Q12" s="471"/>
      <c r="R12" s="462"/>
    </row>
    <row r="13" spans="1:23" ht="13">
      <c r="B13" s="340">
        <f>+'Capacidad Financiera'!B13</f>
        <v>1</v>
      </c>
      <c r="C13" s="341" t="str">
        <f>IF(ISERROR(VLOOKUP(B13,'Capacidad Financiera'!$B$13:$AB$58078,2,0)),"",VLOOKUP(B13,'Capacidad Financiera'!$B$13:$AB$58078,2,0))</f>
        <v>CONSORCIO MEGACONSTRUCCIONES 2024</v>
      </c>
      <c r="D13" s="342">
        <f>IF(ISERROR(VLOOKUP(B13,'Capacidad Financiera'!$B$13:$AB$58078,3,0)),"",VLOOKUP(B13,'Capacidad Financiera'!$B$13:$AB$58078,3,0))</f>
        <v>1</v>
      </c>
      <c r="E13" s="343">
        <f>'Capacidad Financiera'!M13</f>
        <v>1</v>
      </c>
      <c r="F13" s="344">
        <f>IF(ISERROR(VLOOKUP(E13,POA!$A$2:$D$7,2,0)),"",VLOOKUP(E13,POA!$A$2:$D$7,2,0))</f>
        <v>1200000000</v>
      </c>
      <c r="G13" s="344">
        <f>IF(ISERROR(VLOOKUP(E13,POA!$A$2:$D$7,3,0)),"",VLOOKUP(E13,POA!$A$2:$D$7,4,0))</f>
        <v>120000000</v>
      </c>
      <c r="H13" s="343">
        <f>IF(ISERROR(VLOOKUP(E13,POA!$A$2:$D$2,3,0)),"",VLOOKUP(E13,POA!$A$2:$D$2,3,0))</f>
        <v>4</v>
      </c>
      <c r="I13" s="341">
        <f t="shared" ref="I13:I38" si="0">IF(H13="","",IF(H13&lt;12,(F13-G13),IF(H13&gt;=12,(((F13-G13)/H13)*12),"")))</f>
        <v>1080000000</v>
      </c>
      <c r="J13" s="343"/>
      <c r="K13" s="341"/>
      <c r="L13" s="341"/>
      <c r="M13" s="341">
        <f>+SUM(M14:M15)</f>
        <v>0</v>
      </c>
      <c r="N13" s="343" t="str">
        <f>IF(ISERROR(VLOOKUP(J13,POA!$A$2:$C$2,3,0)),"",VLOOKUP(J13,POA!$A$2:$C$2,3,0))</f>
        <v/>
      </c>
      <c r="O13" s="341" t="str">
        <f t="shared" ref="O13" si="1">IF(ISERROR(+K13/N13),"",(K13/N13))</f>
        <v/>
      </c>
      <c r="P13" s="345"/>
      <c r="Q13" s="345">
        <f>SUM(Q14:Q15)</f>
        <v>37307296392.099998</v>
      </c>
      <c r="R13" s="346" t="str">
        <f>+IF(OR(Q13=0,E13="",I13=""),"",IF(Q13&gt;=I13,"HABIL","NO HABIL"))</f>
        <v>HABIL</v>
      </c>
      <c r="T13" s="76"/>
      <c r="U13" s="77"/>
      <c r="V13" s="64"/>
      <c r="W13" s="64"/>
    </row>
    <row r="14" spans="1:23" ht="13">
      <c r="A14" s="101"/>
      <c r="B14" s="347">
        <f>+'Capacidad Financiera'!B14</f>
        <v>1.1000000000000001</v>
      </c>
      <c r="C14" s="348" t="str">
        <f>IF(ISERROR(VLOOKUP(B14,'Capacidad Financiera'!$B$13:$AB$58078,2,0)),"",VLOOKUP(B14,'Capacidad Financiera'!$B$13:$AB$58078,2,0))</f>
        <v>MEGA CONSTRUCCIONES PACK SAS</v>
      </c>
      <c r="D14" s="349">
        <f>IF(ISERROR(VLOOKUP(B14,'Capacidad Financiera'!$B$13:$AB$58078,3,0)),"",VLOOKUP(B14,'Capacidad Financiera'!$B$13:$AB$58078,3,0))</f>
        <v>0.9</v>
      </c>
      <c r="E14" s="350">
        <f>'Capacidad Financiera'!M14</f>
        <v>0</v>
      </c>
      <c r="F14" s="351" t="str">
        <f>IF(ISERROR(VLOOKUP(E14,POA!$A$2:$D$7,2,0)),"",VLOOKUP(E14,POA!$A$2:$D$7,2,0))</f>
        <v/>
      </c>
      <c r="G14" s="351" t="str">
        <f>IF(ISERROR(VLOOKUP(E14,POA!$A$2:$D$7,3,0)),"",VLOOKUP(E14,POA!$A$2:$D$7,4,0))</f>
        <v/>
      </c>
      <c r="H14" s="350" t="str">
        <f>IF(ISERROR(VLOOKUP(E14,POA!$A$2:$D$2,3,0)),"",VLOOKUP(E14,POA!$A$2:$D$2,3,0))</f>
        <v/>
      </c>
      <c r="I14" s="352" t="str">
        <f t="shared" si="0"/>
        <v/>
      </c>
      <c r="J14" s="353">
        <f>IF(IF(ISERROR(VLOOKUP(B14,'Cap Organización'!$B$14:$H$1048576,3,0)),"",VLOOKUP(B14,'Cap Organización'!$B$14:$H$1048576,3,0))=0,"",IF(ISERROR(VLOOKUP(B14,'Cap Organización'!$B$14:$H$1048576,3,0)),"",VLOOKUP(B14,'Cap Organización'!$B$14:$H$1048576,3,0)))</f>
        <v>1245178490</v>
      </c>
      <c r="K14" s="354">
        <f>IF(ISERROR(VLOOKUP(B14,'Puntaje Exp'!$B$14:$I$1048576,8,0)),"",VLOOKUP(B14,'Puntaje Exp'!$B$14:$I$1048576,8,0))</f>
        <v>120</v>
      </c>
      <c r="L14" s="354">
        <f>+'Capacidad Financiera'!O14</f>
        <v>0</v>
      </c>
      <c r="M14" s="354" t="str">
        <f>IF(ISERROR(VLOOKUP(L14,POA!$A$2:$F$7,6,0)),"",VLOOKUP(L14,POA!$A$2:$F$7,6,0))</f>
        <v/>
      </c>
      <c r="N14" s="354">
        <f>IF(ISERROR(VLOOKUP(B14,'Puntaje CT'!$B$14:$H$1048576,4,0)),"",VLOOKUP(B14,'Puntaje CT'!$B$14:$H$1048576,4,0))</f>
        <v>0</v>
      </c>
      <c r="O14" s="354">
        <f>IF(ISERROR(VLOOKUP(B14,'Puntaje CF'!$B$14:$H$1048576,6,0)),"",VLOOKUP(B14,'Puntaje CF'!$B$14:$H$1048576,6,0))</f>
        <v>40</v>
      </c>
      <c r="P14" s="353">
        <f>IF(IF(ISERROR(VLOOKUP(B14,'Saldo CtosEjecución'!$B$14:$H$1048576,3,0)),"",VLOOKUP(B14,'Saldo CtosEjecución'!$B$14:$H$1048576,3,0))=0,"",IF(ISERROR(VLOOKUP(B14,'Saldo CtosEjecución'!$B$14:$H$1048576,3,0)),"",VLOOKUP(B14,'Saldo CtosEjecución'!$B$14:$H$1048576,3,0)))</f>
        <v>1</v>
      </c>
      <c r="Q14" s="355">
        <f>IF(OR(J14="",K14="",N14="",O14="",P14=""),"",(J14*((K14+N14+O14)/100))-P14)</f>
        <v>1992285583</v>
      </c>
      <c r="R14" s="356" t="str">
        <f>+IF(OR(Q13=0,E14="",I14=""),"",IF(Q13&gt;=I14,"HABIL","NO HABIL"))</f>
        <v/>
      </c>
    </row>
    <row r="15" spans="1:23" ht="13.5" thickBot="1">
      <c r="A15" s="101"/>
      <c r="B15" s="357">
        <f>+'Capacidad Financiera'!B15</f>
        <v>1.2</v>
      </c>
      <c r="C15" s="358" t="str">
        <f>IF(ISERROR(VLOOKUP(B15,'Capacidad Financiera'!$B$13:$AB$58078,2,0)),"",VLOOKUP(B15,'Capacidad Financiera'!$B$13:$AB$58078,2,0))</f>
        <v>MTS CONTRUCCIONES SAS</v>
      </c>
      <c r="D15" s="359">
        <f>IF(ISERROR(VLOOKUP(B15,'Capacidad Financiera'!$B$13:$AB$58078,3,0)),"",VLOOKUP(B15,'Capacidad Financiera'!$B$13:$AB$58078,3,0))</f>
        <v>0.1</v>
      </c>
      <c r="E15" s="360">
        <f>'Capacidad Financiera'!M15</f>
        <v>0</v>
      </c>
      <c r="F15" s="361" t="str">
        <f>IF(ISERROR(VLOOKUP(E15,POA!$A$2:$D$7,2,0)),"",VLOOKUP(E15,POA!$A$2:$D$7,2,0))</f>
        <v/>
      </c>
      <c r="G15" s="361" t="str">
        <f>IF(ISERROR(VLOOKUP(E15,POA!$A$2:$D$7,3,0)),"",VLOOKUP(E15,POA!$A$2:$D$7,4,0))</f>
        <v/>
      </c>
      <c r="H15" s="360" t="str">
        <f>IF(ISERROR(VLOOKUP(E15,POA!$A$2:$D$2,3,0)),"",VLOOKUP(E15,POA!$A$2:$D$2,3,0))</f>
        <v/>
      </c>
      <c r="I15" s="362" t="str">
        <f t="shared" si="0"/>
        <v/>
      </c>
      <c r="J15" s="363">
        <f>IF(IF(ISERROR(VLOOKUP(B15,'Cap Organización'!$B$14:$H$1048576,3,0)),"",VLOOKUP(B15,'Cap Organización'!$B$14:$H$1048576,3,0))=0,"",IF(ISERROR(VLOOKUP(B15,'Cap Organización'!$B$14:$H$1048576,3,0)),"",VLOOKUP(B15,'Cap Organización'!$B$14:$H$1048576,3,0)))</f>
        <v>21958962450</v>
      </c>
      <c r="K15" s="364">
        <f>IF(ISERROR(VLOOKUP(B15,'Puntaje Exp'!$B$14:$I$1048576,8,0)),"",VLOOKUP(B15,'Puntaje Exp'!$B$14:$I$1048576,8,0))</f>
        <v>120</v>
      </c>
      <c r="L15" s="365">
        <f>+'Capacidad Financiera'!O15</f>
        <v>0</v>
      </c>
      <c r="M15" s="365" t="str">
        <f>IF(ISERROR(VLOOKUP(L15,POA!$A$2:$F$7,6,0)),"",VLOOKUP(L15,POA!$A$2:$F$7,6,0))</f>
        <v/>
      </c>
      <c r="N15" s="364">
        <f>IF(ISERROR(VLOOKUP(B15,'Puntaje CT'!$B$14:$H$1048576,4,0)),"",VLOOKUP(B15,'Puntaje CT'!$B$14:$H$1048576,4,0))</f>
        <v>20</v>
      </c>
      <c r="O15" s="364">
        <f>IF(ISERROR(VLOOKUP(B15,'Puntaje CF'!$B$14:$H$1048576,6,0)),"",VLOOKUP(B15,'Puntaje CF'!$B$14:$H$1048576,6,0))</f>
        <v>40</v>
      </c>
      <c r="P15" s="363">
        <f>IF(IF(ISERROR(VLOOKUP(B15,'Saldo CtosEjecución'!$B$14:$H$1048576,3,0)),"",VLOOKUP(B15,'Saldo CtosEjecución'!$B$14:$H$1048576,3,0))=0,"",IF(ISERROR(VLOOKUP(B15,'Saldo CtosEjecución'!$B$14:$H$1048576,3,0)),"",VLOOKUP(B15,'Saldo CtosEjecución'!$B$14:$H$1048576,3,0)))</f>
        <v>4211121600.9000001</v>
      </c>
      <c r="Q15" s="366">
        <f>IF(OR(J15="",K15="",N15="",O15="",P15=""),"",(J15*((K15+N15+O15)/100))-P15)</f>
        <v>35315010809.099998</v>
      </c>
      <c r="R15" s="367" t="str">
        <f>+IF(OR(Q13=0,E15="",I15=""),"",IF(Q13&gt;=I15,"HABIL","NO HABIL"))</f>
        <v/>
      </c>
    </row>
    <row r="16" spans="1:23" ht="12" customHeight="1">
      <c r="B16" s="340">
        <v>2</v>
      </c>
      <c r="C16" s="341" t="str">
        <f>IF(ISERROR(VLOOKUP(B16,'Capacidad Financiera'!$B$13:$AB$58078,2,0)),"",VLOOKUP(B16,'Capacidad Financiera'!$B$13:$AB$58078,2,0))</f>
        <v>YAMEL ARANGO PINILLA</v>
      </c>
      <c r="D16" s="342">
        <f>IF(ISERROR(VLOOKUP(B16,'Capacidad Financiera'!$B$13:$AB$58078,3,0)),"",VLOOKUP(B16,'Capacidad Financiera'!$B$13:$AB$58078,3,0))</f>
        <v>1</v>
      </c>
      <c r="E16" s="343">
        <f>'Capacidad Financiera'!M16</f>
        <v>1</v>
      </c>
      <c r="F16" s="344">
        <f>IF(ISERROR(VLOOKUP(E16,POA!$A$2:$D$7,2,0)),"",VLOOKUP(E16,POA!$A$2:$D$7,2,0))</f>
        <v>1200000000</v>
      </c>
      <c r="G16" s="344">
        <f>IF(ISERROR(VLOOKUP(E16,POA!$A$2:$D$7,3,0)),"",VLOOKUP(E16,POA!$A$2:$D$7,4,0))</f>
        <v>120000000</v>
      </c>
      <c r="H16" s="343">
        <f>IF(ISERROR(VLOOKUP(E16,POA!$A$2:$D$2,3,0)),"",VLOOKUP(E16,POA!$A$2:$D$2,3,0))</f>
        <v>4</v>
      </c>
      <c r="I16" s="341">
        <f t="shared" si="0"/>
        <v>1080000000</v>
      </c>
      <c r="J16" s="343"/>
      <c r="K16" s="341"/>
      <c r="L16" s="341"/>
      <c r="M16" s="341">
        <f>+SUM(M17:M19)</f>
        <v>0</v>
      </c>
      <c r="N16" s="343" t="str">
        <f>IF(ISERROR(VLOOKUP(J16,POA!$A$2:$C$2,3,0)),"",VLOOKUP(J16,POA!$A$2:$C$2,3,0))</f>
        <v/>
      </c>
      <c r="O16" s="341" t="str">
        <f t="shared" ref="O16" si="2">IF(ISERROR(+K16/N16),"",(K16/N16))</f>
        <v/>
      </c>
      <c r="P16" s="345"/>
      <c r="Q16" s="345">
        <f>SUM(Q17:Q19)</f>
        <v>0.8</v>
      </c>
      <c r="R16" s="346" t="str">
        <f>+IF(OR(Q16=0,E16="",I16=""),"",IF(Q16&gt;=I16,"HABIL","NO HABIL"))</f>
        <v>NO HABIL</v>
      </c>
    </row>
    <row r="17" spans="1:18" ht="12" customHeight="1">
      <c r="A17" s="101"/>
      <c r="B17" s="185">
        <f>+'Capacidad Financiera'!B17</f>
        <v>2.1</v>
      </c>
      <c r="C17" s="54" t="str">
        <f>IF(ISERROR(VLOOKUP(B17,'Capacidad Financiera'!$B$13:$AB$58078,2,0)),"",VLOOKUP(B17,'Capacidad Financiera'!$B$13:$AB$58078,2,0))</f>
        <v>YAMEL ARANGO PINILLA</v>
      </c>
      <c r="D17" s="175">
        <f>IF(ISERROR(VLOOKUP(B17,'Capacidad Financiera'!$B$13:$AB$58078,3,0)),"",VLOOKUP(B17,'Capacidad Financiera'!$B$13:$AB$58078,3,0))</f>
        <v>1</v>
      </c>
      <c r="E17" s="192">
        <f>'Capacidad Financiera'!M17</f>
        <v>0</v>
      </c>
      <c r="F17" s="176" t="str">
        <f>IF(ISERROR(VLOOKUP(E17,POA!$A$2:$D$7,2,0)),"",VLOOKUP(E17,POA!$A$2:$D$7,2,0))</f>
        <v/>
      </c>
      <c r="G17" s="176" t="str">
        <f>IF(ISERROR(VLOOKUP(E17,POA!$A$2:$D$7,3,0)),"",VLOOKUP(E17,POA!$A$2:$D$7,4,0))</f>
        <v/>
      </c>
      <c r="H17" s="192" t="str">
        <f>IF(ISERROR(VLOOKUP(E17,POA!$A$2:$D$2,3,0)),"",VLOOKUP(E17,POA!$A$2:$D$2,3,0))</f>
        <v/>
      </c>
      <c r="I17" s="193" t="str">
        <f t="shared" si="0"/>
        <v/>
      </c>
      <c r="J17" s="194">
        <f>IF(IF(ISERROR(VLOOKUP(B17,'Cap Organización'!$B$14:$H$1048576,3,0)),"",VLOOKUP(B17,'Cap Organización'!$B$14:$H$1048576,3,0))=0,"",IF(ISERROR(VLOOKUP(B17,'Cap Organización'!$B$14:$H$1048576,3,0)),"",VLOOKUP(B17,'Cap Organización'!$B$14:$H$1048576,3,0)))</f>
        <v>1</v>
      </c>
      <c r="K17" s="323">
        <f>IF(ISERROR(VLOOKUP(B17,'Puntaje Exp'!$B$14:$I$1048576,8,0)),"",VLOOKUP(B17,'Puntaje Exp'!$B$14:$I$1048576,8,0))</f>
        <v>120</v>
      </c>
      <c r="L17" s="323" t="e">
        <f>+'Capacidad Financiera'!#REF!</f>
        <v>#REF!</v>
      </c>
      <c r="M17" s="323" t="str">
        <f>IF(ISERROR(VLOOKUP(L17,POA!$A$2:$F$7,6,0)),"",VLOOKUP(L17,POA!$A$2:$F$7,6,0))</f>
        <v/>
      </c>
      <c r="N17" s="323">
        <f>IF(ISERROR(VLOOKUP(B17,'Puntaje CT'!$B$14:$H$1048576,4,0)),"",VLOOKUP(B17,'Puntaje CT'!$B$14:$H$1048576,4,0))</f>
        <v>20</v>
      </c>
      <c r="O17" s="323">
        <f>IF(ISERROR(VLOOKUP(B17,'Puntaje CF'!$B$14:$H$1048576,6,0)),"",VLOOKUP(B17,'Puntaje CF'!$B$14:$H$1048576,6,0))</f>
        <v>40</v>
      </c>
      <c r="P17" s="194">
        <f>IF(IF(ISERROR(VLOOKUP(B17,'Saldo CtosEjecución'!$B$14:$H$1048576,3,0)),"",VLOOKUP(B17,'Saldo CtosEjecución'!$B$14:$H$1048576,3,0))=0,"",IF(ISERROR(VLOOKUP(B17,'Saldo CtosEjecución'!$B$14:$H$1048576,3,0)),"",VLOOKUP(B17,'Saldo CtosEjecución'!$B$14:$H$1048576,3,0)))</f>
        <v>1</v>
      </c>
      <c r="Q17" s="195">
        <f>IF(OR(J17="",K17="",N17="",O17="",P17=""),"",(J17*((K17+N17+O17)/100))-P17)</f>
        <v>0.8</v>
      </c>
      <c r="R17" s="196" t="str">
        <f>+IF(OR(Q16=0,E17="",I17=""),"",IF(Q16&gt;=I17,"HABIL","NO HABIL"))</f>
        <v/>
      </c>
    </row>
    <row r="18" spans="1:18" ht="12" customHeight="1">
      <c r="A18" s="101"/>
      <c r="B18" s="185">
        <f>+'Capacidad Financiera'!B18</f>
        <v>0</v>
      </c>
      <c r="C18" s="54" t="str">
        <f>IF(ISERROR(VLOOKUP(B18,'Capacidad Financiera'!$B$13:$AB$58078,2,0)),"",VLOOKUP(B18,'Capacidad Financiera'!$B$13:$AB$58078,2,0))</f>
        <v/>
      </c>
      <c r="D18" s="175" t="str">
        <f>IF(ISERROR(VLOOKUP(B18,'Capacidad Financiera'!$B$13:$AB$58078,3,0)),"",VLOOKUP(B18,'Capacidad Financiera'!$B$13:$AB$58078,3,0))</f>
        <v/>
      </c>
      <c r="E18" s="192">
        <f>'Capacidad Financiera'!M18</f>
        <v>0</v>
      </c>
      <c r="F18" s="176" t="str">
        <f>IF(ISERROR(VLOOKUP(E18,POA!$A$2:$D$7,2,0)),"",VLOOKUP(E18,POA!$A$2:$D$7,2,0))</f>
        <v/>
      </c>
      <c r="G18" s="176" t="str">
        <f>IF(ISERROR(VLOOKUP(E18,POA!$A$2:$D$7,3,0)),"",VLOOKUP(E18,POA!$A$2:$D$7,4,0))</f>
        <v/>
      </c>
      <c r="H18" s="192" t="str">
        <f>IF(ISERROR(VLOOKUP(E18,POA!$A$2:$D$2,3,0)),"",VLOOKUP(E18,POA!$A$2:$D$2,3,0))</f>
        <v/>
      </c>
      <c r="I18" s="193" t="str">
        <f t="shared" si="0"/>
        <v/>
      </c>
      <c r="J18" s="194" t="str">
        <f>IF(IF(ISERROR(VLOOKUP(B18,'Cap Organización'!$B$14:$H$1048576,3,0)),"",VLOOKUP(B18,'Cap Organización'!$B$14:$H$1048576,3,0))=0,"",IF(ISERROR(VLOOKUP(B18,'Cap Organización'!$B$14:$H$1048576,3,0)),"",VLOOKUP(B18,'Cap Organización'!$B$14:$H$1048576,3,0)))</f>
        <v/>
      </c>
      <c r="K18" s="323" t="str">
        <f>IF(ISERROR(VLOOKUP(B18,'Puntaje Exp'!$B$14:$I$1048576,8,0)),"",VLOOKUP(B18,'Puntaje Exp'!$B$14:$I$1048576,8,0))</f>
        <v/>
      </c>
      <c r="L18" s="186" t="e">
        <f>+'Capacidad Financiera'!#REF!</f>
        <v>#REF!</v>
      </c>
      <c r="M18" s="186" t="str">
        <f>IF(ISERROR(VLOOKUP(L18,POA!$A$2:$F$7,6,0)),"",VLOOKUP(L18,POA!$A$2:$F$7,6,0))</f>
        <v/>
      </c>
      <c r="N18" s="323" t="str">
        <f>IF(ISERROR(VLOOKUP(B18,'Puntaje CT'!$B$14:$H$1048576,4,0)),"",VLOOKUP(B18,'Puntaje CT'!$B$14:$H$1048576,4,0))</f>
        <v/>
      </c>
      <c r="O18" s="323" t="str">
        <f>IF(ISERROR(VLOOKUP(B18,'Puntaje CF'!$B$14:$H$1048576,6,0)),"",VLOOKUP(B18,'Puntaje CF'!$B$14:$H$1048576,6,0))</f>
        <v/>
      </c>
      <c r="P18" s="194" t="str">
        <f>IF(IF(ISERROR(VLOOKUP(B18,'Saldo CtosEjecución'!$B$14:$H$1048576,3,0)),"",VLOOKUP(B18,'Saldo CtosEjecución'!$B$14:$H$1048576,3,0))=0,"",IF(ISERROR(VLOOKUP(B18,'Saldo CtosEjecución'!$B$14:$H$1048576,3,0)),"",VLOOKUP(B18,'Saldo CtosEjecución'!$B$14:$H$1048576,3,0)))</f>
        <v/>
      </c>
      <c r="Q18" s="195" t="str">
        <f>IF(OR(J18="",K18="",N18="",O18="",P18=""),"",(J18*((K18+N18+O18)/100))-P18)</f>
        <v/>
      </c>
      <c r="R18" s="196" t="str">
        <f>+IF(OR(Q16=0,E18="",I18=""),"",IF(Q16&gt;=I18,"HABIL","NO HABIL"))</f>
        <v/>
      </c>
    </row>
    <row r="19" spans="1:18" ht="12" customHeight="1" thickBot="1">
      <c r="B19" s="185" t="str">
        <f>+'Capacidad Financiera'!B19</f>
        <v/>
      </c>
      <c r="C19" s="54">
        <f>IF(ISERROR(VLOOKUP(B19,'Capacidad Financiera'!$B$13:$AB$58078,2,0)),"",VLOOKUP(B19,'Capacidad Financiera'!$B$13:$AB$58078,2,0))</f>
        <v>0</v>
      </c>
      <c r="D19" s="175">
        <f>IF(ISERROR(VLOOKUP(B19,'Capacidad Financiera'!$B$13:$AB$58078,3,0)),"",VLOOKUP(B19,'Capacidad Financiera'!$B$13:$AB$58078,3,0))</f>
        <v>0</v>
      </c>
      <c r="E19" s="192">
        <f>'Capacidad Financiera'!M19</f>
        <v>0</v>
      </c>
      <c r="F19" s="176" t="str">
        <f>IF(ISERROR(VLOOKUP(E19,POA!$A$2:$D$7,2,0)),"",VLOOKUP(E19,POA!$A$2:$D$7,2,0))</f>
        <v/>
      </c>
      <c r="G19" s="176" t="str">
        <f>IF(ISERROR(VLOOKUP(E19,POA!$A$2:$D$7,3,0)),"",VLOOKUP(E19,POA!$A$2:$D$7,4,0))</f>
        <v/>
      </c>
      <c r="H19" s="192" t="str">
        <f>IF(ISERROR(VLOOKUP(E19,POA!$A$2:$D$2,3,0)),"",VLOOKUP(E19,POA!$A$2:$D$2,3,0))</f>
        <v/>
      </c>
      <c r="I19" s="193" t="str">
        <f t="shared" si="0"/>
        <v/>
      </c>
      <c r="J19" s="194" t="str">
        <f>IF(IF(ISERROR(VLOOKUP(B19,'Cap Organización'!$B$14:$H$1048576,3,0)),"",VLOOKUP(B19,'Cap Organización'!$B$14:$H$1048576,3,0))=0,"",IF(ISERROR(VLOOKUP(B19,'Cap Organización'!$B$14:$H$1048576,3,0)),"",VLOOKUP(B19,'Cap Organización'!$B$14:$H$1048576,3,0)))</f>
        <v/>
      </c>
      <c r="K19" s="323" t="str">
        <f>IF(ISERROR(VLOOKUP(B19,'Puntaje Exp'!$B$14:$I$1048576,8,0)),"",VLOOKUP(B19,'Puntaje Exp'!$B$14:$I$1048576,8,0))</f>
        <v/>
      </c>
      <c r="L19" s="186" t="e">
        <f>+'Capacidad Financiera'!#REF!</f>
        <v>#REF!</v>
      </c>
      <c r="M19" s="186" t="str">
        <f>IF(ISERROR(VLOOKUP(L19,POA!$A$2:$F$7,6,0)),"",VLOOKUP(L19,POA!$A$2:$F$7,6,0))</f>
        <v/>
      </c>
      <c r="N19" s="323" t="str">
        <f>IF(ISERROR(VLOOKUP(B19,'Puntaje CT'!$B$14:$H$1048576,4,0)),"",VLOOKUP(B19,'Puntaje CT'!$B$14:$H$1048576,4,0))</f>
        <v/>
      </c>
      <c r="O19" s="323" t="str">
        <f>IF(ISERROR(VLOOKUP(B19,'Puntaje CF'!$B$14:$H$1048576,6,0)),"",VLOOKUP(B19,'Puntaje CF'!$B$14:$H$1048576,6,0))</f>
        <v/>
      </c>
      <c r="P19" s="194" t="str">
        <f>IF(IF(ISERROR(VLOOKUP(B19,'Saldo CtosEjecución'!$B$14:$H$1048576,3,0)),"",VLOOKUP(B19,'Saldo CtosEjecución'!$B$14:$H$1048576,3,0))=0,"",IF(ISERROR(VLOOKUP(B19,'Saldo CtosEjecución'!$B$14:$H$1048576,3,0)),"",VLOOKUP(B19,'Saldo CtosEjecución'!$B$14:$H$1048576,3,0)))</f>
        <v/>
      </c>
      <c r="Q19" s="195" t="str">
        <f t="shared" ref="Q19" si="3">IF(OR(J19="",K19="",N19="",O19="",P19=""),"",(J19*((K19+N19+O19)/100))-P19)</f>
        <v/>
      </c>
      <c r="R19" s="196" t="str">
        <f>+IF(OR(Q16=0,E19="",I19=""),"",IF(Q16&gt;=I19,"HABIL","NO HABIL"))</f>
        <v/>
      </c>
    </row>
    <row r="20" spans="1:18" ht="13">
      <c r="B20" s="259">
        <f>+'Capacidad Financiera'!B20</f>
        <v>3</v>
      </c>
      <c r="C20" s="48" t="str">
        <f>IF(ISERROR(VLOOKUP(B20,'Capacidad Financiera'!$B$13:$AB$58078,2,0)),"",VLOOKUP(B20,'Capacidad Financiera'!$B$13:$AB$58078,2,0))</f>
        <v xml:space="preserve">ARMANDO MARTINEZ SPADAFORA </v>
      </c>
      <c r="D20" s="49">
        <f>IF(ISERROR(VLOOKUP(B20,'Capacidad Financiera'!$B$13:$AB$58078,3,0)),"",VLOOKUP(B20,'Capacidad Financiera'!$B$13:$AB$58078,3,0))</f>
        <v>1</v>
      </c>
      <c r="E20" s="51">
        <f>'Capacidad Financiera'!M20</f>
        <v>1</v>
      </c>
      <c r="F20" s="50">
        <f>IF(ISERROR(VLOOKUP(E20,POA!$A$2:$D$7,2,0)),"",VLOOKUP(E20,POA!$A$2:$D$7,2,0))</f>
        <v>1200000000</v>
      </c>
      <c r="G20" s="50">
        <f>IF(ISERROR(VLOOKUP(E20,POA!$A$2:$D$7,3,0)),"",VLOOKUP(E20,POA!$A$2:$D$7,4,0))</f>
        <v>120000000</v>
      </c>
      <c r="H20" s="51">
        <f>IF(ISERROR(VLOOKUP(E20,POA!$A$2:$D$2,3,0)),"",VLOOKUP(E20,POA!$A$2:$D$2,3,0))</f>
        <v>4</v>
      </c>
      <c r="I20" s="48">
        <f t="shared" si="0"/>
        <v>1080000000</v>
      </c>
      <c r="J20" s="51"/>
      <c r="K20" s="48"/>
      <c r="L20" s="48"/>
      <c r="M20" s="48">
        <f>+SUM(M21:M21)</f>
        <v>0</v>
      </c>
      <c r="N20" s="51" t="str">
        <f>IF(ISERROR(VLOOKUP(J20,POA!$A$2:$C$2,3,0)),"",VLOOKUP(J20,POA!$A$2:$C$2,3,0))</f>
        <v/>
      </c>
      <c r="O20" s="48" t="str">
        <f t="shared" ref="O20" si="4">IF(ISERROR(+K20/N20),"",(K20/N20))</f>
        <v/>
      </c>
      <c r="P20" s="53">
        <v>0</v>
      </c>
      <c r="Q20" s="53">
        <f>SUM(Q21:Q21)</f>
        <v>2519999999</v>
      </c>
      <c r="R20" s="100" t="str">
        <f>+IF(OR(Q20=0,E20="",I20=""),"",IF(Q20&gt;=I20,"HABIL","NO HABIL"))</f>
        <v>HABIL</v>
      </c>
    </row>
    <row r="21" spans="1:18" ht="13.5" thickBot="1">
      <c r="A21" s="101"/>
      <c r="B21" s="185">
        <v>3.1</v>
      </c>
      <c r="C21" s="54" t="s">
        <v>267</v>
      </c>
      <c r="D21" s="175">
        <v>1</v>
      </c>
      <c r="E21" s="192">
        <f>'Capacidad Financiera'!M21</f>
        <v>0</v>
      </c>
      <c r="F21" s="176" t="str">
        <f>IF(ISERROR(VLOOKUP(E21,POA!$A$2:$D$7,2,0)),"",VLOOKUP(E21,POA!$A$2:$D$7,2,0))</f>
        <v/>
      </c>
      <c r="G21" s="176" t="str">
        <f>IF(ISERROR(VLOOKUP(E21,POA!$A$2:$D$7,3,0)),"",VLOOKUP(E21,POA!$A$2:$D$7,4,0))</f>
        <v/>
      </c>
      <c r="H21" s="192" t="str">
        <f>IF(ISERROR(VLOOKUP(E21,POA!$A$2:$D$2,3,0)),"",VLOOKUP(E21,POA!$A$2:$D$2,3,0))</f>
        <v/>
      </c>
      <c r="I21" s="193" t="str">
        <f t="shared" si="0"/>
        <v/>
      </c>
      <c r="J21" s="194">
        <f>IF(IF(ISERROR(VLOOKUP(B21,'Cap Organización'!$B$14:$H$1048576,3,0)),"",VLOOKUP(B21,'Cap Organización'!$B$14:$H$1048576,3,0))=0,"",IF(ISERROR(VLOOKUP(B21,'Cap Organización'!$B$14:$H$1048576,3,0)),"",VLOOKUP(B21,'Cap Organización'!$B$14:$H$1048576,3,0)))</f>
        <v>1400000000</v>
      </c>
      <c r="K21" s="323">
        <f>IF(ISERROR(VLOOKUP(B21,'Puntaje Exp'!$B$14:$I$1048576,8,0)),"",VLOOKUP(B21,'Puntaje Exp'!$B$14:$I$1048576,8,0))</f>
        <v>120</v>
      </c>
      <c r="L21" s="323" t="e">
        <f>+'Capacidad Financiera'!#REF!</f>
        <v>#REF!</v>
      </c>
      <c r="M21" s="323" t="str">
        <f>IF(ISERROR(VLOOKUP(L21,POA!$A$2:$F$7,6,0)),"",VLOOKUP(L21,POA!$A$2:$F$7,6,0))</f>
        <v/>
      </c>
      <c r="N21" s="323">
        <f>IF(ISERROR(VLOOKUP(B21,'Puntaje CT'!$B$14:$H$1048576,4,0)),"",VLOOKUP(B21,'Puntaje CT'!$B$14:$H$1048576,4,0))</f>
        <v>20</v>
      </c>
      <c r="O21" s="323">
        <f>IF(ISERROR(VLOOKUP(B21,'Puntaje CF'!$B$14:$H$1048576,6,0)),"",VLOOKUP(B21,'Puntaje CF'!$B$14:$H$1048576,6,0))</f>
        <v>40</v>
      </c>
      <c r="P21" s="194">
        <f>IF(IF(ISERROR(VLOOKUP(B21,'Saldo CtosEjecución'!$B$14:$H$1048576,3,0)),"",VLOOKUP(B21,'Saldo CtosEjecución'!$B$14:$H$1048576,3,0))=0,"",IF(ISERROR(VLOOKUP(B21,'Saldo CtosEjecución'!$B$14:$H$1048576,3,0)),"",VLOOKUP(B21,'Saldo CtosEjecución'!$B$14:$H$1048576,3,0)))</f>
        <v>1</v>
      </c>
      <c r="Q21" s="195">
        <f>IF(OR(J21="",K21="",N21="",O21="",P21=""),"",(J21*((K21+N21+O21)/100))-P21)</f>
        <v>2519999999</v>
      </c>
      <c r="R21" s="196" t="str">
        <f>+IF(OR(Q20=0,E21="",I21=""),"",IF(Q20&gt;=I21,"HABIL","NO HABIL"))</f>
        <v/>
      </c>
    </row>
    <row r="22" spans="1:18" ht="13">
      <c r="B22" s="259">
        <f>+'Capacidad Financiera'!B22</f>
        <v>4</v>
      </c>
      <c r="C22" s="48" t="str">
        <f>IF(ISERROR(VLOOKUP(B22,'Capacidad Financiera'!$B$13:$AB$58078,2,0)),"",VLOOKUP(B22,'Capacidad Financiera'!$B$13:$AB$58078,2,0))</f>
        <v>CELAS S.A.S.</v>
      </c>
      <c r="D22" s="49">
        <f>IF(ISERROR(VLOOKUP(B22,'Capacidad Financiera'!$B$13:$AB$58078,3,0)),"",VLOOKUP(B22,'Capacidad Financiera'!$B$13:$AB$58078,3,0))</f>
        <v>1</v>
      </c>
      <c r="E22" s="51">
        <f>'Capacidad Financiera'!M22</f>
        <v>1</v>
      </c>
      <c r="F22" s="50">
        <f>IF(ISERROR(VLOOKUP(E22,POA!$A$2:$D$7,2,0)),"",VLOOKUP(E22,POA!$A$2:$D$7,2,0))</f>
        <v>1200000000</v>
      </c>
      <c r="G22" s="50">
        <f>IF(ISERROR(VLOOKUP(E22,POA!$A$2:$D$7,3,0)),"",VLOOKUP(E22,POA!$A$2:$D$7,4,0))</f>
        <v>120000000</v>
      </c>
      <c r="H22" s="51">
        <f>IF(ISERROR(VLOOKUP(E22,POA!$A$2:$D$2,3,0)),"",VLOOKUP(E22,POA!$A$2:$D$2,3,0))</f>
        <v>4</v>
      </c>
      <c r="I22" s="48">
        <f t="shared" si="0"/>
        <v>1080000000</v>
      </c>
      <c r="J22" s="51"/>
      <c r="K22" s="48"/>
      <c r="L22" s="48"/>
      <c r="M22" s="48">
        <f>+SUM(M23:M23)</f>
        <v>0</v>
      </c>
      <c r="N22" s="51" t="str">
        <f>IF(ISERROR(VLOOKUP(J22,POA!$A$2:$C$2,3,0)),"",VLOOKUP(J22,POA!$A$2:$C$2,3,0))</f>
        <v/>
      </c>
      <c r="O22" s="48" t="str">
        <f t="shared" ref="O22" si="5">IF(ISERROR(+K22/N22),"",(K22/N22))</f>
        <v/>
      </c>
      <c r="P22" s="53">
        <v>0</v>
      </c>
      <c r="Q22" s="53">
        <f>SUM(Q23:Q23)</f>
        <v>10843121761.60453</v>
      </c>
      <c r="R22" s="100" t="str">
        <f>+IF(OR(Q22=0,E22="",I22=""),"",IF(Q22&gt;=I22,"HABIL","NO HABIL"))</f>
        <v>HABIL</v>
      </c>
    </row>
    <row r="23" spans="1:18" ht="13.5" thickBot="1">
      <c r="A23" s="101"/>
      <c r="B23" s="185">
        <v>4.0999999999999996</v>
      </c>
      <c r="C23" s="54" t="str">
        <f>IF(ISERROR(VLOOKUP(B23,'Capacidad Financiera'!$B$13:$AB$58078,2,0)),"",VLOOKUP(B23,'Capacidad Financiera'!$B$13:$AB$58078,2,0))</f>
        <v>CELAS S.A.S.</v>
      </c>
      <c r="D23" s="175">
        <f>IF(ISERROR(VLOOKUP(B23,'Capacidad Financiera'!$B$13:$AB$58078,3,0)),"",VLOOKUP(B23,'Capacidad Financiera'!$B$13:$AB$58078,3,0))</f>
        <v>1</v>
      </c>
      <c r="E23" s="192">
        <f>'Capacidad Financiera'!M23</f>
        <v>0</v>
      </c>
      <c r="F23" s="176" t="str">
        <f>IF(ISERROR(VLOOKUP(E23,POA!$A$2:$D$7,2,0)),"",VLOOKUP(E23,POA!$A$2:$D$7,2,0))</f>
        <v/>
      </c>
      <c r="G23" s="176" t="str">
        <f>IF(ISERROR(VLOOKUP(E23,POA!$A$2:$D$7,3,0)),"",VLOOKUP(E23,POA!$A$2:$D$7,4,0))</f>
        <v/>
      </c>
      <c r="H23" s="192" t="str">
        <f>IF(ISERROR(VLOOKUP(E23,POA!$A$2:$D$2,3,0)),"",VLOOKUP(E23,POA!$A$2:$D$2,3,0))</f>
        <v/>
      </c>
      <c r="I23" s="193" t="str">
        <f t="shared" si="0"/>
        <v/>
      </c>
      <c r="J23" s="194">
        <f>IF(IF(ISERROR(VLOOKUP(B23,'Cap Organización'!$B$14:$H$1048576,3,0)),"",VLOOKUP(B23,'Cap Organización'!$B$14:$H$1048576,3,0))=0,"",IF(ISERROR(VLOOKUP(B23,'Cap Organización'!$B$14:$H$1048576,3,0)),"",VLOOKUP(B23,'Cap Organización'!$B$14:$H$1048576,3,0)))</f>
        <v>7014000000</v>
      </c>
      <c r="K23" s="323">
        <f>IF(ISERROR(VLOOKUP(B23,'Puntaje Exp'!$B$14:$I$1048576,8,0)),"",VLOOKUP(B23,'Puntaje Exp'!$B$14:$I$1048576,8,0))</f>
        <v>120</v>
      </c>
      <c r="L23" s="323" t="e">
        <f>+'Capacidad Financiera'!#REF!</f>
        <v>#REF!</v>
      </c>
      <c r="M23" s="323" t="str">
        <f>IF(ISERROR(VLOOKUP(L23,POA!$A$2:$F$7,6,0)),"",VLOOKUP(L23,POA!$A$2:$F$7,6,0))</f>
        <v/>
      </c>
      <c r="N23" s="323">
        <f>IF(ISERROR(VLOOKUP(B23,'Puntaje CT'!$B$14:$H$1048576,4,0)),"",VLOOKUP(B23,'Puntaje CT'!$B$14:$H$1048576,4,0))</f>
        <v>20</v>
      </c>
      <c r="O23" s="323">
        <f>IF(ISERROR(VLOOKUP(B23,'Puntaje CF'!$B$14:$H$1048576,6,0)),"",VLOOKUP(B23,'Puntaje CF'!$B$14:$H$1048576,6,0))</f>
        <v>40</v>
      </c>
      <c r="P23" s="194">
        <f>IF(IF(ISERROR(VLOOKUP(B23,'Saldo CtosEjecución'!$B$14:$H$1048576,3,0)),"",VLOOKUP(B23,'Saldo CtosEjecución'!$B$14:$H$1048576,3,0))=0,"",IF(ISERROR(VLOOKUP(B23,'Saldo CtosEjecución'!$B$14:$H$1048576,3,0)),"",VLOOKUP(B23,'Saldo CtosEjecución'!$B$14:$H$1048576,3,0)))</f>
        <v>1782078238.3954692</v>
      </c>
      <c r="Q23" s="195">
        <f>IF(OR(J23="",K23="",N23="",O23="",P23=""),"",(J23*((K23+N23+O23)/100))-P23)</f>
        <v>10843121761.60453</v>
      </c>
      <c r="R23" s="196" t="str">
        <f>+IF(OR(Q22=0,E23="",I23=""),"",IF(Q22&gt;=I23,"HABIL","NO HABIL"))</f>
        <v/>
      </c>
    </row>
    <row r="24" spans="1:18" ht="13">
      <c r="B24" s="259">
        <f>+'Capacidad Financiera'!B24</f>
        <v>5</v>
      </c>
      <c r="C24" s="48" t="str">
        <f>IF(ISERROR(VLOOKUP(B24,'Capacidad Financiera'!$B$13:$AB$58078,2,0)),"",VLOOKUP(B24,'Capacidad Financiera'!$B$13:$AB$58078,2,0))</f>
        <v>GEPAV S.A.S.</v>
      </c>
      <c r="D24" s="49">
        <f>IF(ISERROR(VLOOKUP(B24,'Capacidad Financiera'!$B$13:$AB$58078,3,0)),"",VLOOKUP(B24,'Capacidad Financiera'!$B$13:$AB$58078,3,0))</f>
        <v>1</v>
      </c>
      <c r="E24" s="51">
        <f>'Capacidad Financiera'!M24</f>
        <v>1</v>
      </c>
      <c r="F24" s="50">
        <f>IF(ISERROR(VLOOKUP(E24,POA!$A$2:$D$7,2,0)),"",VLOOKUP(E24,POA!$A$2:$D$7,2,0))</f>
        <v>1200000000</v>
      </c>
      <c r="G24" s="50">
        <f>IF(ISERROR(VLOOKUP(E24,POA!$A$2:$D$7,3,0)),"",VLOOKUP(E24,POA!$A$2:$D$7,4,0))</f>
        <v>120000000</v>
      </c>
      <c r="H24" s="51">
        <f>IF(ISERROR(VLOOKUP(E24,POA!$A$2:$D$2,3,0)),"",VLOOKUP(E24,POA!$A$2:$D$2,3,0))</f>
        <v>4</v>
      </c>
      <c r="I24" s="48">
        <f t="shared" si="0"/>
        <v>1080000000</v>
      </c>
      <c r="J24" s="51"/>
      <c r="K24" s="48"/>
      <c r="L24" s="48"/>
      <c r="M24" s="48">
        <f>+SUM(M25:M25)</f>
        <v>0</v>
      </c>
      <c r="N24" s="51" t="str">
        <f>IF(ISERROR(VLOOKUP(J24,POA!$A$2:$C$2,3,0)),"",VLOOKUP(J24,POA!$A$2:$C$2,3,0))</f>
        <v/>
      </c>
      <c r="O24" s="48" t="str">
        <f t="shared" ref="O24" si="6">IF(ISERROR(+K24/N24),"",(K24/N24))</f>
        <v/>
      </c>
      <c r="P24" s="53"/>
      <c r="Q24" s="53">
        <f>SUM(Q25:Q25)</f>
        <v>5751478325.4000006</v>
      </c>
      <c r="R24" s="100" t="str">
        <f>+IF(OR(Q24=0,E24="",I24=""),"",IF(Q24&gt;=I24,"HABIL","NO HABIL"))</f>
        <v>HABIL</v>
      </c>
    </row>
    <row r="25" spans="1:18" ht="13">
      <c r="B25" s="185">
        <v>5.0999999999999996</v>
      </c>
      <c r="C25" s="54" t="str">
        <f>IF(ISERROR(VLOOKUP(B25,'Capacidad Financiera'!$B$13:$AB$58078,2,0)),"",VLOOKUP(B25,'Capacidad Financiera'!$B$13:$AB$58078,2,0))</f>
        <v>GEPAV S.A.S.</v>
      </c>
      <c r="D25" s="175">
        <f>IF(ISERROR(VLOOKUP(B25,'Capacidad Financiera'!$B$13:$AB$58078,3,0)),"",VLOOKUP(B25,'Capacidad Financiera'!$B$13:$AB$58078,3,0))</f>
        <v>1</v>
      </c>
      <c r="E25" s="192">
        <f>'Capacidad Financiera'!M25</f>
        <v>0</v>
      </c>
      <c r="F25" s="176" t="str">
        <f>IF(ISERROR(VLOOKUP(E25,POA!$A$2:$D$7,2,0)),"",VLOOKUP(E25,POA!$A$2:$D$7,2,0))</f>
        <v/>
      </c>
      <c r="G25" s="176" t="str">
        <f>IF(ISERROR(VLOOKUP(E25,POA!$A$2:$D$7,3,0)),"",VLOOKUP(E25,POA!$A$2:$D$7,4,0))</f>
        <v/>
      </c>
      <c r="H25" s="192" t="str">
        <f>IF(ISERROR(VLOOKUP(E25,POA!$A$2:$D$2,3,0)),"",VLOOKUP(E25,POA!$A$2:$D$2,3,0))</f>
        <v/>
      </c>
      <c r="I25" s="193" t="str">
        <f t="shared" si="0"/>
        <v/>
      </c>
      <c r="J25" s="194">
        <f>IF(IF(ISERROR(VLOOKUP(B25,'Cap Organización'!$B$14:$H$1048576,3,0)),"",VLOOKUP(B25,'Cap Organización'!$B$14:$H$1048576,3,0))=0,"",IF(ISERROR(VLOOKUP(B25,'Cap Organización'!$B$14:$H$1048576,3,0)),"",VLOOKUP(B25,'Cap Organización'!$B$14:$H$1048576,3,0)))</f>
        <v>3363964123</v>
      </c>
      <c r="K25" s="323">
        <f>IF(ISERROR(VLOOKUP(B25,'Puntaje Exp'!$B$14:$I$1048576,8,0)),"",VLOOKUP(B25,'Puntaje Exp'!$B$14:$I$1048576,8,0))</f>
        <v>120</v>
      </c>
      <c r="L25" s="323" t="e">
        <f>+'Capacidad Financiera'!#REF!</f>
        <v>#REF!</v>
      </c>
      <c r="M25" s="323" t="str">
        <f>IF(ISERROR(VLOOKUP(L25,POA!$A$2:$F$7,6,0)),"",VLOOKUP(L25,POA!$A$2:$F$7,6,0))</f>
        <v/>
      </c>
      <c r="N25" s="323">
        <f>IF(ISERROR(VLOOKUP(B25,'Puntaje CT'!$B$14:$H$1048576,4,0)),"",VLOOKUP(B25,'Puntaje CT'!$B$14:$H$1048576,4,0))</f>
        <v>20</v>
      </c>
      <c r="O25" s="323">
        <f>IF(ISERROR(VLOOKUP(B25,'Puntaje CF'!$B$14:$H$1048576,6,0)),"",VLOOKUP(B25,'Puntaje CF'!$B$14:$H$1048576,6,0))</f>
        <v>40</v>
      </c>
      <c r="P25" s="194">
        <f>IF(IF(ISERROR(VLOOKUP(B25,'Saldo CtosEjecución'!$B$14:$H$1048576,3,0)),"",VLOOKUP(B25,'Saldo CtosEjecución'!$B$14:$H$1048576,3,0))=0,"",IF(ISERROR(VLOOKUP(B25,'Saldo CtosEjecución'!$B$14:$H$1048576,3,0)),"",VLOOKUP(B25,'Saldo CtosEjecución'!$B$14:$H$1048576,3,0)))</f>
        <v>303657096</v>
      </c>
      <c r="Q25" s="195">
        <f>IF(OR(J25="",K25="",N25="",O25="",P25=""),"",(J25*((K25+N25+O25)/100))-P25)</f>
        <v>5751478325.4000006</v>
      </c>
      <c r="R25" s="196" t="str">
        <f>+IF(OR(Q24=0,E25="",I25=""),"",IF(Q24&gt;=I25,"HABIL","NO HABIL"))</f>
        <v/>
      </c>
    </row>
    <row r="26" spans="1:18" ht="14.5" thickBot="1">
      <c r="B26" s="185">
        <v>5.2</v>
      </c>
      <c r="C26" s="262"/>
      <c r="D26" s="283">
        <v>0.1</v>
      </c>
      <c r="E26" s="296">
        <f>'Capacidad Financiera'!M26</f>
        <v>0</v>
      </c>
      <c r="F26" s="285"/>
      <c r="G26" s="285"/>
      <c r="H26" s="296"/>
      <c r="I26" s="297"/>
      <c r="J26" s="298" t="str">
        <f>IF(IF(ISERROR(VLOOKUP(B26,'Cap Organización'!$B$14:$H$1048576,3,0)),"",VLOOKUP(B26,'Cap Organización'!$B$14:$H$1048576,3,0))=0,"",IF(ISERROR(VLOOKUP(B26,'Cap Organización'!$B$14:$H$1048576,3,0)),"",VLOOKUP(B26,'Cap Organización'!$B$14:$H$1048576,3,0)))</f>
        <v/>
      </c>
      <c r="K26" s="299" t="str">
        <f>IF(ISERROR(VLOOKUP(B26,'Puntaje Exp'!$B$14:$I$1048576,8,0)),"",VLOOKUP(B26,'Puntaje Exp'!$B$14:$I$1048576,8,0))</f>
        <v/>
      </c>
      <c r="L26" s="299" t="e">
        <f>+'Capacidad Financiera'!#REF!</f>
        <v>#REF!</v>
      </c>
      <c r="M26" s="299" t="str">
        <f>IF(ISERROR(VLOOKUP(L26,POA!$A$2:$F$7,6,0)),"",VLOOKUP(L26,POA!$A$2:$F$7,6,0))</f>
        <v/>
      </c>
      <c r="N26" s="299" t="str">
        <f>IF(ISERROR(VLOOKUP(B26,'Puntaje CT'!$B$14:$H$1048576,4,0)),"",VLOOKUP(B26,'Puntaje CT'!$B$14:$H$1048576,4,0))</f>
        <v/>
      </c>
      <c r="O26" s="299" t="str">
        <f>IF(ISERROR(VLOOKUP(B26,'Puntaje CF'!$B$14:$H$1048576,6,0)),"",VLOOKUP(B26,'Puntaje CF'!$B$14:$H$1048576,6,0))</f>
        <v/>
      </c>
      <c r="P26" s="300" t="str">
        <f>IF(IF(ISERROR(VLOOKUP(B26,'Saldo CtosEjecución'!$B$14:$H$1048576,3,0)),"",VLOOKUP(B26,'Saldo CtosEjecución'!$B$14:$H$1048576,3,0))=0,"",IF(ISERROR(VLOOKUP(B26,'Saldo CtosEjecución'!$B$14:$H$1048576,3,0)),"",VLOOKUP(B26,'Saldo CtosEjecución'!$B$14:$H$1048576,3,0)))</f>
        <v/>
      </c>
      <c r="Q26" s="301" t="str">
        <f>IF(OR(J26="",K26="",N26="",O26="",P26=""),"",(J26*((K26+N26+O26)/100))-P26)</f>
        <v/>
      </c>
      <c r="R26" s="302" t="str">
        <f>+IF(OR(Q24=0,E26="",I26=""),"",IF(Q24&gt;=I26,"HABIL","NO HABIL"))</f>
        <v/>
      </c>
    </row>
    <row r="27" spans="1:18" ht="13">
      <c r="B27" s="259">
        <f>+'Capacidad Financiera'!B27</f>
        <v>6</v>
      </c>
      <c r="C27" s="48" t="s">
        <v>271</v>
      </c>
      <c r="D27" s="49">
        <f>IF(ISERROR(VLOOKUP(B27,'Capacidad Financiera'!$B$13:$AB$58078,3,0)),"",VLOOKUP(B27,'Capacidad Financiera'!$B$13:$AB$58078,3,0))</f>
        <v>1</v>
      </c>
      <c r="E27" s="51">
        <f>'Capacidad Financiera'!M27</f>
        <v>1</v>
      </c>
      <c r="F27" s="50">
        <f>IF(ISERROR(VLOOKUP(E27,POA!$A$2:$D$7,2,0)),"",VLOOKUP(E27,POA!$A$2:$D$7,2,0))</f>
        <v>1200000000</v>
      </c>
      <c r="G27" s="50">
        <f>IF(ISERROR(VLOOKUP(E27,POA!$A$2:$D$7,3,0)),"",VLOOKUP(E27,POA!$A$2:$D$7,4,0))</f>
        <v>120000000</v>
      </c>
      <c r="H27" s="51">
        <f>IF(ISERROR(VLOOKUP(E27,POA!$A$2:$D$2,3,0)),"",VLOOKUP(E27,POA!$A$2:$D$2,3,0))</f>
        <v>4</v>
      </c>
      <c r="I27" s="48">
        <f t="shared" si="0"/>
        <v>1080000000</v>
      </c>
      <c r="J27" s="51"/>
      <c r="K27" s="48"/>
      <c r="L27" s="48"/>
      <c r="M27" s="48">
        <f>+SUM(M28:M28)</f>
        <v>0</v>
      </c>
      <c r="N27" s="51" t="str">
        <f>IF(ISERROR(VLOOKUP(J27,POA!$A$2:$C$2,3,0)),"",VLOOKUP(J27,POA!$A$2:$C$2,3,0))</f>
        <v/>
      </c>
      <c r="O27" s="48" t="str">
        <f t="shared" ref="O27" si="7">IF(ISERROR(+K27/N27),"",(K27/N27))</f>
        <v/>
      </c>
      <c r="P27" s="53"/>
      <c r="Q27" s="53">
        <f>SUM(Q28:Q28)</f>
        <v>4348541308.79</v>
      </c>
      <c r="R27" s="100" t="str">
        <f>+IF(OR(Q27=0,E27="",I27=""),"",IF(Q27&gt;=I27,"HABIL","NO HABIL"))</f>
        <v>HABIL</v>
      </c>
    </row>
    <row r="28" spans="1:18" ht="13">
      <c r="A28" s="257"/>
      <c r="B28" s="185">
        <v>6.1</v>
      </c>
      <c r="C28" s="54" t="s">
        <v>271</v>
      </c>
      <c r="D28" s="175">
        <f>IF(ISERROR(VLOOKUP(B28,'Capacidad Financiera'!$B$13:$AB$58078,3,0)),"",VLOOKUP(B28,'Capacidad Financiera'!$B$13:$AB$58078,3,0))</f>
        <v>1</v>
      </c>
      <c r="E28" s="192">
        <f>'Capacidad Financiera'!M28</f>
        <v>0</v>
      </c>
      <c r="F28" s="176" t="str">
        <f>IF(ISERROR(VLOOKUP(E28,POA!$A$2:$D$7,2,0)),"",VLOOKUP(E28,POA!$A$2:$D$7,2,0))</f>
        <v/>
      </c>
      <c r="G28" s="176" t="str">
        <f>IF(ISERROR(VLOOKUP(E28,POA!$A$2:$D$7,3,0)),"",VLOOKUP(E28,POA!$A$2:$D$7,4,0))</f>
        <v/>
      </c>
      <c r="H28" s="192" t="str">
        <f>IF(ISERROR(VLOOKUP(E28,POA!$A$2:$D$2,3,0)),"",VLOOKUP(E28,POA!$A$2:$D$2,3,0))</f>
        <v/>
      </c>
      <c r="I28" s="193" t="str">
        <f t="shared" si="0"/>
        <v/>
      </c>
      <c r="J28" s="194">
        <f>IF(IF(ISERROR(VLOOKUP(B28,'Cap Organización'!$B$14:$H$1048576,3,0)),"",VLOOKUP(B28,'Cap Organización'!$B$14:$H$1048576,3,0))=0,"",IF(ISERROR(VLOOKUP(B28,'Cap Organización'!$B$14:$H$1048576,3,0)),"",VLOOKUP(B28,'Cap Organización'!$B$14:$H$1048576,3,0)))</f>
        <v>2976344640</v>
      </c>
      <c r="K28" s="323">
        <f>IF(ISERROR(VLOOKUP(B28,'Puntaje Exp'!$B$14:$I$1048576,8,0)),"",VLOOKUP(B28,'Puntaje Exp'!$B$14:$I$1048576,8,0))</f>
        <v>120</v>
      </c>
      <c r="L28" s="323" t="e">
        <f>+'Capacidad Financiera'!#REF!</f>
        <v>#REF!</v>
      </c>
      <c r="M28" s="323" t="str">
        <f>IF(ISERROR(VLOOKUP(L28,POA!$A$2:$F$7,6,0)),"",VLOOKUP(L28,POA!$A$2:$F$7,6,0))</f>
        <v/>
      </c>
      <c r="N28" s="323">
        <f>IF(ISERROR(VLOOKUP(B28,'Puntaje CT'!$B$14:$H$1048576,4,0)),"",VLOOKUP(B28,'Puntaje CT'!$B$14:$H$1048576,4,0))</f>
        <v>20</v>
      </c>
      <c r="O28" s="323">
        <f>IF(ISERROR(VLOOKUP(B28,'Puntaje CF'!$B$14:$H$1048576,6,0)),"",VLOOKUP(B28,'Puntaje CF'!$B$14:$H$1048576,6,0))</f>
        <v>40</v>
      </c>
      <c r="P28" s="194">
        <f>IF(IF(ISERROR(VLOOKUP(B28,'Saldo CtosEjecución'!$B$14:$H$1048576,3,0)),"",VLOOKUP(B28,'Saldo CtosEjecución'!$B$14:$H$1048576,3,0))=0,"",IF(ISERROR(VLOOKUP(B28,'Saldo CtosEjecución'!$B$14:$H$1048576,3,0)),"",VLOOKUP(B28,'Saldo CtosEjecución'!$B$14:$H$1048576,3,0)))</f>
        <v>1008879043.21</v>
      </c>
      <c r="Q28" s="195">
        <f>IF(OR(J28="",K28="",N28="",O28="",P28=""),"",(J28*((K28+N28+O28)/100))-P28)</f>
        <v>4348541308.79</v>
      </c>
      <c r="R28" s="196" t="str">
        <f>+IF(OR(Q27=0,E28="",I28=""),"",IF(Q27&gt;=I28,"HABIL","NO HABIL"))</f>
        <v/>
      </c>
    </row>
    <row r="29" spans="1:18" ht="14.5" thickBot="1">
      <c r="A29" s="257"/>
      <c r="B29" s="185">
        <v>6.2</v>
      </c>
      <c r="C29" s="262"/>
      <c r="D29" s="283">
        <v>0.1</v>
      </c>
      <c r="E29" s="296">
        <f>'Capacidad Financiera'!M29</f>
        <v>0</v>
      </c>
      <c r="F29" s="285"/>
      <c r="G29" s="285"/>
      <c r="H29" s="296"/>
      <c r="I29" s="297"/>
      <c r="J29" s="298" t="str">
        <f>IF(IF(ISERROR(VLOOKUP(B29,'Cap Organización'!$B$14:$H$1048576,3,0)),"",VLOOKUP(B29,'Cap Organización'!$B$14:$H$1048576,3,0))=0,"",IF(ISERROR(VLOOKUP(B29,'Cap Organización'!$B$14:$H$1048576,3,0)),"",VLOOKUP(B29,'Cap Organización'!$B$14:$H$1048576,3,0)))</f>
        <v/>
      </c>
      <c r="K29" s="299" t="str">
        <f>IF(ISERROR(VLOOKUP(B29,'Puntaje Exp'!$B$14:$I$1048576,8,0)),"",VLOOKUP(B29,'Puntaje Exp'!$B$14:$I$1048576,8,0))</f>
        <v/>
      </c>
      <c r="L29" s="299" t="e">
        <f>+'Capacidad Financiera'!#REF!</f>
        <v>#REF!</v>
      </c>
      <c r="M29" s="299" t="str">
        <f>IF(ISERROR(VLOOKUP(L29,POA!$A$2:$F$7,6,0)),"",VLOOKUP(L29,POA!$A$2:$F$7,6,0))</f>
        <v/>
      </c>
      <c r="N29" s="299" t="str">
        <f>IF(ISERROR(VLOOKUP(B29,'Puntaje CT'!$B$14:$H$1048576,4,0)),"",VLOOKUP(B29,'Puntaje CT'!$B$14:$H$1048576,4,0))</f>
        <v/>
      </c>
      <c r="O29" s="299" t="str">
        <f>IF(ISERROR(VLOOKUP(B29,'Puntaje CF'!$B$14:$H$1048576,6,0)),"",VLOOKUP(B29,'Puntaje CF'!$B$14:$H$1048576,6,0))</f>
        <v/>
      </c>
      <c r="P29" s="300" t="str">
        <f>IF(IF(ISERROR(VLOOKUP(B29,'Saldo CtosEjecución'!$B$14:$H$1048576,3,0)),"",VLOOKUP(B29,'Saldo CtosEjecución'!$B$14:$H$1048576,3,0))=0,"",IF(ISERROR(VLOOKUP(B29,'Saldo CtosEjecución'!$B$14:$H$1048576,3,0)),"",VLOOKUP(B29,'Saldo CtosEjecución'!$B$14:$H$1048576,3,0)))</f>
        <v/>
      </c>
      <c r="Q29" s="301" t="str">
        <f>IF(OR(J29="",K29="",N29="",O29="",P29=""),"",(J29*((K29+N29+O29)/100))-P29)</f>
        <v/>
      </c>
      <c r="R29" s="302" t="str">
        <f>+IF(OR(Q27=0,E29="",I29=""),"",IF(Q27&gt;=I29,"HABIL","NO HABIL"))</f>
        <v/>
      </c>
    </row>
    <row r="30" spans="1:18" ht="13">
      <c r="B30" s="259">
        <f>+'Capacidad Financiera'!B30</f>
        <v>7</v>
      </c>
      <c r="C30" s="48" t="str">
        <f>IF(ISERROR(VLOOKUP(B30,'Capacidad Financiera'!$B$13:$AB$58078,2,0)),"",VLOOKUP(B30,'Capacidad Financiera'!$B$13:$AB$58078,2,0))</f>
        <v>CONSORCIO INFRAESTRUCTURA 2024</v>
      </c>
      <c r="D30" s="49">
        <f>IF(ISERROR(VLOOKUP(B30,'Capacidad Financiera'!$B$13:$AB$58078,3,0)),"",VLOOKUP(B30,'Capacidad Financiera'!$B$13:$AB$58078,3,0))</f>
        <v>1</v>
      </c>
      <c r="E30" s="51">
        <f>'Capacidad Financiera'!M30</f>
        <v>1</v>
      </c>
      <c r="F30" s="50">
        <f>IF(ISERROR(VLOOKUP(E30,POA!$A$2:$D$7,2,0)),"",VLOOKUP(E30,POA!$A$2:$D$7,2,0))</f>
        <v>1200000000</v>
      </c>
      <c r="G30" s="50">
        <f>IF(ISERROR(VLOOKUP(E30,POA!$A$2:$D$7,3,0)),"",VLOOKUP(E30,POA!$A$2:$D$7,4,0))</f>
        <v>120000000</v>
      </c>
      <c r="H30" s="51">
        <f>IF(ISERROR(VLOOKUP(E30,POA!$A$2:$D$2,3,0)),"",VLOOKUP(E30,POA!$A$2:$D$2,3,0))</f>
        <v>4</v>
      </c>
      <c r="I30" s="48">
        <f t="shared" si="0"/>
        <v>1080000000</v>
      </c>
      <c r="J30" s="51"/>
      <c r="K30" s="48"/>
      <c r="L30" s="48"/>
      <c r="M30" s="48">
        <f>+SUM(M31:M32)</f>
        <v>0</v>
      </c>
      <c r="N30" s="51" t="str">
        <f>IF(ISERROR(VLOOKUP(J30,POA!$A$2:$C$2,3,0)),"",VLOOKUP(J30,POA!$A$2:$C$2,3,0))</f>
        <v/>
      </c>
      <c r="O30" s="48" t="str">
        <f t="shared" ref="O30" si="8">IF(ISERROR(+K30/N30),"",(K30/N30))</f>
        <v/>
      </c>
      <c r="P30" s="53"/>
      <c r="Q30" s="301">
        <f>SUM(Q31:Q32)</f>
        <v>17870847327.883999</v>
      </c>
      <c r="R30" s="100" t="str">
        <f>+IF(OR(Q30=0,E30="",I30=""),"",IF(Q30&gt;=I30,"HABIL","NO HABIL"))</f>
        <v>HABIL</v>
      </c>
    </row>
    <row r="31" spans="1:18" ht="13">
      <c r="B31" s="185">
        <v>7.1</v>
      </c>
      <c r="C31" s="54" t="str">
        <f>IF(ISERROR(VLOOKUP(B31,'Capacidad Financiera'!$B$13:$AB$58078,2,0)),"",VLOOKUP(B31,'Capacidad Financiera'!$B$13:$AB$58078,2,0))</f>
        <v>AGINSA INGENIERIA S.A.S.</v>
      </c>
      <c r="D31" s="175">
        <f>IF(ISERROR(VLOOKUP(B31,'Capacidad Financiera'!$B$13:$AB$58078,3,0)),"",VLOOKUP(B31,'Capacidad Financiera'!$B$13:$AB$58078,3,0))</f>
        <v>0.9</v>
      </c>
      <c r="E31" s="192">
        <f>'Capacidad Financiera'!M31</f>
        <v>0</v>
      </c>
      <c r="F31" s="176" t="str">
        <f>IF(ISERROR(VLOOKUP(E31,POA!$A$2:$D$7,2,0)),"",VLOOKUP(E31,POA!$A$2:$D$7,2,0))</f>
        <v/>
      </c>
      <c r="G31" s="176" t="str">
        <f>IF(ISERROR(VLOOKUP(E31,POA!$A$2:$D$7,3,0)),"",VLOOKUP(E31,POA!$A$2:$D$7,4,0))</f>
        <v/>
      </c>
      <c r="H31" s="192" t="str">
        <f>IF(ISERROR(VLOOKUP(E31,POA!$A$2:$D$2,3,0)),"",VLOOKUP(E31,POA!$A$2:$D$2,3,0))</f>
        <v/>
      </c>
      <c r="I31" s="193" t="str">
        <f t="shared" si="0"/>
        <v/>
      </c>
      <c r="J31" s="194">
        <f>IF(IF(ISERROR(VLOOKUP(B31,'Cap Organización'!$B$14:$H$1048576,3,0)),"",VLOOKUP(B31,'Cap Organización'!$B$14:$H$1048576,3,0))=0,"",IF(ISERROR(VLOOKUP(B31,'Cap Organización'!$B$14:$H$1048576,3,0)),"",VLOOKUP(B31,'Cap Organización'!$B$14:$H$1048576,3,0)))</f>
        <v>10755472774.780001</v>
      </c>
      <c r="K31" s="323">
        <f>IF(ISERROR(VLOOKUP(B31,'Puntaje Exp'!$B$14:$I$1048576,8,0)),"",VLOOKUP(B31,'Puntaje Exp'!$B$14:$I$1048576,8,0))</f>
        <v>120</v>
      </c>
      <c r="L31" s="323">
        <f>+'Capacidad Financiera'!O31</f>
        <v>0</v>
      </c>
      <c r="M31" s="323" t="str">
        <f>IF(ISERROR(VLOOKUP(L31,POA!$A$2:$F$7,6,0)),"",VLOOKUP(L31,POA!$A$2:$F$7,6,0))</f>
        <v/>
      </c>
      <c r="N31" s="323">
        <f>IF(ISERROR(VLOOKUP(B31,'Puntaje CT'!$B$14:$H$1048576,4,0)),"",VLOOKUP(B31,'Puntaje CT'!$B$14:$H$1048576,4,0))</f>
        <v>20</v>
      </c>
      <c r="O31" s="323">
        <f>IF(ISERROR(VLOOKUP(B31,'Puntaje CF'!$B$14:$H$1048576,6,0)),"",VLOOKUP(B31,'Puntaje CF'!$B$14:$H$1048576,6,0))</f>
        <v>40</v>
      </c>
      <c r="P31" s="194">
        <f>IF(IF(ISERROR(VLOOKUP(B31,'Saldo CtosEjecución'!$B$14:$H$1048576,3,0)),"",VLOOKUP(B31,'Saldo CtosEjecución'!$B$14:$H$1048576,3,0))=0,"",IF(ISERROR(VLOOKUP(B31,'Saldo CtosEjecución'!$B$14:$H$1048576,3,0)),"",VLOOKUP(B31,'Saldo CtosEjecución'!$B$14:$H$1048576,3,0)))</f>
        <v>2409475924.3200002</v>
      </c>
      <c r="Q31" s="195">
        <f>IF(OR(J31="",K31="",N31="",O31="",P31=""),"",(J31*((K31+N31+O31)/100))-P31)</f>
        <v>16950375070.284</v>
      </c>
      <c r="R31" s="196" t="str">
        <f>+IF(OR(Q30=0,E31="",I31=""),"",IF(Q30&gt;=I31,"HABIL","NO HABIL"))</f>
        <v/>
      </c>
    </row>
    <row r="32" spans="1:18" ht="13.5" thickBot="1">
      <c r="B32" s="185">
        <v>7.2</v>
      </c>
      <c r="C32" s="338" t="str">
        <f>IF(ISERROR(VLOOKUP(B32,'Capacidad Financiera'!$B$13:$AB$58078,2,0)),"",VLOOKUP(B32,'Capacidad Financiera'!$B$13:$AB$58078,2,0))</f>
        <v>CEINGCO S.A.S.</v>
      </c>
      <c r="D32" s="283">
        <v>0.1</v>
      </c>
      <c r="E32" s="296">
        <f>'Capacidad Financiera'!M32</f>
        <v>0</v>
      </c>
      <c r="F32" s="285"/>
      <c r="G32" s="285"/>
      <c r="H32" s="296"/>
      <c r="I32" s="297"/>
      <c r="J32" s="298">
        <f>IF(IF(ISERROR(VLOOKUP(B32,'Cap Organización'!$B$14:$H$1048576,3,0)),"",VLOOKUP(B32,'Cap Organización'!$B$14:$H$1048576,3,0))=0,"",IF(ISERROR(VLOOKUP(B32,'Cap Organización'!$B$14:$H$1048576,3,0)),"",VLOOKUP(B32,'Cap Organización'!$B$14:$H$1048576,3,0)))</f>
        <v>511373477</v>
      </c>
      <c r="K32" s="299">
        <f>IF(ISERROR(VLOOKUP(B32,'Puntaje Exp'!$B$14:$I$1048576,8,0)),"",VLOOKUP(B32,'Puntaje Exp'!$B$14:$I$1048576,8,0))</f>
        <v>120</v>
      </c>
      <c r="L32" s="299">
        <f>+'Capacidad Financiera'!O32</f>
        <v>0</v>
      </c>
      <c r="M32" s="299" t="str">
        <f>IF(ISERROR(VLOOKUP(L32,POA!$A$2:$F$7,6,0)),"",VLOOKUP(L32,POA!$A$2:$F$7,6,0))</f>
        <v/>
      </c>
      <c r="N32" s="299">
        <f>IF(ISERROR(VLOOKUP(B32,'Puntaje CT'!$B$14:$H$1048576,4,0)),"",VLOOKUP(B32,'Puntaje CT'!$B$14:$H$1048576,4,0))</f>
        <v>20</v>
      </c>
      <c r="O32" s="299">
        <f>IF(ISERROR(VLOOKUP(B32,'Puntaje CF'!$B$14:$H$1048576,6,0)),"",VLOOKUP(B32,'Puntaje CF'!$B$14:$H$1048576,6,0))</f>
        <v>40</v>
      </c>
      <c r="P32" s="300">
        <f>IF(IF(ISERROR(VLOOKUP(B32,'Saldo CtosEjecución'!$B$14:$H$1048576,3,0)),"",VLOOKUP(B32,'Saldo CtosEjecución'!$B$14:$H$1048576,3,0))=0,"",IF(ISERROR(VLOOKUP(B32,'Saldo CtosEjecución'!$B$14:$H$1048576,3,0)),"",VLOOKUP(B32,'Saldo CtosEjecución'!$B$14:$H$1048576,3,0)))</f>
        <v>1</v>
      </c>
      <c r="Q32" s="301">
        <f>IF(OR(J32="",K32="",N32="",O32="",P32=""),"",(J32*((K32+N32+O32)/100))-P32)</f>
        <v>920472257.60000002</v>
      </c>
      <c r="R32" s="302"/>
    </row>
    <row r="33" spans="2:18" ht="13">
      <c r="B33" s="259">
        <f>+'Capacidad Financiera'!B33</f>
        <v>8</v>
      </c>
      <c r="C33" s="48" t="str">
        <f>IF(ISERROR(VLOOKUP(B33,'Capacidad Financiera'!$B$13:$AB$58078,2,0)),"",VLOOKUP(B33,'Capacidad Financiera'!$B$13:$AB$58078,2,0))</f>
        <v xml:space="preserve">CONSORCIO PROGRESAR </v>
      </c>
      <c r="D33" s="49">
        <f>IF(ISERROR(VLOOKUP(B33,'Capacidad Financiera'!$B$13:$AB$58078,3,0)),"",VLOOKUP(B33,'Capacidad Financiera'!$B$13:$AB$58078,3,0))</f>
        <v>1</v>
      </c>
      <c r="E33" s="51">
        <f>'Capacidad Financiera'!M33</f>
        <v>1</v>
      </c>
      <c r="F33" s="50">
        <f>IF(ISERROR(VLOOKUP(E33,POA!$A$2:$D$7,2,0)),"",VLOOKUP(E33,POA!$A$2:$D$7,2,0))</f>
        <v>1200000000</v>
      </c>
      <c r="G33" s="50">
        <f>IF(ISERROR(VLOOKUP(E33,POA!$A$2:$D$7,3,0)),"",VLOOKUP(E33,POA!$A$2:$D$7,4,0))</f>
        <v>120000000</v>
      </c>
      <c r="H33" s="51">
        <f>IF(ISERROR(VLOOKUP(E33,POA!$A$2:$D$2,3,0)),"",VLOOKUP(E33,POA!$A$2:$D$2,3,0))</f>
        <v>4</v>
      </c>
      <c r="I33" s="48">
        <f t="shared" si="0"/>
        <v>1080000000</v>
      </c>
      <c r="J33" s="51"/>
      <c r="K33" s="48"/>
      <c r="L33" s="48"/>
      <c r="M33" s="48" t="e">
        <f>+SUM(#REF!)</f>
        <v>#REF!</v>
      </c>
      <c r="N33" s="51" t="str">
        <f>IF(ISERROR(VLOOKUP(J33,POA!$A$2:$C$2,3,0)),"",VLOOKUP(J33,POA!$A$2:$C$2,3,0))</f>
        <v/>
      </c>
      <c r="O33" s="48" t="str">
        <f t="shared" ref="O33" si="9">IF(ISERROR(+K33/N33),"",(K33/N33))</f>
        <v/>
      </c>
      <c r="P33" s="53"/>
      <c r="Q33" s="53">
        <f>SUM(Q34:Q34)</f>
        <v>1456511432</v>
      </c>
      <c r="R33" s="100" t="str">
        <f>+IF(OR(Q33=0,E33="",I33=""),"",IF(Q33&gt;=I33,"HABIL","NO HABIL"))</f>
        <v>HABIL</v>
      </c>
    </row>
    <row r="34" spans="2:18" ht="13">
      <c r="B34" s="185">
        <f>+'Capacidad Financiera'!B34</f>
        <v>8.1</v>
      </c>
      <c r="C34" s="54" t="str">
        <f>IF(ISERROR(VLOOKUP(B34,'Capacidad Financiera'!$B$13:$AB$58078,2,0)),"",VLOOKUP(B34,'Capacidad Financiera'!$B$13:$AB$58078,2,0))</f>
        <v>INGENIECOL S.A.S.</v>
      </c>
      <c r="D34" s="175">
        <v>0.9</v>
      </c>
      <c r="E34" s="192">
        <f>'Capacidad Financiera'!M34</f>
        <v>0</v>
      </c>
      <c r="F34" s="176" t="str">
        <f>IF(ISERROR(VLOOKUP(E34,POA!$A$2:$D$7,2,0)),"",VLOOKUP(E34,POA!$A$2:$D$7,2,0))</f>
        <v/>
      </c>
      <c r="G34" s="176" t="str">
        <f>IF(ISERROR(VLOOKUP(E34,POA!$A$2:$D$7,3,0)),"",VLOOKUP(E34,POA!$A$2:$D$7,4,0))</f>
        <v/>
      </c>
      <c r="H34" s="192" t="str">
        <f>IF(ISERROR(VLOOKUP(E34,POA!$A$2:$D$2,3,0)),"",VLOOKUP(E34,POA!$A$2:$D$2,3,0))</f>
        <v/>
      </c>
      <c r="I34" s="193" t="str">
        <f t="shared" si="0"/>
        <v/>
      </c>
      <c r="J34" s="194">
        <f>IF(IF(ISERROR(VLOOKUP(B34,'Cap Organización'!$B$14:$H$1048576,3,0)),"",VLOOKUP(B34,'Cap Organización'!$B$14:$H$1048576,3,0))=0,"",IF(ISERROR(VLOOKUP(B34,'Cap Organización'!$B$14:$H$1048576,3,0)),"",VLOOKUP(B34,'Cap Organización'!$B$14:$H$1048576,3,0)))</f>
        <v>910319645</v>
      </c>
      <c r="K34" s="323">
        <f>IF(ISERROR(VLOOKUP(B34,'Puntaje Exp'!$B$14:$I$1048576,8,0)),"",VLOOKUP(B34,'Puntaje Exp'!$B$14:$I$1048576,8,0))</f>
        <v>100</v>
      </c>
      <c r="L34" s="323" t="e">
        <f>+'Capacidad Financiera'!#REF!</f>
        <v>#REF!</v>
      </c>
      <c r="M34" s="323" t="str">
        <f>IF(ISERROR(VLOOKUP(L34,POA!$A$2:$F$7,6,0)),"",VLOOKUP(L34,POA!$A$2:$F$7,6,0))</f>
        <v/>
      </c>
      <c r="N34" s="323">
        <f>IF(ISERROR(VLOOKUP(B34,'Puntaje CT'!$B$14:$H$1048576,4,0)),"",VLOOKUP(B34,'Puntaje CT'!$B$14:$H$1048576,4,0))</f>
        <v>20</v>
      </c>
      <c r="O34" s="323">
        <f>IF(ISERROR(VLOOKUP(B34,'Puntaje CF'!$B$14:$H$1048576,6,0)),"",VLOOKUP(B34,'Puntaje CF'!$B$14:$H$1048576,6,0))</f>
        <v>40</v>
      </c>
      <c r="P34" s="194">
        <v>0</v>
      </c>
      <c r="Q34" s="195">
        <f>IF(OR(J34="",K34="",N34="",O34="",P34=""),"",(J34*((K34+N34+O34)/100))-P34)</f>
        <v>1456511432</v>
      </c>
      <c r="R34" s="196" t="str">
        <f>+IF(OR(Q33=0,E34="",I34=""),"",IF(Q33&gt;=I34,"HABIL","NO HABIL"))</f>
        <v/>
      </c>
    </row>
    <row r="35" spans="2:18" ht="13.5" thickBot="1">
      <c r="B35" s="185">
        <v>8.1999999999999993</v>
      </c>
      <c r="C35" s="338" t="str">
        <f>IF(ISERROR(VLOOKUP(B35,'Capacidad Financiera'!$B$13:$AB$58078,2,0)),"",VLOOKUP(B35,'Capacidad Financiera'!$B$13:$AB$58078,2,0))</f>
        <v>MARIA ALEJANDRA LEGARDA LEMOS</v>
      </c>
      <c r="D35" s="283">
        <v>0.1</v>
      </c>
      <c r="E35" s="296">
        <f>'Capacidad Financiera'!M35</f>
        <v>0</v>
      </c>
      <c r="F35" s="285"/>
      <c r="G35" s="285"/>
      <c r="H35" s="296"/>
      <c r="I35" s="297"/>
      <c r="J35" s="298"/>
      <c r="K35" s="299"/>
      <c r="L35" s="299"/>
      <c r="M35" s="299"/>
      <c r="N35" s="299"/>
      <c r="O35" s="299"/>
      <c r="P35" s="300"/>
      <c r="Q35" s="301"/>
      <c r="R35" s="302"/>
    </row>
    <row r="36" spans="2:18" ht="13">
      <c r="B36" s="259">
        <f>+'Capacidad Financiera'!B36</f>
        <v>9</v>
      </c>
      <c r="C36" s="48" t="str">
        <f>IF(ISERROR(VLOOKUP(B36,'Capacidad Financiera'!$B$13:$AB$58078,2,0)),"",VLOOKUP(B36,'Capacidad Financiera'!$B$13:$AB$58078,2,0))</f>
        <v>CONSORCIO VIAS E INGENIERIA</v>
      </c>
      <c r="D36" s="49">
        <f>IF(ISERROR(VLOOKUP(B36,'Capacidad Financiera'!$B$13:$AB$58078,3,0)),"",VLOOKUP(B36,'Capacidad Financiera'!$B$13:$AB$58078,3,0))</f>
        <v>1</v>
      </c>
      <c r="E36" s="51">
        <f>'Capacidad Financiera'!M36</f>
        <v>1</v>
      </c>
      <c r="F36" s="50">
        <f>IF(ISERROR(VLOOKUP(E36,POA!$A$2:$D$7,2,0)),"",VLOOKUP(E36,POA!$A$2:$D$7,2,0))</f>
        <v>1200000000</v>
      </c>
      <c r="G36" s="50">
        <f>IF(ISERROR(VLOOKUP(E36,POA!$A$2:$D$7,3,0)),"",VLOOKUP(E36,POA!$A$2:$D$7,4,0))</f>
        <v>120000000</v>
      </c>
      <c r="H36" s="51">
        <f>IF(ISERROR(VLOOKUP(E36,POA!$A$2:$D$2,3,0)),"",VLOOKUP(E36,POA!$A$2:$D$2,3,0))</f>
        <v>4</v>
      </c>
      <c r="I36" s="48">
        <f t="shared" si="0"/>
        <v>1080000000</v>
      </c>
      <c r="J36" s="51"/>
      <c r="K36" s="48"/>
      <c r="L36" s="48"/>
      <c r="M36" s="48">
        <f>+SUM(M37:M39)</f>
        <v>0</v>
      </c>
      <c r="N36" s="51" t="str">
        <f>IF(ISERROR(VLOOKUP(J36,POA!$A$2:$C$2,3,0)),"",VLOOKUP(J36,POA!$A$2:$C$2,3,0))</f>
        <v/>
      </c>
      <c r="O36" s="48" t="str">
        <f t="shared" ref="O36" si="10">IF(ISERROR(+K36/N36),"",(K36/N36))</f>
        <v/>
      </c>
      <c r="P36" s="53"/>
      <c r="Q36" s="53">
        <f>SUM(Q37:Q39)</f>
        <v>6850361434.0799999</v>
      </c>
      <c r="R36" s="100" t="str">
        <f>+IF(OR(Q36=0,E36="",I36=""),"",IF(Q36&gt;=I36,"HABIL","NO HABIL"))</f>
        <v>HABIL</v>
      </c>
    </row>
    <row r="37" spans="2:18" ht="13">
      <c r="B37" s="185">
        <f>+'Capacidad Financiera'!B37</f>
        <v>9.1</v>
      </c>
      <c r="C37" s="54" t="str">
        <f>IF(ISERROR(VLOOKUP(B37,'Capacidad Financiera'!$B$13:$AB$58078,2,0)),"",VLOOKUP(B37,'Capacidad Financiera'!$B$13:$AB$58078,2,0))</f>
        <v>BRASCO INGENIERIA S.A.S.</v>
      </c>
      <c r="D37" s="175">
        <v>0.9</v>
      </c>
      <c r="E37" s="192">
        <f>'Capacidad Financiera'!M37</f>
        <v>0</v>
      </c>
      <c r="F37" s="176" t="str">
        <f>IF(ISERROR(VLOOKUP(E37,POA!$A$2:$D$7,2,0)),"",VLOOKUP(E37,POA!$A$2:$D$7,2,0))</f>
        <v/>
      </c>
      <c r="G37" s="176" t="str">
        <f>IF(ISERROR(VLOOKUP(E37,POA!$A$2:$D$7,3,0)),"",VLOOKUP(E37,POA!$A$2:$D$7,4,0))</f>
        <v/>
      </c>
      <c r="H37" s="192" t="str">
        <f>IF(ISERROR(VLOOKUP(E37,POA!$A$2:$D$2,3,0)),"",VLOOKUP(E37,POA!$A$2:$D$2,3,0))</f>
        <v/>
      </c>
      <c r="I37" s="193" t="str">
        <f t="shared" si="0"/>
        <v/>
      </c>
      <c r="J37" s="194">
        <f>IF(IF(ISERROR(VLOOKUP(B37,'Cap Organización'!$B$14:$H$1048576,3,0)),"",VLOOKUP(B37,'Cap Organización'!$B$14:$H$1048576,3,0))=0,"",IF(ISERROR(VLOOKUP(B37,'Cap Organización'!$B$14:$H$1048576,3,0)),"",VLOOKUP(B37,'Cap Organización'!$B$14:$H$1048576,3,0)))</f>
        <v>1550360760</v>
      </c>
      <c r="K37" s="323">
        <f>IF(ISERROR(VLOOKUP(B37,'Puntaje Exp'!$B$14:$I$1048576,8,0)),"",VLOOKUP(B37,'Puntaje Exp'!$B$14:$I$1048576,8,0))</f>
        <v>80</v>
      </c>
      <c r="L37" s="323" t="e">
        <f>+'Capacidad Financiera'!#REF!</f>
        <v>#REF!</v>
      </c>
      <c r="M37" s="323" t="str">
        <f>IF(ISERROR(VLOOKUP(L37,POA!$A$2:$F$7,6,0)),"",VLOOKUP(L37,POA!$A$2:$F$7,6,0))</f>
        <v/>
      </c>
      <c r="N37" s="323">
        <f>IF(ISERROR(VLOOKUP(B37,'Puntaje CT'!$B$14:$H$1048576,4,0)),"",VLOOKUP(B37,'Puntaje CT'!$B$14:$H$1048576,4,0))</f>
        <v>20</v>
      </c>
      <c r="O37" s="323">
        <f>IF(ISERROR(VLOOKUP(B37,'Puntaje CF'!$B$14:$H$1048576,6,0)),"",VLOOKUP(B37,'Puntaje CF'!$B$14:$H$1048576,6,0))</f>
        <v>40</v>
      </c>
      <c r="P37" s="194">
        <f>IF(IF(ISERROR(VLOOKUP(B37,'Saldo CtosEjecución'!$B$14:$H$1048576,3,0)),"",VLOOKUP(B37,'Saldo CtosEjecución'!$B$14:$H$1048576,3,0))=0,"",IF(ISERROR(VLOOKUP(B37,'Saldo CtosEjecución'!$B$14:$H$1048576,3,0)),"",VLOOKUP(B37,'Saldo CtosEjecución'!$B$14:$H$1048576,3,0)))</f>
        <v>289129643.18000001</v>
      </c>
      <c r="Q37" s="195">
        <f>IF(OR(J37="",K37="",N37="",O37="",P37=""),"",(J37*((K37+N37+O37)/100))-P37)</f>
        <v>1881375420.8199999</v>
      </c>
      <c r="R37" s="196" t="str">
        <f>+IF(OR(Q36=0,E37="",I37=""),"",IF(Q36&gt;=I37,"HABIL","NO HABIL"))</f>
        <v/>
      </c>
    </row>
    <row r="38" spans="2:18" ht="13.5" thickBot="1">
      <c r="B38" s="185">
        <f>+'Capacidad Financiera'!B38</f>
        <v>9.1999999999999993</v>
      </c>
      <c r="C38" s="54" t="str">
        <f>IF(ISERROR(VLOOKUP(B38,'Capacidad Financiera'!$B$13:$AB$58078,2,0)),"",VLOOKUP(B38,'Capacidad Financiera'!$B$13:$AB$58078,2,0))</f>
        <v>VERTICES INENIERIA S.A.S.</v>
      </c>
      <c r="D38" s="175">
        <v>0.1</v>
      </c>
      <c r="E38" s="192">
        <f>'Capacidad Financiera'!M38</f>
        <v>0</v>
      </c>
      <c r="F38" s="176" t="str">
        <f>IF(ISERROR(VLOOKUP(E38,POA!$A$2:$D$7,2,0)),"",VLOOKUP(E38,POA!$A$2:$D$7,2,0))</f>
        <v/>
      </c>
      <c r="G38" s="176" t="str">
        <f>IF(ISERROR(VLOOKUP(E38,POA!$A$2:$D$7,3,0)),"",VLOOKUP(E38,POA!$A$2:$D$7,4,0))</f>
        <v/>
      </c>
      <c r="H38" s="192" t="str">
        <f>IF(ISERROR(VLOOKUP(E38,POA!$A$2:$D$2,3,0)),"",VLOOKUP(E38,POA!$A$2:$D$2,3,0))</f>
        <v/>
      </c>
      <c r="I38" s="193" t="str">
        <f t="shared" si="0"/>
        <v/>
      </c>
      <c r="J38" s="194">
        <f>IF(IF(ISERROR(VLOOKUP(B38,'Cap Organización'!$B$14:$H$1048576,3,0)),"",VLOOKUP(B38,'Cap Organización'!$B$14:$H$1048576,3,0))=0,"",IF(ISERROR(VLOOKUP(B38,'Cap Organización'!$B$14:$H$1048576,3,0)),"",VLOOKUP(B38,'Cap Organización'!$B$14:$H$1048576,3,0)))</f>
        <v>3087387000</v>
      </c>
      <c r="K38" s="323">
        <f>IF(ISERROR(VLOOKUP(B38,'Puntaje Exp'!$B$14:$I$1048576,8,0)),"",VLOOKUP(B38,'Puntaje Exp'!$B$14:$I$1048576,8,0))</f>
        <v>120</v>
      </c>
      <c r="L38" s="186" t="e">
        <f>+'Capacidad Financiera'!#REF!</f>
        <v>#REF!</v>
      </c>
      <c r="M38" s="186" t="str">
        <f>IF(ISERROR(VLOOKUP(L38,POA!$A$2:$F$7,6,0)),"",VLOOKUP(L38,POA!$A$2:$F$7,6,0))</f>
        <v/>
      </c>
      <c r="N38" s="323">
        <f>IF(ISERROR(VLOOKUP(B38,'Puntaje CT'!$B$14:$H$1048576,4,0)),"",VLOOKUP(B38,'Puntaje CT'!$B$14:$H$1048576,4,0))</f>
        <v>20</v>
      </c>
      <c r="O38" s="323">
        <f>IF(ISERROR(VLOOKUP(B38,'Puntaje CF'!$B$14:$H$1048576,6,0)),"",VLOOKUP(B38,'Puntaje CF'!$B$14:$H$1048576,6,0))</f>
        <v>40</v>
      </c>
      <c r="P38" s="194">
        <f>IF(IF(ISERROR(VLOOKUP(B38,'Saldo CtosEjecución'!$B$14:$H$1048576,3,0)),"",VLOOKUP(B38,'Saldo CtosEjecución'!$B$14:$H$1048576,3,0))=0,"",IF(ISERROR(VLOOKUP(B38,'Saldo CtosEjecución'!$B$14:$H$1048576,3,0)),"",VLOOKUP(B38,'Saldo CtosEjecución'!$B$14:$H$1048576,3,0)))</f>
        <v>588310586.74000001</v>
      </c>
      <c r="Q38" s="195">
        <f>IF(OR(J38="",K38="",N38="",O38="",P38=""),"",(J38*((K38+N38+O38)/100))-P38)</f>
        <v>4968986013.2600002</v>
      </c>
      <c r="R38" s="196" t="str">
        <f>+IF(OR(Q36=0,E38="",I38=""),"",IF(Q36&gt;=I38,"HABIL","NO HABIL"))</f>
        <v/>
      </c>
    </row>
    <row r="39" spans="2:18" ht="13.5" thickBot="1">
      <c r="B39" s="137"/>
      <c r="C39" s="455"/>
      <c r="D39" s="455"/>
      <c r="E39" s="455"/>
      <c r="F39" s="455"/>
      <c r="G39" s="455"/>
      <c r="H39" s="455"/>
      <c r="I39" s="455"/>
      <c r="J39" s="455"/>
      <c r="K39" s="455"/>
      <c r="L39" s="455"/>
      <c r="M39" s="455"/>
      <c r="N39" s="455"/>
      <c r="O39" s="455"/>
      <c r="P39" s="455"/>
      <c r="Q39" s="455"/>
      <c r="R39" s="456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" right="0" top="0" bottom="0" header="0" footer="0"/>
      <headerFooter alignWithMargins="0"/>
    </customSheetView>
  </customSheetViews>
  <mergeCells count="22">
    <mergeCell ref="H10:H12"/>
    <mergeCell ref="C39:R39"/>
    <mergeCell ref="K11:K12"/>
    <mergeCell ref="O11:O12"/>
    <mergeCell ref="P11:P12"/>
    <mergeCell ref="N11:N12"/>
    <mergeCell ref="B4:R4"/>
    <mergeCell ref="B5:R5"/>
    <mergeCell ref="B6:R6"/>
    <mergeCell ref="B7:R7"/>
    <mergeCell ref="R11:R12"/>
    <mergeCell ref="F11:F12"/>
    <mergeCell ref="L10:L12"/>
    <mergeCell ref="M10:M12"/>
    <mergeCell ref="I11:I12"/>
    <mergeCell ref="J11:J12"/>
    <mergeCell ref="G11:G12"/>
    <mergeCell ref="Q11:Q12"/>
    <mergeCell ref="B10:B12"/>
    <mergeCell ref="C10:C12"/>
    <mergeCell ref="D11:D12"/>
    <mergeCell ref="E10:E12"/>
  </mergeCells>
  <phoneticPr fontId="22" type="noConversion"/>
  <conditionalFormatting sqref="R9 D9:I9">
    <cfRule type="expression" dxfId="165" priority="4413" stopIfTrue="1">
      <formula>IF(#REF!-INT(#REF!)&gt;0,TRUE,FALSE)</formula>
    </cfRule>
  </conditionalFormatting>
  <conditionalFormatting sqref="C13:C15 C9 K9:Q9">
    <cfRule type="cellIs" dxfId="164" priority="4414" stopIfTrue="1" operator="equal">
      <formula>"NO ADMISIBLE"</formula>
    </cfRule>
  </conditionalFormatting>
  <conditionalFormatting sqref="L15:M15 D15">
    <cfRule type="expression" dxfId="163" priority="4412" stopIfTrue="1">
      <formula>IF(#REF!-INT(#REF!)&gt;0,TRUE,FALSE)</formula>
    </cfRule>
  </conditionalFormatting>
  <conditionalFormatting sqref="R13:R15">
    <cfRule type="cellIs" dxfId="162" priority="4409" stopIfTrue="1" operator="equal">
      <formula>"NO ADMISIBLE"</formula>
    </cfRule>
    <cfRule type="cellIs" dxfId="161" priority="4410" stopIfTrue="1" operator="equal">
      <formula>"ADMISIBLE"</formula>
    </cfRule>
  </conditionalFormatting>
  <conditionalFormatting sqref="R13:R15">
    <cfRule type="cellIs" dxfId="160" priority="4408" stopIfTrue="1" operator="equal">
      <formula>"PENDIENTE"</formula>
    </cfRule>
  </conditionalFormatting>
  <conditionalFormatting sqref="D14 K14:O14 Q14">
    <cfRule type="expression" dxfId="159" priority="4403" stopIfTrue="1">
      <formula>IF(#REF!-INT(#REF!)&gt;0,TRUE,FALSE)</formula>
    </cfRule>
  </conditionalFormatting>
  <conditionalFormatting sqref="D13:Q13 I14:I15 E14:E19">
    <cfRule type="expression" dxfId="158" priority="4418" stopIfTrue="1">
      <formula>IF(#REF!-INT(#REF!)&gt;0,TRUE,FALSE)</formula>
    </cfRule>
  </conditionalFormatting>
  <conditionalFormatting sqref="F14:F15">
    <cfRule type="expression" dxfId="157" priority="1911" stopIfTrue="1">
      <formula>IF(#REF!-INT(#REF!)&gt;0,TRUE,FALSE)</formula>
    </cfRule>
  </conditionalFormatting>
  <conditionalFormatting sqref="G14:G15">
    <cfRule type="expression" dxfId="156" priority="1910" stopIfTrue="1">
      <formula>IF(#REF!-INT(#REF!)&gt;0,TRUE,FALSE)</formula>
    </cfRule>
  </conditionalFormatting>
  <conditionalFormatting sqref="H14:H15">
    <cfRule type="expression" dxfId="155" priority="1909" stopIfTrue="1">
      <formula>IF(#REF!-INT(#REF!)&gt;0,TRUE,FALSE)</formula>
    </cfRule>
  </conditionalFormatting>
  <conditionalFormatting sqref="J14:J15">
    <cfRule type="expression" dxfId="154" priority="1908" stopIfTrue="1">
      <formula>IF(#REF!-INT(#REF!)&gt;0,TRUE,FALSE)</formula>
    </cfRule>
  </conditionalFormatting>
  <conditionalFormatting sqref="K15">
    <cfRule type="expression" dxfId="153" priority="1907" stopIfTrue="1">
      <formula>IF(#REF!-INT(#REF!)&gt;0,TRUE,FALSE)</formula>
    </cfRule>
  </conditionalFormatting>
  <conditionalFormatting sqref="N15">
    <cfRule type="expression" dxfId="152" priority="1906" stopIfTrue="1">
      <formula>IF(#REF!-INT(#REF!)&gt;0,TRUE,FALSE)</formula>
    </cfRule>
  </conditionalFormatting>
  <conditionalFormatting sqref="O15">
    <cfRule type="expression" dxfId="151" priority="1905" stopIfTrue="1">
      <formula>IF(#REF!-INT(#REF!)&gt;0,TRUE,FALSE)</formula>
    </cfRule>
  </conditionalFormatting>
  <conditionalFormatting sqref="Q15">
    <cfRule type="expression" dxfId="150" priority="1904" stopIfTrue="1">
      <formula>IF(#REF!-INT(#REF!)&gt;0,TRUE,FALSE)</formula>
    </cfRule>
  </conditionalFormatting>
  <conditionalFormatting sqref="P14:P15">
    <cfRule type="expression" dxfId="149" priority="1903" stopIfTrue="1">
      <formula>IF(#REF!-INT(#REF!)&gt;0,TRUE,FALSE)</formula>
    </cfRule>
  </conditionalFormatting>
  <conditionalFormatting sqref="B14:R15 B17:B38">
    <cfRule type="expression" dxfId="148" priority="395">
      <formula>MOD(ROW(),2)=0</formula>
    </cfRule>
  </conditionalFormatting>
  <conditionalFormatting sqref="C16 C19">
    <cfRule type="cellIs" dxfId="147" priority="187" stopIfTrue="1" operator="equal">
      <formula>"NO ADMISIBLE"</formula>
    </cfRule>
  </conditionalFormatting>
  <conditionalFormatting sqref="L18:M19 D18:D19">
    <cfRule type="expression" dxfId="146" priority="186" stopIfTrue="1">
      <formula>IF(#REF!-INT(#REF!)&gt;0,TRUE,FALSE)</formula>
    </cfRule>
  </conditionalFormatting>
  <conditionalFormatting sqref="R16:R19">
    <cfRule type="cellIs" dxfId="145" priority="184" stopIfTrue="1" operator="equal">
      <formula>"NO ADMISIBLE"</formula>
    </cfRule>
    <cfRule type="cellIs" dxfId="144" priority="185" stopIfTrue="1" operator="equal">
      <formula>"ADMISIBLE"</formula>
    </cfRule>
  </conditionalFormatting>
  <conditionalFormatting sqref="R16:R19">
    <cfRule type="cellIs" dxfId="143" priority="183" stopIfTrue="1" operator="equal">
      <formula>"PENDIENTE"</formula>
    </cfRule>
  </conditionalFormatting>
  <conditionalFormatting sqref="D17 K17:O17 Q17">
    <cfRule type="expression" dxfId="142" priority="182" stopIfTrue="1">
      <formula>IF(#REF!-INT(#REF!)&gt;0,TRUE,FALSE)</formula>
    </cfRule>
  </conditionalFormatting>
  <conditionalFormatting sqref="D16 I17:I19 F16:Q16">
    <cfRule type="expression" dxfId="141" priority="188" stopIfTrue="1">
      <formula>IF(#REF!-INT(#REF!)&gt;0,TRUE,FALSE)</formula>
    </cfRule>
  </conditionalFormatting>
  <conditionalFormatting sqref="F17:F19">
    <cfRule type="expression" dxfId="140" priority="181" stopIfTrue="1">
      <formula>IF(#REF!-INT(#REF!)&gt;0,TRUE,FALSE)</formula>
    </cfRule>
  </conditionalFormatting>
  <conditionalFormatting sqref="G17:G19">
    <cfRule type="expression" dxfId="139" priority="180" stopIfTrue="1">
      <formula>IF(#REF!-INT(#REF!)&gt;0,TRUE,FALSE)</formula>
    </cfRule>
  </conditionalFormatting>
  <conditionalFormatting sqref="H17:H19">
    <cfRule type="expression" dxfId="138" priority="179" stopIfTrue="1">
      <formula>IF(#REF!-INT(#REF!)&gt;0,TRUE,FALSE)</formula>
    </cfRule>
  </conditionalFormatting>
  <conditionalFormatting sqref="J17:J19">
    <cfRule type="expression" dxfId="137" priority="178" stopIfTrue="1">
      <formula>IF(#REF!-INT(#REF!)&gt;0,TRUE,FALSE)</formula>
    </cfRule>
  </conditionalFormatting>
  <conditionalFormatting sqref="K18:K19">
    <cfRule type="expression" dxfId="136" priority="177" stopIfTrue="1">
      <formula>IF(#REF!-INT(#REF!)&gt;0,TRUE,FALSE)</formula>
    </cfRule>
  </conditionalFormatting>
  <conditionalFormatting sqref="N18:N19">
    <cfRule type="expression" dxfId="135" priority="176" stopIfTrue="1">
      <formula>IF(#REF!-INT(#REF!)&gt;0,TRUE,FALSE)</formula>
    </cfRule>
  </conditionalFormatting>
  <conditionalFormatting sqref="O18:O19">
    <cfRule type="expression" dxfId="134" priority="175" stopIfTrue="1">
      <formula>IF(#REF!-INT(#REF!)&gt;0,TRUE,FALSE)</formula>
    </cfRule>
  </conditionalFormatting>
  <conditionalFormatting sqref="Q18:Q19">
    <cfRule type="expression" dxfId="133" priority="174" stopIfTrue="1">
      <formula>IF(#REF!-INT(#REF!)&gt;0,TRUE,FALSE)</formula>
    </cfRule>
  </conditionalFormatting>
  <conditionalFormatting sqref="P17:P19">
    <cfRule type="expression" dxfId="132" priority="173" stopIfTrue="1">
      <formula>IF(#REF!-INT(#REF!)&gt;0,TRUE,FALSE)</formula>
    </cfRule>
  </conditionalFormatting>
  <conditionalFormatting sqref="C19:D19 D17:D18 F17:R19">
    <cfRule type="expression" dxfId="131" priority="172">
      <formula>MOD(ROW(),2)=0</formula>
    </cfRule>
  </conditionalFormatting>
  <conditionalFormatting sqref="C20:C21">
    <cfRule type="cellIs" dxfId="130" priority="170" stopIfTrue="1" operator="equal">
      <formula>"NO ADMISIBLE"</formula>
    </cfRule>
  </conditionalFormatting>
  <conditionalFormatting sqref="R20:R21">
    <cfRule type="cellIs" dxfId="129" priority="167" stopIfTrue="1" operator="equal">
      <formula>"NO ADMISIBLE"</formula>
    </cfRule>
    <cfRule type="cellIs" dxfId="128" priority="168" stopIfTrue="1" operator="equal">
      <formula>"ADMISIBLE"</formula>
    </cfRule>
  </conditionalFormatting>
  <conditionalFormatting sqref="R20:R21">
    <cfRule type="cellIs" dxfId="127" priority="166" stopIfTrue="1" operator="equal">
      <formula>"PENDIENTE"</formula>
    </cfRule>
  </conditionalFormatting>
  <conditionalFormatting sqref="D21 K21:O21 Q21">
    <cfRule type="expression" dxfId="126" priority="165" stopIfTrue="1">
      <formula>IF(#REF!-INT(#REF!)&gt;0,TRUE,FALSE)</formula>
    </cfRule>
  </conditionalFormatting>
  <conditionalFormatting sqref="D20 I21 F20:Q20">
    <cfRule type="expression" dxfId="125" priority="171" stopIfTrue="1">
      <formula>IF(#REF!-INT(#REF!)&gt;0,TRUE,FALSE)</formula>
    </cfRule>
  </conditionalFormatting>
  <conditionalFormatting sqref="F21">
    <cfRule type="expression" dxfId="124" priority="164" stopIfTrue="1">
      <formula>IF(#REF!-INT(#REF!)&gt;0,TRUE,FALSE)</formula>
    </cfRule>
  </conditionalFormatting>
  <conditionalFormatting sqref="G21">
    <cfRule type="expression" dxfId="123" priority="163" stopIfTrue="1">
      <formula>IF(#REF!-INT(#REF!)&gt;0,TRUE,FALSE)</formula>
    </cfRule>
  </conditionalFormatting>
  <conditionalFormatting sqref="H21">
    <cfRule type="expression" dxfId="122" priority="162" stopIfTrue="1">
      <formula>IF(#REF!-INT(#REF!)&gt;0,TRUE,FALSE)</formula>
    </cfRule>
  </conditionalFormatting>
  <conditionalFormatting sqref="J21">
    <cfRule type="expression" dxfId="121" priority="161" stopIfTrue="1">
      <formula>IF(#REF!-INT(#REF!)&gt;0,TRUE,FALSE)</formula>
    </cfRule>
  </conditionalFormatting>
  <conditionalFormatting sqref="P21">
    <cfRule type="expression" dxfId="120" priority="156" stopIfTrue="1">
      <formula>IF(#REF!-INT(#REF!)&gt;0,TRUE,FALSE)</formula>
    </cfRule>
  </conditionalFormatting>
  <conditionalFormatting sqref="C21:D21 F21:R21">
    <cfRule type="expression" dxfId="119" priority="155">
      <formula>MOD(ROW(),2)=0</formula>
    </cfRule>
  </conditionalFormatting>
  <conditionalFormatting sqref="C22:C23">
    <cfRule type="cellIs" dxfId="118" priority="153" stopIfTrue="1" operator="equal">
      <formula>"NO ADMISIBLE"</formula>
    </cfRule>
  </conditionalFormatting>
  <conditionalFormatting sqref="R22:R23">
    <cfRule type="cellIs" dxfId="117" priority="150" stopIfTrue="1" operator="equal">
      <formula>"NO ADMISIBLE"</formula>
    </cfRule>
    <cfRule type="cellIs" dxfId="116" priority="151" stopIfTrue="1" operator="equal">
      <formula>"ADMISIBLE"</formula>
    </cfRule>
  </conditionalFormatting>
  <conditionalFormatting sqref="R22:R23">
    <cfRule type="cellIs" dxfId="115" priority="149" stopIfTrue="1" operator="equal">
      <formula>"PENDIENTE"</formula>
    </cfRule>
  </conditionalFormatting>
  <conditionalFormatting sqref="D23 K23:O23 Q23">
    <cfRule type="expression" dxfId="114" priority="148" stopIfTrue="1">
      <formula>IF(#REF!-INT(#REF!)&gt;0,TRUE,FALSE)</formula>
    </cfRule>
  </conditionalFormatting>
  <conditionalFormatting sqref="D22 I23 F22:Q22">
    <cfRule type="expression" dxfId="113" priority="154" stopIfTrue="1">
      <formula>IF(#REF!-INT(#REF!)&gt;0,TRUE,FALSE)</formula>
    </cfRule>
  </conditionalFormatting>
  <conditionalFormatting sqref="F23">
    <cfRule type="expression" dxfId="112" priority="147" stopIfTrue="1">
      <formula>IF(#REF!-INT(#REF!)&gt;0,TRUE,FALSE)</formula>
    </cfRule>
  </conditionalFormatting>
  <conditionalFormatting sqref="G23">
    <cfRule type="expression" dxfId="111" priority="146" stopIfTrue="1">
      <formula>IF(#REF!-INT(#REF!)&gt;0,TRUE,FALSE)</formula>
    </cfRule>
  </conditionalFormatting>
  <conditionalFormatting sqref="H23">
    <cfRule type="expression" dxfId="110" priority="145" stopIfTrue="1">
      <formula>IF(#REF!-INT(#REF!)&gt;0,TRUE,FALSE)</formula>
    </cfRule>
  </conditionalFormatting>
  <conditionalFormatting sqref="J23">
    <cfRule type="expression" dxfId="109" priority="144" stopIfTrue="1">
      <formula>IF(#REF!-INT(#REF!)&gt;0,TRUE,FALSE)</formula>
    </cfRule>
  </conditionalFormatting>
  <conditionalFormatting sqref="P23">
    <cfRule type="expression" dxfId="108" priority="139" stopIfTrue="1">
      <formula>IF(#REF!-INT(#REF!)&gt;0,TRUE,FALSE)</formula>
    </cfRule>
  </conditionalFormatting>
  <conditionalFormatting sqref="C23:D23 F23:R23">
    <cfRule type="expression" dxfId="107" priority="138">
      <formula>MOD(ROW(),2)=0</formula>
    </cfRule>
  </conditionalFormatting>
  <conditionalFormatting sqref="C24:C25">
    <cfRule type="cellIs" dxfId="106" priority="136" stopIfTrue="1" operator="equal">
      <formula>"NO ADMISIBLE"</formula>
    </cfRule>
  </conditionalFormatting>
  <conditionalFormatting sqref="R24:R26">
    <cfRule type="cellIs" dxfId="105" priority="133" stopIfTrue="1" operator="equal">
      <formula>"NO ADMISIBLE"</formula>
    </cfRule>
    <cfRule type="cellIs" dxfId="104" priority="134" stopIfTrue="1" operator="equal">
      <formula>"ADMISIBLE"</formula>
    </cfRule>
  </conditionalFormatting>
  <conditionalFormatting sqref="R24:R26">
    <cfRule type="cellIs" dxfId="103" priority="132" stopIfTrue="1" operator="equal">
      <formula>"PENDIENTE"</formula>
    </cfRule>
  </conditionalFormatting>
  <conditionalFormatting sqref="D25:D26 K25:O26 Q25:Q26">
    <cfRule type="expression" dxfId="102" priority="131" stopIfTrue="1">
      <formula>IF(#REF!-INT(#REF!)&gt;0,TRUE,FALSE)</formula>
    </cfRule>
  </conditionalFormatting>
  <conditionalFormatting sqref="D24 I25:I26 F24:Q24">
    <cfRule type="expression" dxfId="101" priority="137" stopIfTrue="1">
      <formula>IF(#REF!-INT(#REF!)&gt;0,TRUE,FALSE)</formula>
    </cfRule>
  </conditionalFormatting>
  <conditionalFormatting sqref="F25:F26">
    <cfRule type="expression" dxfId="100" priority="130" stopIfTrue="1">
      <formula>IF(#REF!-INT(#REF!)&gt;0,TRUE,FALSE)</formula>
    </cfRule>
  </conditionalFormatting>
  <conditionalFormatting sqref="G25:G26">
    <cfRule type="expression" dxfId="99" priority="129" stopIfTrue="1">
      <formula>IF(#REF!-INT(#REF!)&gt;0,TRUE,FALSE)</formula>
    </cfRule>
  </conditionalFormatting>
  <conditionalFormatting sqref="H25:H26">
    <cfRule type="expression" dxfId="98" priority="128" stopIfTrue="1">
      <formula>IF(#REF!-INT(#REF!)&gt;0,TRUE,FALSE)</formula>
    </cfRule>
  </conditionalFormatting>
  <conditionalFormatting sqref="P25:P26">
    <cfRule type="expression" dxfId="97" priority="122" stopIfTrue="1">
      <formula>IF(#REF!-INT(#REF!)&gt;0,TRUE,FALSE)</formula>
    </cfRule>
  </conditionalFormatting>
  <conditionalFormatting sqref="C25:D25 F25:I26 K25:R26 D26">
    <cfRule type="expression" dxfId="96" priority="121">
      <formula>MOD(ROW(),2)=0</formula>
    </cfRule>
  </conditionalFormatting>
  <conditionalFormatting sqref="C27:C28">
    <cfRule type="cellIs" dxfId="95" priority="119" stopIfTrue="1" operator="equal">
      <formula>"NO ADMISIBLE"</formula>
    </cfRule>
  </conditionalFormatting>
  <conditionalFormatting sqref="R27:R30">
    <cfRule type="cellIs" dxfId="94" priority="116" stopIfTrue="1" operator="equal">
      <formula>"NO ADMISIBLE"</formula>
    </cfRule>
    <cfRule type="cellIs" dxfId="93" priority="117" stopIfTrue="1" operator="equal">
      <formula>"ADMISIBLE"</formula>
    </cfRule>
  </conditionalFormatting>
  <conditionalFormatting sqref="R27:R30">
    <cfRule type="cellIs" dxfId="92" priority="115" stopIfTrue="1" operator="equal">
      <formula>"PENDIENTE"</formula>
    </cfRule>
  </conditionalFormatting>
  <conditionalFormatting sqref="D28:D29 K28:O29 Q28:Q30">
    <cfRule type="expression" dxfId="91" priority="114" stopIfTrue="1">
      <formula>IF(#REF!-INT(#REF!)&gt;0,TRUE,FALSE)</formula>
    </cfRule>
  </conditionalFormatting>
  <conditionalFormatting sqref="D27 I28:I29 F27:Q27">
    <cfRule type="expression" dxfId="90" priority="120" stopIfTrue="1">
      <formula>IF(#REF!-INT(#REF!)&gt;0,TRUE,FALSE)</formula>
    </cfRule>
  </conditionalFormatting>
  <conditionalFormatting sqref="F28:F29">
    <cfRule type="expression" dxfId="89" priority="113" stopIfTrue="1">
      <formula>IF(#REF!-INT(#REF!)&gt;0,TRUE,FALSE)</formula>
    </cfRule>
  </conditionalFormatting>
  <conditionalFormatting sqref="G28:G29">
    <cfRule type="expression" dxfId="88" priority="112" stopIfTrue="1">
      <formula>IF(#REF!-INT(#REF!)&gt;0,TRUE,FALSE)</formula>
    </cfRule>
  </conditionalFormatting>
  <conditionalFormatting sqref="H28:H29">
    <cfRule type="expression" dxfId="87" priority="111" stopIfTrue="1">
      <formula>IF(#REF!-INT(#REF!)&gt;0,TRUE,FALSE)</formula>
    </cfRule>
  </conditionalFormatting>
  <conditionalFormatting sqref="J28:J29">
    <cfRule type="expression" dxfId="86" priority="110" stopIfTrue="1">
      <formula>IF(#REF!-INT(#REF!)&gt;0,TRUE,FALSE)</formula>
    </cfRule>
  </conditionalFormatting>
  <conditionalFormatting sqref="P28:P29">
    <cfRule type="expression" dxfId="85" priority="105" stopIfTrue="1">
      <formula>IF(#REF!-INT(#REF!)&gt;0,TRUE,FALSE)</formula>
    </cfRule>
  </conditionalFormatting>
  <conditionalFormatting sqref="C28:D28 F28:R29 D29 Q30">
    <cfRule type="expression" dxfId="84" priority="104">
      <formula>MOD(ROW(),2)=0</formula>
    </cfRule>
  </conditionalFormatting>
  <conditionalFormatting sqref="C30:C32">
    <cfRule type="cellIs" dxfId="83" priority="102" stopIfTrue="1" operator="equal">
      <formula>"NO ADMISIBLE"</formula>
    </cfRule>
  </conditionalFormatting>
  <conditionalFormatting sqref="R31:R32">
    <cfRule type="cellIs" dxfId="82" priority="99" stopIfTrue="1" operator="equal">
      <formula>"NO ADMISIBLE"</formula>
    </cfRule>
    <cfRule type="cellIs" dxfId="81" priority="100" stopIfTrue="1" operator="equal">
      <formula>"ADMISIBLE"</formula>
    </cfRule>
  </conditionalFormatting>
  <conditionalFormatting sqref="R31:R32">
    <cfRule type="cellIs" dxfId="80" priority="98" stopIfTrue="1" operator="equal">
      <formula>"PENDIENTE"</formula>
    </cfRule>
  </conditionalFormatting>
  <conditionalFormatting sqref="D31:D32 K31:O32">
    <cfRule type="expression" dxfId="79" priority="97" stopIfTrue="1">
      <formula>IF(#REF!-INT(#REF!)&gt;0,TRUE,FALSE)</formula>
    </cfRule>
  </conditionalFormatting>
  <conditionalFormatting sqref="D30 I31:I32 F30:P30">
    <cfRule type="expression" dxfId="78" priority="103" stopIfTrue="1">
      <formula>IF(#REF!-INT(#REF!)&gt;0,TRUE,FALSE)</formula>
    </cfRule>
  </conditionalFormatting>
  <conditionalFormatting sqref="F31:F32">
    <cfRule type="expression" dxfId="77" priority="96" stopIfTrue="1">
      <formula>IF(#REF!-INT(#REF!)&gt;0,TRUE,FALSE)</formula>
    </cfRule>
  </conditionalFormatting>
  <conditionalFormatting sqref="G31:G32">
    <cfRule type="expression" dxfId="76" priority="95" stopIfTrue="1">
      <formula>IF(#REF!-INT(#REF!)&gt;0,TRUE,FALSE)</formula>
    </cfRule>
  </conditionalFormatting>
  <conditionalFormatting sqref="H31:H32">
    <cfRule type="expression" dxfId="75" priority="94" stopIfTrue="1">
      <formula>IF(#REF!-INT(#REF!)&gt;0,TRUE,FALSE)</formula>
    </cfRule>
  </conditionalFormatting>
  <conditionalFormatting sqref="C31:D32 F31:I32 K31:O32 R31:R32">
    <cfRule type="expression" dxfId="74" priority="87">
      <formula>MOD(ROW(),2)=0</formula>
    </cfRule>
  </conditionalFormatting>
  <conditionalFormatting sqref="C33">
    <cfRule type="cellIs" dxfId="73" priority="85" stopIfTrue="1" operator="equal">
      <formula>"NO ADMISIBLE"</formula>
    </cfRule>
  </conditionalFormatting>
  <conditionalFormatting sqref="R33">
    <cfRule type="cellIs" dxfId="72" priority="82" stopIfTrue="1" operator="equal">
      <formula>"NO ADMISIBLE"</formula>
    </cfRule>
    <cfRule type="cellIs" dxfId="71" priority="83" stopIfTrue="1" operator="equal">
      <formula>"ADMISIBLE"</formula>
    </cfRule>
  </conditionalFormatting>
  <conditionalFormatting sqref="R33">
    <cfRule type="cellIs" dxfId="70" priority="81" stopIfTrue="1" operator="equal">
      <formula>"PENDIENTE"</formula>
    </cfRule>
  </conditionalFormatting>
  <conditionalFormatting sqref="D33 F33:P33">
    <cfRule type="expression" dxfId="69" priority="86" stopIfTrue="1">
      <formula>IF(#REF!-INT(#REF!)&gt;0,TRUE,FALSE)</formula>
    </cfRule>
  </conditionalFormatting>
  <conditionalFormatting sqref="C36:C38">
    <cfRule type="cellIs" dxfId="68" priority="68" stopIfTrue="1" operator="equal">
      <formula>"NO ADMISIBLE"</formula>
    </cfRule>
  </conditionalFormatting>
  <conditionalFormatting sqref="L38:M38 D38">
    <cfRule type="expression" dxfId="67" priority="67" stopIfTrue="1">
      <formula>IF(#REF!-INT(#REF!)&gt;0,TRUE,FALSE)</formula>
    </cfRule>
  </conditionalFormatting>
  <conditionalFormatting sqref="R36:R38">
    <cfRule type="cellIs" dxfId="66" priority="65" stopIfTrue="1" operator="equal">
      <formula>"NO ADMISIBLE"</formula>
    </cfRule>
    <cfRule type="cellIs" dxfId="65" priority="66" stopIfTrue="1" operator="equal">
      <formula>"ADMISIBLE"</formula>
    </cfRule>
  </conditionalFormatting>
  <conditionalFormatting sqref="R36:R38">
    <cfRule type="cellIs" dxfId="64" priority="64" stopIfTrue="1" operator="equal">
      <formula>"PENDIENTE"</formula>
    </cfRule>
  </conditionalFormatting>
  <conditionalFormatting sqref="D37 K37:O37 Q37">
    <cfRule type="expression" dxfId="63" priority="63" stopIfTrue="1">
      <formula>IF(#REF!-INT(#REF!)&gt;0,TRUE,FALSE)</formula>
    </cfRule>
  </conditionalFormatting>
  <conditionalFormatting sqref="D36 I37:I38 F36:Q36">
    <cfRule type="expression" dxfId="62" priority="69" stopIfTrue="1">
      <formula>IF(#REF!-INT(#REF!)&gt;0,TRUE,FALSE)</formula>
    </cfRule>
  </conditionalFormatting>
  <conditionalFormatting sqref="F37:F38">
    <cfRule type="expression" dxfId="61" priority="62" stopIfTrue="1">
      <formula>IF(#REF!-INT(#REF!)&gt;0,TRUE,FALSE)</formula>
    </cfRule>
  </conditionalFormatting>
  <conditionalFormatting sqref="G37:G38">
    <cfRule type="expression" dxfId="60" priority="61" stopIfTrue="1">
      <formula>IF(#REF!-INT(#REF!)&gt;0,TRUE,FALSE)</formula>
    </cfRule>
  </conditionalFormatting>
  <conditionalFormatting sqref="H37:H38">
    <cfRule type="expression" dxfId="59" priority="60" stopIfTrue="1">
      <formula>IF(#REF!-INT(#REF!)&gt;0,TRUE,FALSE)</formula>
    </cfRule>
  </conditionalFormatting>
  <conditionalFormatting sqref="J37:J38">
    <cfRule type="expression" dxfId="58" priority="59" stopIfTrue="1">
      <formula>IF(#REF!-INT(#REF!)&gt;0,TRUE,FALSE)</formula>
    </cfRule>
  </conditionalFormatting>
  <conditionalFormatting sqref="K38">
    <cfRule type="expression" dxfId="57" priority="58" stopIfTrue="1">
      <formula>IF(#REF!-INT(#REF!)&gt;0,TRUE,FALSE)</formula>
    </cfRule>
  </conditionalFormatting>
  <conditionalFormatting sqref="N38">
    <cfRule type="expression" dxfId="56" priority="57" stopIfTrue="1">
      <formula>IF(#REF!-INT(#REF!)&gt;0,TRUE,FALSE)</formula>
    </cfRule>
  </conditionalFormatting>
  <conditionalFormatting sqref="O38">
    <cfRule type="expression" dxfId="55" priority="56" stopIfTrue="1">
      <formula>IF(#REF!-INT(#REF!)&gt;0,TRUE,FALSE)</formula>
    </cfRule>
  </conditionalFormatting>
  <conditionalFormatting sqref="Q38">
    <cfRule type="expression" dxfId="54" priority="55" stopIfTrue="1">
      <formula>IF(#REF!-INT(#REF!)&gt;0,TRUE,FALSE)</formula>
    </cfRule>
  </conditionalFormatting>
  <conditionalFormatting sqref="P37:P38">
    <cfRule type="expression" dxfId="53" priority="54" stopIfTrue="1">
      <formula>IF(#REF!-INT(#REF!)&gt;0,TRUE,FALSE)</formula>
    </cfRule>
  </conditionalFormatting>
  <conditionalFormatting sqref="C37:D38 F37:R38">
    <cfRule type="expression" dxfId="52" priority="53">
      <formula>MOD(ROW(),2)=0</formula>
    </cfRule>
  </conditionalFormatting>
  <conditionalFormatting sqref="E20">
    <cfRule type="expression" dxfId="51" priority="52" stopIfTrue="1">
      <formula>IF(#REF!-INT(#REF!)&gt;0,TRUE,FALSE)</formula>
    </cfRule>
  </conditionalFormatting>
  <conditionalFormatting sqref="E22">
    <cfRule type="expression" dxfId="50" priority="51" stopIfTrue="1">
      <formula>IF(#REF!-INT(#REF!)&gt;0,TRUE,FALSE)</formula>
    </cfRule>
  </conditionalFormatting>
  <conditionalFormatting sqref="E24">
    <cfRule type="expression" dxfId="49" priority="50" stopIfTrue="1">
      <formula>IF(#REF!-INT(#REF!)&gt;0,TRUE,FALSE)</formula>
    </cfRule>
  </conditionalFormatting>
  <conditionalFormatting sqref="E27">
    <cfRule type="expression" dxfId="48" priority="49" stopIfTrue="1">
      <formula>IF(#REF!-INT(#REF!)&gt;0,TRUE,FALSE)</formula>
    </cfRule>
  </conditionalFormatting>
  <conditionalFormatting sqref="E30">
    <cfRule type="expression" dxfId="47" priority="48" stopIfTrue="1">
      <formula>IF(#REF!-INT(#REF!)&gt;0,TRUE,FALSE)</formula>
    </cfRule>
  </conditionalFormatting>
  <conditionalFormatting sqref="E33">
    <cfRule type="expression" dxfId="46" priority="47" stopIfTrue="1">
      <formula>IF(#REF!-INT(#REF!)&gt;0,TRUE,FALSE)</formula>
    </cfRule>
  </conditionalFormatting>
  <conditionalFormatting sqref="E36">
    <cfRule type="expression" dxfId="45" priority="46" stopIfTrue="1">
      <formula>IF(#REF!-INT(#REF!)&gt;0,TRUE,FALSE)</formula>
    </cfRule>
  </conditionalFormatting>
  <conditionalFormatting sqref="C18">
    <cfRule type="cellIs" dxfId="44" priority="45" stopIfTrue="1" operator="equal">
      <formula>"NO ADMISIBLE"</formula>
    </cfRule>
  </conditionalFormatting>
  <conditionalFormatting sqref="C18">
    <cfRule type="expression" dxfId="43" priority="44">
      <formula>MOD(ROW(),2)=0</formula>
    </cfRule>
  </conditionalFormatting>
  <conditionalFormatting sqref="C17">
    <cfRule type="cellIs" dxfId="42" priority="43" stopIfTrue="1" operator="equal">
      <formula>"NO ADMISIBLE"</formula>
    </cfRule>
  </conditionalFormatting>
  <conditionalFormatting sqref="C17">
    <cfRule type="expression" dxfId="41" priority="42">
      <formula>MOD(ROW(),2)=0</formula>
    </cfRule>
  </conditionalFormatting>
  <conditionalFormatting sqref="E17:E19">
    <cfRule type="expression" dxfId="40" priority="40">
      <formula>MOD(ROW(),2)=0</formula>
    </cfRule>
  </conditionalFormatting>
  <conditionalFormatting sqref="E21">
    <cfRule type="expression" dxfId="39" priority="39" stopIfTrue="1">
      <formula>IF(#REF!-INT(#REF!)&gt;0,TRUE,FALSE)</formula>
    </cfRule>
  </conditionalFormatting>
  <conditionalFormatting sqref="E21">
    <cfRule type="expression" dxfId="38" priority="38">
      <formula>MOD(ROW(),2)=0</formula>
    </cfRule>
  </conditionalFormatting>
  <conditionalFormatting sqref="E23">
    <cfRule type="expression" dxfId="37" priority="37" stopIfTrue="1">
      <formula>IF(#REF!-INT(#REF!)&gt;0,TRUE,FALSE)</formula>
    </cfRule>
  </conditionalFormatting>
  <conditionalFormatting sqref="E23">
    <cfRule type="expression" dxfId="36" priority="36">
      <formula>MOD(ROW(),2)=0</formula>
    </cfRule>
  </conditionalFormatting>
  <conditionalFormatting sqref="E25:E26">
    <cfRule type="expression" dxfId="35" priority="35" stopIfTrue="1">
      <formula>IF(#REF!-INT(#REF!)&gt;0,TRUE,FALSE)</formula>
    </cfRule>
  </conditionalFormatting>
  <conditionalFormatting sqref="E25:E26">
    <cfRule type="expression" dxfId="34" priority="34">
      <formula>MOD(ROW(),2)=0</formula>
    </cfRule>
  </conditionalFormatting>
  <conditionalFormatting sqref="E28:E29">
    <cfRule type="expression" dxfId="33" priority="33" stopIfTrue="1">
      <formula>IF(#REF!-INT(#REF!)&gt;0,TRUE,FALSE)</formula>
    </cfRule>
  </conditionalFormatting>
  <conditionalFormatting sqref="E28:E29">
    <cfRule type="expression" dxfId="32" priority="32">
      <formula>MOD(ROW(),2)=0</formula>
    </cfRule>
  </conditionalFormatting>
  <conditionalFormatting sqref="E31:E32">
    <cfRule type="expression" dxfId="31" priority="31" stopIfTrue="1">
      <formula>IF(#REF!-INT(#REF!)&gt;0,TRUE,FALSE)</formula>
    </cfRule>
  </conditionalFormatting>
  <conditionalFormatting sqref="E31:E32">
    <cfRule type="expression" dxfId="30" priority="30">
      <formula>MOD(ROW(),2)=0</formula>
    </cfRule>
  </conditionalFormatting>
  <conditionalFormatting sqref="C34:C35">
    <cfRule type="cellIs" dxfId="29" priority="28" stopIfTrue="1" operator="equal">
      <formula>"NO ADMISIBLE"</formula>
    </cfRule>
  </conditionalFormatting>
  <conditionalFormatting sqref="R34:R35">
    <cfRule type="cellIs" dxfId="28" priority="26" stopIfTrue="1" operator="equal">
      <formula>"NO ADMISIBLE"</formula>
    </cfRule>
    <cfRule type="cellIs" dxfId="27" priority="27" stopIfTrue="1" operator="equal">
      <formula>"ADMISIBLE"</formula>
    </cfRule>
  </conditionalFormatting>
  <conditionalFormatting sqref="R34:R35">
    <cfRule type="cellIs" dxfId="26" priority="25" stopIfTrue="1" operator="equal">
      <formula>"PENDIENTE"</formula>
    </cfRule>
  </conditionalFormatting>
  <conditionalFormatting sqref="D34:D35 K34:O35 Q34:Q35">
    <cfRule type="expression" dxfId="25" priority="24" stopIfTrue="1">
      <formula>IF(#REF!-INT(#REF!)&gt;0,TRUE,FALSE)</formula>
    </cfRule>
  </conditionalFormatting>
  <conditionalFormatting sqref="I34:I35">
    <cfRule type="expression" dxfId="24" priority="29" stopIfTrue="1">
      <formula>IF(#REF!-INT(#REF!)&gt;0,TRUE,FALSE)</formula>
    </cfRule>
  </conditionalFormatting>
  <conditionalFormatting sqref="F34:F35">
    <cfRule type="expression" dxfId="23" priority="23" stopIfTrue="1">
      <formula>IF(#REF!-INT(#REF!)&gt;0,TRUE,FALSE)</formula>
    </cfRule>
  </conditionalFormatting>
  <conditionalFormatting sqref="G34:G35">
    <cfRule type="expression" dxfId="22" priority="22" stopIfTrue="1">
      <formula>IF(#REF!-INT(#REF!)&gt;0,TRUE,FALSE)</formula>
    </cfRule>
  </conditionalFormatting>
  <conditionalFormatting sqref="H34:H35">
    <cfRule type="expression" dxfId="21" priority="21" stopIfTrue="1">
      <formula>IF(#REF!-INT(#REF!)&gt;0,TRUE,FALSE)</formula>
    </cfRule>
  </conditionalFormatting>
  <conditionalFormatting sqref="J34:J35">
    <cfRule type="expression" dxfId="20" priority="20" stopIfTrue="1">
      <formula>IF(#REF!-INT(#REF!)&gt;0,TRUE,FALSE)</formula>
    </cfRule>
  </conditionalFormatting>
  <conditionalFormatting sqref="C34:D35 F34:O35 Q34:R35">
    <cfRule type="expression" dxfId="19" priority="18">
      <formula>MOD(ROW(),2)=0</formula>
    </cfRule>
  </conditionalFormatting>
  <conditionalFormatting sqref="E34:E35">
    <cfRule type="expression" dxfId="18" priority="17" stopIfTrue="1">
      <formula>IF(#REF!-INT(#REF!)&gt;0,TRUE,FALSE)</formula>
    </cfRule>
  </conditionalFormatting>
  <conditionalFormatting sqref="E34:E35">
    <cfRule type="expression" dxfId="17" priority="16">
      <formula>MOD(ROW(),2)=0</formula>
    </cfRule>
  </conditionalFormatting>
  <conditionalFormatting sqref="E37:E38">
    <cfRule type="expression" dxfId="16" priority="15" stopIfTrue="1">
      <formula>IF(#REF!-INT(#REF!)&gt;0,TRUE,FALSE)</formula>
    </cfRule>
  </conditionalFormatting>
  <conditionalFormatting sqref="E37:E38">
    <cfRule type="expression" dxfId="15" priority="14">
      <formula>MOD(ROW(),2)=0</formula>
    </cfRule>
  </conditionalFormatting>
  <conditionalFormatting sqref="J25:J26">
    <cfRule type="expression" dxfId="14" priority="13" stopIfTrue="1">
      <formula>IF(#REF!-INT(#REF!)&gt;0,TRUE,FALSE)</formula>
    </cfRule>
  </conditionalFormatting>
  <conditionalFormatting sqref="J25:J26">
    <cfRule type="expression" dxfId="13" priority="12">
      <formula>MOD(ROW(),2)=0</formula>
    </cfRule>
  </conditionalFormatting>
  <conditionalFormatting sqref="J31:J32">
    <cfRule type="expression" dxfId="12" priority="11" stopIfTrue="1">
      <formula>IF(#REF!-INT(#REF!)&gt;0,TRUE,FALSE)</formula>
    </cfRule>
  </conditionalFormatting>
  <conditionalFormatting sqref="J31:J32">
    <cfRule type="expression" dxfId="11" priority="10">
      <formula>MOD(ROW(),2)=0</formula>
    </cfRule>
  </conditionalFormatting>
  <conditionalFormatting sqref="Q31:Q32">
    <cfRule type="expression" dxfId="10" priority="9" stopIfTrue="1">
      <formula>IF(#REF!-INT(#REF!)&gt;0,TRUE,FALSE)</formula>
    </cfRule>
  </conditionalFormatting>
  <conditionalFormatting sqref="Q31:Q32">
    <cfRule type="expression" dxfId="9" priority="8">
      <formula>MOD(ROW(),2)=0</formula>
    </cfRule>
  </conditionalFormatting>
  <conditionalFormatting sqref="Q33">
    <cfRule type="expression" dxfId="8" priority="7" stopIfTrue="1">
      <formula>IF(#REF!-INT(#REF!)&gt;0,TRUE,FALSE)</formula>
    </cfRule>
  </conditionalFormatting>
  <conditionalFormatting sqref="P31:P32">
    <cfRule type="expression" dxfId="7" priority="6" stopIfTrue="1">
      <formula>IF(#REF!-INT(#REF!)&gt;0,TRUE,FALSE)</formula>
    </cfRule>
  </conditionalFormatting>
  <conditionalFormatting sqref="P31:P32">
    <cfRule type="expression" dxfId="6" priority="5">
      <formula>MOD(ROW(),2)=0</formula>
    </cfRule>
  </conditionalFormatting>
  <conditionalFormatting sqref="P34:P35">
    <cfRule type="expression" dxfId="5" priority="4" stopIfTrue="1">
      <formula>IF(#REF!-INT(#REF!)&gt;0,TRUE,FALSE)</formula>
    </cfRule>
  </conditionalFormatting>
  <conditionalFormatting sqref="P34:P35">
    <cfRule type="expression" dxfId="4" priority="3">
      <formula>MOD(ROW(),2)=0</formula>
    </cfRule>
  </conditionalFormatting>
  <conditionalFormatting sqref="C26">
    <cfRule type="expression" dxfId="3" priority="2">
      <formula>MOD(ROW(),2)=0</formula>
    </cfRule>
  </conditionalFormatting>
  <conditionalFormatting sqref="C29">
    <cfRule type="expression" dxfId="2" priority="1">
      <formula>MOD(ROW(),2)=0</formula>
    </cfRule>
  </conditionalFormatting>
  <dataValidations count="1">
    <dataValidation type="list" allowBlank="1" showInputMessage="1" showErrorMessage="1" sqref="C9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9">
    <tabColor rgb="FF0000FF"/>
  </sheetPr>
  <dimension ref="B1:K4"/>
  <sheetViews>
    <sheetView showGridLines="0" workbookViewId="0">
      <selection activeCell="J15" sqref="J15"/>
    </sheetView>
  </sheetViews>
  <sheetFormatPr baseColWidth="10" defaultColWidth="11.453125" defaultRowHeight="12.5"/>
  <cols>
    <col min="1" max="1" width="1.453125" customWidth="1"/>
    <col min="2" max="2" width="6.08984375" style="107" customWidth="1"/>
    <col min="3" max="3" width="42.6328125" customWidth="1"/>
    <col min="4" max="4" width="19.36328125" customWidth="1"/>
    <col min="5" max="5" width="22.36328125" customWidth="1"/>
    <col min="6" max="6" width="17.6328125" customWidth="1"/>
    <col min="7" max="7" width="1.90625" customWidth="1"/>
    <col min="8" max="8" width="12.08984375" customWidth="1"/>
    <col min="9" max="10" width="7.6328125" customWidth="1"/>
  </cols>
  <sheetData>
    <row r="1" spans="2:11" ht="30" customHeight="1">
      <c r="B1" s="481" t="str">
        <f>"RESUMEN DE EVALUACION "&amp;'Capacidad Financiera'!B4</f>
        <v xml:space="preserve">RESUMEN DE EVALUACION PROCESO No. </v>
      </c>
      <c r="C1" s="481"/>
      <c r="D1" s="481"/>
      <c r="E1" s="481"/>
      <c r="F1" s="481"/>
      <c r="K1" s="111"/>
    </row>
    <row r="2" spans="2:11" ht="13">
      <c r="B2" s="197" t="s">
        <v>159</v>
      </c>
      <c r="C2" s="198" t="s">
        <v>160</v>
      </c>
      <c r="D2" s="198" t="s">
        <v>161</v>
      </c>
      <c r="E2" s="198" t="s">
        <v>162</v>
      </c>
      <c r="F2" s="198" t="s">
        <v>163</v>
      </c>
      <c r="G2" s="127"/>
      <c r="H2" s="127"/>
      <c r="I2" s="127"/>
      <c r="J2" s="127"/>
    </row>
    <row r="3" spans="2:11" ht="6.75" customHeight="1">
      <c r="B3" s="138"/>
      <c r="C3" s="101"/>
      <c r="D3" s="139"/>
      <c r="E3" s="139"/>
      <c r="F3" s="139"/>
    </row>
    <row r="4" spans="2:11">
      <c r="B4" s="138"/>
      <c r="C4" s="101"/>
      <c r="D4" s="139"/>
      <c r="E4" s="139"/>
      <c r="F4" s="139"/>
    </row>
  </sheetData>
  <mergeCells count="1">
    <mergeCell ref="B1:F1"/>
  </mergeCells>
  <conditionalFormatting sqref="B4:F4">
    <cfRule type="expression" dxfId="1" priority="1">
      <formula>MOD(ROW(),2)=0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4"/>
  <dimension ref="A1:B103"/>
  <sheetViews>
    <sheetView zoomScale="75" workbookViewId="0">
      <selection activeCell="A19" sqref="A19"/>
    </sheetView>
  </sheetViews>
  <sheetFormatPr baseColWidth="10" defaultColWidth="11.453125" defaultRowHeight="12.5" outlineLevelRow="2"/>
  <cols>
    <col min="1" max="1" width="19" customWidth="1"/>
    <col min="2" max="2" width="21.90625" customWidth="1"/>
  </cols>
  <sheetData>
    <row r="1" spans="1:2" s="5" customFormat="1" ht="15.5">
      <c r="A1" s="5" t="s">
        <v>164</v>
      </c>
    </row>
    <row r="3" spans="1:2" ht="40.5">
      <c r="A3" s="324" t="s">
        <v>165</v>
      </c>
      <c r="B3" s="325" t="s">
        <v>166</v>
      </c>
    </row>
    <row r="4" spans="1:2" s="6" customFormat="1" outlineLevel="2">
      <c r="A4" s="326"/>
    </row>
    <row r="5" spans="1:2" s="7" customFormat="1" ht="13" outlineLevel="1">
      <c r="A5" s="327" t="s">
        <v>167</v>
      </c>
      <c r="B5" s="328">
        <v>16097532669.306931</v>
      </c>
    </row>
    <row r="6" spans="1:2" s="7" customFormat="1" ht="13" outlineLevel="1">
      <c r="A6" s="327" t="s">
        <v>168</v>
      </c>
      <c r="B6" s="328">
        <v>18724260670</v>
      </c>
    </row>
    <row r="7" spans="1:2" s="7" customFormat="1" ht="13" outlineLevel="1">
      <c r="A7" s="327" t="s">
        <v>169</v>
      </c>
      <c r="B7" s="328">
        <v>15886461489</v>
      </c>
    </row>
    <row r="8" spans="1:2" s="7" customFormat="1" ht="13" outlineLevel="1">
      <c r="A8" s="327" t="s">
        <v>170</v>
      </c>
      <c r="B8" s="328">
        <v>18533406621</v>
      </c>
    </row>
    <row r="9" spans="1:2" s="7" customFormat="1" ht="13" outlineLevel="1">
      <c r="A9" s="327" t="s">
        <v>171</v>
      </c>
      <c r="B9" s="328">
        <v>14971945628</v>
      </c>
    </row>
    <row r="10" spans="1:2" s="7" customFormat="1" ht="13" outlineLevel="1">
      <c r="A10" s="327" t="s">
        <v>172</v>
      </c>
      <c r="B10" s="328">
        <v>16484340849</v>
      </c>
    </row>
    <row r="11" spans="1:2" s="7" customFormat="1" ht="13" outlineLevel="1">
      <c r="A11" s="327" t="s">
        <v>173</v>
      </c>
      <c r="B11" s="328">
        <v>16686919713.999998</v>
      </c>
    </row>
    <row r="12" spans="1:2" s="7" customFormat="1" ht="13" outlineLevel="1">
      <c r="A12" s="327" t="s">
        <v>174</v>
      </c>
      <c r="B12" s="328">
        <v>11566305868</v>
      </c>
    </row>
    <row r="13" spans="1:2" s="7" customFormat="1" ht="13" outlineLevel="1">
      <c r="A13" s="327" t="s">
        <v>175</v>
      </c>
      <c r="B13" s="328">
        <v>6300474910</v>
      </c>
    </row>
    <row r="14" spans="1:2" s="7" customFormat="1" ht="13" outlineLevel="1">
      <c r="A14" s="327" t="s">
        <v>176</v>
      </c>
      <c r="B14" s="328">
        <v>1428162158.4158416</v>
      </c>
    </row>
    <row r="15" spans="1:2" s="7" customFormat="1" ht="13" outlineLevel="1">
      <c r="A15" s="327" t="s">
        <v>177</v>
      </c>
      <c r="B15" s="328">
        <v>1292851961.3861387</v>
      </c>
    </row>
    <row r="16" spans="1:2" s="7" customFormat="1" ht="13" outlineLevel="1">
      <c r="A16" s="327" t="s">
        <v>178</v>
      </c>
      <c r="B16" s="329">
        <v>14200237260</v>
      </c>
    </row>
    <row r="17" spans="1:2" s="7" customFormat="1" ht="13" outlineLevel="1">
      <c r="A17" s="327" t="s">
        <v>179</v>
      </c>
      <c r="B17" s="328">
        <v>14388115033</v>
      </c>
    </row>
    <row r="18" spans="1:2" s="7" customFormat="1" ht="13" outlineLevel="1">
      <c r="A18" s="327" t="s">
        <v>180</v>
      </c>
      <c r="B18" s="328">
        <v>7076050599</v>
      </c>
    </row>
    <row r="19" spans="1:2" s="7" customFormat="1" ht="13" outlineLevel="1">
      <c r="A19" s="327" t="s">
        <v>181</v>
      </c>
      <c r="B19" s="328">
        <v>20893814942</v>
      </c>
    </row>
    <row r="20" spans="1:2" s="7" customFormat="1" ht="13" outlineLevel="1">
      <c r="A20" s="327" t="s">
        <v>182</v>
      </c>
      <c r="B20" s="329">
        <v>8810989120</v>
      </c>
    </row>
    <row r="21" spans="1:2" s="7" customFormat="1" ht="13" outlineLevel="1">
      <c r="A21" s="327" t="s">
        <v>183</v>
      </c>
      <c r="B21" s="328">
        <v>5818381842</v>
      </c>
    </row>
    <row r="22" spans="1:2" s="7" customFormat="1" ht="13" outlineLevel="1">
      <c r="A22" s="327" t="s">
        <v>184</v>
      </c>
      <c r="B22" s="328">
        <v>9650261634</v>
      </c>
    </row>
    <row r="23" spans="1:2" s="7" customFormat="1" ht="13" outlineLevel="1">
      <c r="A23" s="327" t="s">
        <v>185</v>
      </c>
      <c r="B23" s="328">
        <v>5385776414</v>
      </c>
    </row>
    <row r="24" spans="1:2" s="7" customFormat="1" ht="13" outlineLevel="1">
      <c r="A24" s="327" t="s">
        <v>186</v>
      </c>
      <c r="B24" s="328">
        <v>5759505844</v>
      </c>
    </row>
    <row r="25" spans="1:2" s="7" customFormat="1" ht="13" outlineLevel="1">
      <c r="A25" s="327" t="s">
        <v>187</v>
      </c>
      <c r="B25" s="328">
        <v>11365045650</v>
      </c>
    </row>
    <row r="26" spans="1:2" s="7" customFormat="1" ht="13" outlineLevel="1">
      <c r="A26" s="327" t="s">
        <v>188</v>
      </c>
      <c r="B26" s="328">
        <v>15652530637</v>
      </c>
    </row>
    <row r="27" spans="1:2" s="7" customFormat="1" ht="13" outlineLevel="1">
      <c r="A27" s="327" t="s">
        <v>189</v>
      </c>
      <c r="B27" s="328">
        <v>5772808797</v>
      </c>
    </row>
    <row r="28" spans="1:2" s="7" customFormat="1" ht="13" outlineLevel="1">
      <c r="A28" s="327" t="s">
        <v>190</v>
      </c>
      <c r="B28" s="328">
        <v>7512106130</v>
      </c>
    </row>
    <row r="29" spans="1:2" s="7" customFormat="1" ht="13" outlineLevel="1">
      <c r="A29" s="327" t="s">
        <v>191</v>
      </c>
      <c r="B29" s="328">
        <v>9347559589</v>
      </c>
    </row>
    <row r="30" spans="1:2" s="7" customFormat="1" ht="13" outlineLevel="1">
      <c r="A30" s="327" t="s">
        <v>192</v>
      </c>
      <c r="B30" s="328">
        <v>19825977010</v>
      </c>
    </row>
    <row r="31" spans="1:2" s="7" customFormat="1" ht="13" outlineLevel="1">
      <c r="A31" s="327" t="s">
        <v>193</v>
      </c>
      <c r="B31" s="328">
        <v>9200191515</v>
      </c>
    </row>
    <row r="32" spans="1:2" s="7" customFormat="1" ht="13" outlineLevel="1">
      <c r="A32" s="327" t="s">
        <v>194</v>
      </c>
      <c r="B32" s="328">
        <v>18743806542</v>
      </c>
    </row>
    <row r="33" spans="1:2" s="7" customFormat="1" ht="13" outlineLevel="1">
      <c r="A33" s="327" t="s">
        <v>195</v>
      </c>
      <c r="B33" s="328">
        <v>12488203547</v>
      </c>
    </row>
    <row r="34" spans="1:2" s="7" customFormat="1" ht="13" outlineLevel="1">
      <c r="A34" s="327" t="s">
        <v>196</v>
      </c>
      <c r="B34" s="328">
        <v>12337277639</v>
      </c>
    </row>
    <row r="35" spans="1:2" s="7" customFormat="1" ht="13" outlineLevel="1">
      <c r="A35" s="327" t="s">
        <v>197</v>
      </c>
      <c r="B35" s="328">
        <v>16198497482.999998</v>
      </c>
    </row>
    <row r="36" spans="1:2" s="7" customFormat="1" ht="13" outlineLevel="1">
      <c r="A36" s="327" t="s">
        <v>198</v>
      </c>
      <c r="B36" s="328">
        <v>17764576319</v>
      </c>
    </row>
    <row r="37" spans="1:2" s="7" customFormat="1" ht="13" outlineLevel="1">
      <c r="A37" s="327" t="s">
        <v>199</v>
      </c>
      <c r="B37" s="328">
        <v>22882731815</v>
      </c>
    </row>
    <row r="38" spans="1:2" s="7" customFormat="1" ht="13" outlineLevel="1">
      <c r="A38" s="327" t="s">
        <v>200</v>
      </c>
      <c r="B38" s="328">
        <v>7383905477</v>
      </c>
    </row>
    <row r="39" spans="1:2" s="7" customFormat="1" ht="13" outlineLevel="1">
      <c r="A39" s="327" t="s">
        <v>201</v>
      </c>
      <c r="B39" s="328">
        <v>12423743774</v>
      </c>
    </row>
    <row r="40" spans="1:2" s="7" customFormat="1" ht="13" outlineLevel="1">
      <c r="A40" s="327" t="s">
        <v>202</v>
      </c>
      <c r="B40" s="328">
        <v>14187262851</v>
      </c>
    </row>
    <row r="41" spans="1:2" s="7" customFormat="1" ht="13" outlineLevel="1">
      <c r="A41" s="327" t="s">
        <v>203</v>
      </c>
      <c r="B41" s="328">
        <v>9099377756</v>
      </c>
    </row>
    <row r="42" spans="1:2" s="7" customFormat="1" ht="13" outlineLevel="1">
      <c r="A42" s="327" t="s">
        <v>204</v>
      </c>
      <c r="B42" s="328">
        <v>7416098511</v>
      </c>
    </row>
    <row r="43" spans="1:2" s="7" customFormat="1" ht="13" outlineLevel="1">
      <c r="A43" s="327" t="s">
        <v>205</v>
      </c>
      <c r="B43" s="328">
        <v>16654736652</v>
      </c>
    </row>
    <row r="44" spans="1:2" s="7" customFormat="1" ht="13" outlineLevel="1">
      <c r="A44" s="327" t="s">
        <v>206</v>
      </c>
      <c r="B44" s="328">
        <v>12006016561</v>
      </c>
    </row>
    <row r="45" spans="1:2" s="7" customFormat="1" ht="13" outlineLevel="1">
      <c r="A45" s="327" t="s">
        <v>207</v>
      </c>
      <c r="B45" s="328">
        <v>14602426835</v>
      </c>
    </row>
    <row r="46" spans="1:2" s="7" customFormat="1" ht="13" outlineLevel="1">
      <c r="A46" s="327" t="s">
        <v>208</v>
      </c>
      <c r="B46" s="328">
        <v>16600395825</v>
      </c>
    </row>
    <row r="47" spans="1:2" s="7" customFormat="1" ht="13" outlineLevel="1">
      <c r="A47" s="327" t="s">
        <v>209</v>
      </c>
      <c r="B47" s="328">
        <v>9490692823</v>
      </c>
    </row>
    <row r="48" spans="1:2" s="7" customFormat="1" ht="13" outlineLevel="1">
      <c r="A48" s="327" t="s">
        <v>210</v>
      </c>
      <c r="B48" s="328">
        <v>14966356774</v>
      </c>
    </row>
    <row r="49" spans="1:2" s="7" customFormat="1" ht="13" outlineLevel="1">
      <c r="A49" s="327" t="s">
        <v>211</v>
      </c>
      <c r="B49" s="328">
        <v>16628059484</v>
      </c>
    </row>
    <row r="50" spans="1:2" s="7" customFormat="1" ht="13" outlineLevel="1">
      <c r="A50" s="327" t="s">
        <v>212</v>
      </c>
      <c r="B50" s="328">
        <v>11545020876</v>
      </c>
    </row>
    <row r="51" spans="1:2" s="7" customFormat="1" ht="13" outlineLevel="1">
      <c r="A51" s="327" t="s">
        <v>213</v>
      </c>
      <c r="B51" s="328">
        <v>11069859631</v>
      </c>
    </row>
    <row r="52" spans="1:2" s="7" customFormat="1" ht="13" outlineLevel="1">
      <c r="A52" s="327" t="s">
        <v>214</v>
      </c>
      <c r="B52" s="328">
        <v>16462254401</v>
      </c>
    </row>
    <row r="53" spans="1:2" s="7" customFormat="1" ht="13" outlineLevel="1">
      <c r="A53" s="327" t="s">
        <v>215</v>
      </c>
      <c r="B53" s="328">
        <v>29122451003</v>
      </c>
    </row>
    <row r="54" spans="1:2" s="7" customFormat="1" ht="13" outlineLevel="1">
      <c r="A54" s="327" t="s">
        <v>216</v>
      </c>
      <c r="B54" s="328">
        <v>19110837484</v>
      </c>
    </row>
    <row r="55" spans="1:2" s="7" customFormat="1" ht="13" outlineLevel="1">
      <c r="A55" s="327" t="s">
        <v>217</v>
      </c>
      <c r="B55" s="328">
        <v>14355039068</v>
      </c>
    </row>
    <row r="56" spans="1:2" s="7" customFormat="1" ht="13" outlineLevel="1">
      <c r="A56" s="327" t="s">
        <v>218</v>
      </c>
      <c r="B56" s="328">
        <v>10742553232</v>
      </c>
    </row>
    <row r="57" spans="1:2" s="7" customFormat="1" ht="13" outlineLevel="1">
      <c r="A57" s="327" t="s">
        <v>219</v>
      </c>
      <c r="B57" s="328">
        <v>12944688820</v>
      </c>
    </row>
    <row r="58" spans="1:2" s="7" customFormat="1" ht="13" outlineLevel="1">
      <c r="A58" s="327" t="s">
        <v>220</v>
      </c>
      <c r="B58" s="328">
        <v>11689433662</v>
      </c>
    </row>
    <row r="59" spans="1:2" s="7" customFormat="1" ht="13" outlineLevel="1">
      <c r="A59" s="327" t="s">
        <v>221</v>
      </c>
      <c r="B59" s="328">
        <v>11397659254</v>
      </c>
    </row>
    <row r="60" spans="1:2" s="7" customFormat="1" ht="13" outlineLevel="1">
      <c r="A60" s="327" t="s">
        <v>222</v>
      </c>
      <c r="B60" s="328">
        <v>16236395384</v>
      </c>
    </row>
    <row r="61" spans="1:2" s="7" customFormat="1" ht="13" outlineLevel="1">
      <c r="A61" s="327" t="s">
        <v>223</v>
      </c>
      <c r="B61" s="328">
        <v>6151462908.9075203</v>
      </c>
    </row>
    <row r="62" spans="1:2" s="7" customFormat="1" ht="13" outlineLevel="1">
      <c r="A62" s="327" t="s">
        <v>224</v>
      </c>
      <c r="B62" s="328">
        <v>24188206629</v>
      </c>
    </row>
    <row r="63" spans="1:2" s="7" customFormat="1" ht="13" outlineLevel="1">
      <c r="A63" s="327" t="s">
        <v>225</v>
      </c>
      <c r="B63" s="328">
        <v>22229863427</v>
      </c>
    </row>
    <row r="64" spans="1:2" s="7" customFormat="1" ht="13" outlineLevel="1">
      <c r="A64" s="327" t="s">
        <v>226</v>
      </c>
      <c r="B64" s="328">
        <v>23200278421</v>
      </c>
    </row>
    <row r="65" spans="1:2" s="7" customFormat="1" ht="13" outlineLevel="1">
      <c r="A65" s="327" t="s">
        <v>227</v>
      </c>
      <c r="B65" s="328">
        <v>33729146012</v>
      </c>
    </row>
    <row r="66" spans="1:2" s="7" customFormat="1" ht="13" outlineLevel="1">
      <c r="A66" s="327" t="s">
        <v>228</v>
      </c>
      <c r="B66" s="328">
        <v>25741331764</v>
      </c>
    </row>
    <row r="67" spans="1:2" s="7" customFormat="1" ht="13" outlineLevel="1">
      <c r="A67" s="327" t="s">
        <v>229</v>
      </c>
      <c r="B67" s="328">
        <v>10895316694.06304</v>
      </c>
    </row>
    <row r="68" spans="1:2" s="7" customFormat="1" ht="13" outlineLevel="1">
      <c r="A68" s="327" t="s">
        <v>230</v>
      </c>
      <c r="B68" s="328">
        <v>15574902572</v>
      </c>
    </row>
    <row r="69" spans="1:2" s="6" customFormat="1" ht="13" outlineLevel="1">
      <c r="A69" s="327" t="s">
        <v>231</v>
      </c>
      <c r="B69" s="328">
        <v>11085498362</v>
      </c>
    </row>
    <row r="70" spans="1:2" s="7" customFormat="1" ht="13" outlineLevel="1">
      <c r="A70" s="327" t="s">
        <v>232</v>
      </c>
      <c r="B70" s="328">
        <v>15569378930</v>
      </c>
    </row>
    <row r="71" spans="1:2" s="7" customFormat="1" ht="13" outlineLevel="1">
      <c r="A71" s="327" t="s">
        <v>233</v>
      </c>
      <c r="B71" s="328">
        <v>19872456988.21376</v>
      </c>
    </row>
    <row r="72" spans="1:2" s="7" customFormat="1" ht="13" outlineLevel="1">
      <c r="A72" s="327" t="s">
        <v>234</v>
      </c>
      <c r="B72" s="328">
        <v>9279916346</v>
      </c>
    </row>
    <row r="73" spans="1:2" s="7" customFormat="1" ht="13" outlineLevel="1">
      <c r="A73" s="327" t="s">
        <v>235</v>
      </c>
      <c r="B73" s="328">
        <v>11879598172</v>
      </c>
    </row>
    <row r="74" spans="1:2" s="7" customFormat="1" ht="13" outlineLevel="1">
      <c r="A74" s="327" t="s">
        <v>236</v>
      </c>
      <c r="B74" s="328">
        <v>14944234555</v>
      </c>
    </row>
    <row r="75" spans="1:2" s="7" customFormat="1" ht="13" outlineLevel="1">
      <c r="A75" s="327" t="s">
        <v>237</v>
      </c>
      <c r="B75" s="328">
        <v>8486287813</v>
      </c>
    </row>
    <row r="76" spans="1:2" s="7" customFormat="1" ht="13" outlineLevel="1">
      <c r="A76" s="327" t="s">
        <v>238</v>
      </c>
      <c r="B76" s="328">
        <v>7048832262</v>
      </c>
    </row>
    <row r="77" spans="1:2" s="7" customFormat="1" ht="13" outlineLevel="1">
      <c r="A77" s="327" t="s">
        <v>239</v>
      </c>
      <c r="B77" s="328">
        <v>5348779190</v>
      </c>
    </row>
    <row r="78" spans="1:2" s="7" customFormat="1" ht="13" outlineLevel="1">
      <c r="A78" s="327" t="s">
        <v>240</v>
      </c>
      <c r="B78" s="328">
        <v>5466387046</v>
      </c>
    </row>
    <row r="79" spans="1:2" s="7" customFormat="1" ht="13" outlineLevel="1">
      <c r="A79" s="327" t="s">
        <v>241</v>
      </c>
      <c r="B79" s="328">
        <v>16518448889</v>
      </c>
    </row>
    <row r="80" spans="1:2" s="7" customFormat="1" ht="13" outlineLevel="1">
      <c r="A80" s="327" t="s">
        <v>242</v>
      </c>
      <c r="B80" s="328">
        <v>8675202615</v>
      </c>
    </row>
    <row r="81" spans="1:2" s="7" customFormat="1" ht="13" outlineLevel="1">
      <c r="A81" s="327" t="s">
        <v>243</v>
      </c>
      <c r="B81" s="328">
        <v>16760013498</v>
      </c>
    </row>
    <row r="82" spans="1:2" s="7" customFormat="1" ht="13" outlineLevel="1">
      <c r="A82" s="327" t="s">
        <v>244</v>
      </c>
      <c r="B82" s="328">
        <v>12438755743</v>
      </c>
    </row>
    <row r="83" spans="1:2" s="7" customFormat="1" ht="13" outlineLevel="1">
      <c r="A83" s="327" t="s">
        <v>245</v>
      </c>
      <c r="B83" s="328">
        <v>14593425402</v>
      </c>
    </row>
    <row r="84" spans="1:2" s="7" customFormat="1" ht="13" outlineLevel="1">
      <c r="A84" s="327" t="s">
        <v>246</v>
      </c>
      <c r="B84" s="328">
        <v>6689468251</v>
      </c>
    </row>
    <row r="85" spans="1:2" s="7" customFormat="1" ht="13" outlineLevel="1">
      <c r="A85" s="327" t="s">
        <v>247</v>
      </c>
      <c r="B85" s="328">
        <v>8186369892</v>
      </c>
    </row>
    <row r="86" spans="1:2" s="7" customFormat="1" ht="13" outlineLevel="1">
      <c r="A86" s="327" t="s">
        <v>248</v>
      </c>
      <c r="B86" s="328">
        <v>28561249598</v>
      </c>
    </row>
    <row r="87" spans="1:2" s="7" customFormat="1" ht="13" outlineLevel="1">
      <c r="A87" s="327" t="s">
        <v>249</v>
      </c>
      <c r="B87" s="328">
        <v>34980509996</v>
      </c>
    </row>
    <row r="88" spans="1:2" s="7" customFormat="1" ht="13" outlineLevel="1">
      <c r="A88" s="327" t="s">
        <v>250</v>
      </c>
      <c r="B88" s="328">
        <v>6950846586</v>
      </c>
    </row>
    <row r="89" spans="1:2" s="7" customFormat="1" ht="13" outlineLevel="1">
      <c r="A89" s="327" t="s">
        <v>251</v>
      </c>
      <c r="B89" s="328">
        <v>11116163961</v>
      </c>
    </row>
    <row r="90" spans="1:2" s="7" customFormat="1" ht="13" outlineLevel="1">
      <c r="A90" s="327" t="s">
        <v>252</v>
      </c>
      <c r="B90" s="328">
        <v>21274070645</v>
      </c>
    </row>
    <row r="91" spans="1:2" s="7" customFormat="1" ht="13" outlineLevel="1">
      <c r="A91" s="327" t="s">
        <v>253</v>
      </c>
      <c r="B91" s="328">
        <v>2826770201</v>
      </c>
    </row>
    <row r="92" spans="1:2" s="7" customFormat="1" ht="13" outlineLevel="1">
      <c r="A92" s="327" t="s">
        <v>254</v>
      </c>
      <c r="B92" s="328">
        <v>4775546619</v>
      </c>
    </row>
    <row r="93" spans="1:2" s="7" customFormat="1" ht="13" outlineLevel="1">
      <c r="A93" s="327" t="s">
        <v>255</v>
      </c>
      <c r="B93" s="328">
        <v>23755514236</v>
      </c>
    </row>
    <row r="94" spans="1:2" s="7" customFormat="1" ht="13" outlineLevel="1">
      <c r="A94" s="327" t="s">
        <v>256</v>
      </c>
      <c r="B94" s="328">
        <v>22463613073</v>
      </c>
    </row>
    <row r="95" spans="1:2" s="7" customFormat="1" ht="13" outlineLevel="1">
      <c r="A95" s="327" t="s">
        <v>257</v>
      </c>
      <c r="B95" s="328">
        <v>20949816946</v>
      </c>
    </row>
    <row r="96" spans="1:2" s="7" customFormat="1" ht="13" outlineLevel="1">
      <c r="A96" s="327" t="s">
        <v>258</v>
      </c>
      <c r="B96" s="328">
        <v>14104036918</v>
      </c>
    </row>
    <row r="97" spans="1:2" s="7" customFormat="1" ht="13" outlineLevel="1">
      <c r="A97" s="327" t="s">
        <v>259</v>
      </c>
      <c r="B97" s="328">
        <v>1396272140.5940592</v>
      </c>
    </row>
    <row r="98" spans="1:2" s="7" customFormat="1" ht="13" outlineLevel="1">
      <c r="A98" s="327" t="s">
        <v>260</v>
      </c>
      <c r="B98" s="328">
        <v>1211346171.2871287</v>
      </c>
    </row>
    <row r="99" spans="1:2" s="7" customFormat="1" ht="13" outlineLevel="1">
      <c r="A99" s="327" t="s">
        <v>261</v>
      </c>
      <c r="B99" s="328">
        <v>1239693623.7623763</v>
      </c>
    </row>
    <row r="100" spans="1:2" s="7" customFormat="1" ht="13" outlineLevel="1">
      <c r="A100" s="327" t="s">
        <v>262</v>
      </c>
      <c r="B100" s="328">
        <v>1625508018.1759996</v>
      </c>
    </row>
    <row r="101" spans="1:2" s="6" customFormat="1" ht="13" outlineLevel="1">
      <c r="A101" s="327"/>
      <c r="B101" s="8">
        <f>SUM(B4:B100)</f>
        <v>1276966895152.1125</v>
      </c>
    </row>
    <row r="103" spans="1:2">
      <c r="B103" s="11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" right="0" top="0" bottom="0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12</vt:i4>
      </vt:variant>
    </vt:vector>
  </HeadingPairs>
  <TitlesOfParts>
    <vt:vector size="24" baseType="lpstr">
      <vt:lpstr>Verificaciones</vt:lpstr>
      <vt:lpstr>POA</vt:lpstr>
      <vt:lpstr>Puntajes</vt:lpstr>
      <vt:lpstr>Capacidad Financiera</vt:lpstr>
      <vt:lpstr>Puntaje Exp</vt:lpstr>
      <vt:lpstr>Puntaje CT</vt:lpstr>
      <vt:lpstr>Puntaje CF</vt:lpstr>
      <vt:lpstr>Saldo CtosEjecución</vt:lpstr>
      <vt:lpstr>Cap Organización</vt:lpstr>
      <vt:lpstr>Capacidad Residual</vt:lpstr>
      <vt:lpstr>OPCIONAL</vt:lpstr>
      <vt:lpstr>PO</vt:lpstr>
      <vt:lpstr>AnticipoM1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SALACTUAL</vt:lpstr>
    </vt:vector>
  </TitlesOfParts>
  <Manager/>
  <Company>Instituto Nacional de Vias-INVIAS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Ruby Mercedes Perez Perez</dc:creator>
  <cp:keywords/>
  <dc:description/>
  <cp:lastModifiedBy>GABRIELA LUCIA ARIAS POSSO</cp:lastModifiedBy>
  <cp:revision/>
  <dcterms:created xsi:type="dcterms:W3CDTF">2022-09-04T20:19:45Z</dcterms:created>
  <dcterms:modified xsi:type="dcterms:W3CDTF">2024-09-20T21:35:07Z</dcterms:modified>
  <cp:category/>
  <cp:contentStatus/>
</cp:coreProperties>
</file>