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https://fnagovco-my.sharepoint.com/personal/pgaitan_fna_gov_co/Documents/8.PROCESOS 2024/15. CORREDOR DEUDORES NUEVO PROCESO 29 julio/EVALUACIÓN PRELIMINAR/"/>
    </mc:Choice>
  </mc:AlternateContent>
  <xr:revisionPtr revIDLastSave="1559" documentId="13_ncr:1_{39E76D1D-A164-4A36-A5E6-B132477B1147}" xr6:coauthVersionLast="47" xr6:coauthVersionMax="47" xr10:uidLastSave="{7513F8CD-C161-40B1-A3CE-C8A0BF2E7460}"/>
  <bookViews>
    <workbookView xWindow="-120" yWindow="-120" windowWidth="20730" windowHeight="11160" firstSheet="2" activeTab="3" xr2:uid="{0BEC3276-DCCD-4A12-92AC-193F4546E89A}"/>
  </bookViews>
  <sheets>
    <sheet name="SMMLV" sheetId="48" r:id="rId1"/>
    <sheet name="General" sheetId="11" r:id="rId2"/>
    <sheet name="Directorio" sheetId="1" r:id="rId3"/>
    <sheet name="Exp. Proponente" sheetId="16" r:id="rId4"/>
    <sheet name="Relación Siniestros" sheetId="52" state="hidden" r:id="rId5"/>
    <sheet name="Hoja1" sheetId="50" state="hidden" r:id="rId6"/>
    <sheet name="Requisitos Técnicos" sheetId="41" r:id="rId7"/>
    <sheet name="Coord" sheetId="49" r:id="rId8"/>
    <sheet name="Conclusión de Evaluación" sheetId="44"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 localSheetId="7">#REF!</definedName>
    <definedName name="_" localSheetId="6">#REF!</definedName>
    <definedName name="_">#REF!</definedName>
    <definedName name="__" localSheetId="7">#REF!</definedName>
    <definedName name="__">#REF!</definedName>
    <definedName name="___AFC1" localSheetId="7">[1]INV!$A$25:$D$28</definedName>
    <definedName name="___AFC1">[2]INV!$A$25:$D$28</definedName>
    <definedName name="___AFC3" localSheetId="7">[1]INV!$F$25:$I$28</definedName>
    <definedName name="___AFC3">[2]INV!$F$25:$I$28</definedName>
    <definedName name="___AFC5" localSheetId="7">[1]INV!$K$25:$N$28</definedName>
    <definedName name="___AFC5">[2]INV!$K$25:$N$28</definedName>
    <definedName name="___BGC1" localSheetId="7">[1]INV!$A$5:$D$8</definedName>
    <definedName name="___BGC1">[2]INV!$A$5:$D$8</definedName>
    <definedName name="___BGC3" localSheetId="7">[1]INV!$F$5:$I$8</definedName>
    <definedName name="___BGC3">[2]INV!$F$5:$I$8</definedName>
    <definedName name="___BGC5" localSheetId="7">[1]INV!$K$5:$N$8</definedName>
    <definedName name="___BGC5">[2]INV!$K$5:$N$8</definedName>
    <definedName name="___CAC1" localSheetId="7">[1]INV!$A$19:$D$22</definedName>
    <definedName name="___CAC1">[2]INV!$A$19:$D$22</definedName>
    <definedName name="___CAC3" localSheetId="7">[1]INV!$F$19:$I$22</definedName>
    <definedName name="___CAC3">[2]INV!$F$19:$I$22</definedName>
    <definedName name="___CAC5" localSheetId="7">[1]INV!$K$19:$N$22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SBC1" localSheetId="7">[1]INV!$A$12:$D$15</definedName>
    <definedName name="___SBC1">[2]INV!$A$12:$D$15</definedName>
    <definedName name="___SBC3" localSheetId="7">[1]INV!$F$12:$I$15</definedName>
    <definedName name="___SBC3">[2]INV!$F$12:$I$15</definedName>
    <definedName name="___SBC5" localSheetId="7">[1]INV!$K$12:$N$15</definedName>
    <definedName name="___SBC5">[2]INV!$K$12:$N$15</definedName>
    <definedName name="__AFC1" localSheetId="7">[1]INV!$A$25:$D$28</definedName>
    <definedName name="__AFC1">[2]INV!$A$25:$D$28</definedName>
    <definedName name="__AFC3" localSheetId="7">[1]INV!$F$25:$I$28</definedName>
    <definedName name="__AFC3">[2]INV!$F$25:$I$28</definedName>
    <definedName name="__AFC5" localSheetId="7">[1]INV!$K$25:$N$28</definedName>
    <definedName name="__AFC5">[2]INV!$K$25:$N$28</definedName>
    <definedName name="__BGC1" localSheetId="7">[1]INV!$A$5:$D$8</definedName>
    <definedName name="__BGC1">[2]INV!$A$5:$D$8</definedName>
    <definedName name="__BGC3" localSheetId="7">[1]INV!$F$5:$I$8</definedName>
    <definedName name="__BGC3">[2]INV!$F$5:$I$8</definedName>
    <definedName name="__BGC5" localSheetId="7">[1]INV!$K$5:$N$8</definedName>
    <definedName name="__BGC5">[2]INV!$K$5:$N$8</definedName>
    <definedName name="__CAC1" localSheetId="7">[1]INV!$A$19:$D$22</definedName>
    <definedName name="__CAC1">[2]INV!$A$19:$D$22</definedName>
    <definedName name="__CAC3" localSheetId="7">[1]INV!$F$19:$I$22</definedName>
    <definedName name="__CAC3">[2]INV!$F$19:$I$22</definedName>
    <definedName name="__CAC5" localSheetId="7">[1]INV!$K$19:$N$22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1">#REF!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SBC1" localSheetId="7">[1]INV!$A$12:$D$15</definedName>
    <definedName name="__SBC1">[2]INV!$A$12:$D$15</definedName>
    <definedName name="__SBC3" localSheetId="7">[1]INV!$F$12:$I$15</definedName>
    <definedName name="__SBC3">[2]INV!$F$12:$I$15</definedName>
    <definedName name="__SBC5" localSheetId="7">[1]INV!$K$12:$N$15</definedName>
    <definedName name="__SBC5">[2]INV!$K$12:$N$15</definedName>
    <definedName name="_AFC1" localSheetId="7">[1]INV!$A$25:$D$28</definedName>
    <definedName name="_AFC1">[2]INV!$A$25:$D$28</definedName>
    <definedName name="_AFC3" localSheetId="7">[1]INV!$F$25:$I$28</definedName>
    <definedName name="_AFC3">[2]INV!$F$25:$I$28</definedName>
    <definedName name="_AFC5" localSheetId="7">[1]INV!$K$25:$N$28</definedName>
    <definedName name="_AFC5">[2]INV!$K$25:$N$28</definedName>
    <definedName name="_BGC1" localSheetId="7">[1]INV!$A$5:$D$8</definedName>
    <definedName name="_BGC1">[2]INV!$A$5:$D$8</definedName>
    <definedName name="_BGC3" localSheetId="7">[1]INV!$F$5:$I$8</definedName>
    <definedName name="_BGC3">[2]INV!$F$5:$I$8</definedName>
    <definedName name="_BGC5" localSheetId="7">[1]INV!$K$5:$N$8</definedName>
    <definedName name="_BGC5">[2]INV!$K$5:$N$8</definedName>
    <definedName name="_CAC1" localSheetId="7">[1]INV!$A$19:$D$22</definedName>
    <definedName name="_CAC1">[2]INV!$A$19:$D$22</definedName>
    <definedName name="_CAC3" localSheetId="7">[1]INV!$F$19:$I$22</definedName>
    <definedName name="_CAC3">[2]INV!$F$19:$I$22</definedName>
    <definedName name="_CAC5" localSheetId="7">[1]INV!$K$19:$N$22</definedName>
    <definedName name="_CAC5">[2]INV!$K$19:$N$22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1">#REF!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xlnm._FilterDatabase" localSheetId="7" hidden="1">Coord!$E$3:$H$8</definedName>
    <definedName name="_xlnm._FilterDatabase" localSheetId="3" hidden="1">'Exp. Proponente'!$B$10:$S$20</definedName>
    <definedName name="_xlnm._FilterDatabase" localSheetId="4" hidden="1">'Relación Siniestros'!$A$10:$G$10</definedName>
    <definedName name="_Order1" hidden="1">255</definedName>
    <definedName name="_Order2" hidden="1">255</definedName>
    <definedName name="_SBC1" localSheetId="7">[1]INV!$A$12:$D$15</definedName>
    <definedName name="_SBC1">[2]INV!$A$12:$D$15</definedName>
    <definedName name="_SBC3" localSheetId="7">[1]INV!$F$12:$I$15</definedName>
    <definedName name="_SBC3">[2]INV!$F$12:$I$15</definedName>
    <definedName name="_SBC5" localSheetId="7">[1]INV!$K$12:$N$15</definedName>
    <definedName name="_SBC5">[2]INV!$K$12:$N$15</definedName>
    <definedName name="a">#REF!</definedName>
    <definedName name="A_impresión_IM">#REF!</definedName>
    <definedName name="AAC" localSheetId="7">[1]AASHTO!$A$14:$F$17</definedName>
    <definedName name="AAC">[2]AASHTO!$A$14:$F$17</definedName>
    <definedName name="ABG" localSheetId="7">[1]AASHTO!$A$2:$F$5</definedName>
    <definedName name="ABG">[2]AASHTO!$A$2:$F$5</definedName>
    <definedName name="Accesorios_de_1_2" localSheetId="7">#REF!</definedName>
    <definedName name="Accesorios_de_1_2">#REF!</definedName>
    <definedName name="Accesorios_de_3_4" localSheetId="7">#REF!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F">#N/A</definedName>
    <definedName name="Agua">#REF!</definedName>
    <definedName name="AH">#N/A</definedName>
    <definedName name="AI">#N/A</definedName>
    <definedName name="AJ">#N/A</definedName>
    <definedName name="AK">#N/A</definedName>
    <definedName name="AL">#N/A</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#REF!</definedName>
    <definedName name="Aparatos_Telefonicos_para_extensiones">#REF!</definedName>
    <definedName name="Aparatos_Telefonicos_secretariales">#REF!</definedName>
    <definedName name="Apertur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8">'Conclusión de Evaluación'!$A$1:$I$23</definedName>
    <definedName name="_xlnm.Print_Area" localSheetId="2">Directorio!$A$1:$BX$6</definedName>
    <definedName name="_xlnm.Print_Area" localSheetId="3">'Exp. Proponente'!$B$1:$S$20</definedName>
    <definedName name="_xlnm.Print_Area" localSheetId="6">'Requisitos Técnicos'!$A$1:$E$10</definedName>
    <definedName name="Arena_de_Peña" localSheetId="7">#REF!</definedName>
    <definedName name="Arena_de_Peña">#REF!</definedName>
    <definedName name="Arena_de_rio" localSheetId="7">#REF!</definedName>
    <definedName name="Arena_de_rio">#REF!</definedName>
    <definedName name="Arena_Lavada_de_Peña" localSheetId="7">#REF!</definedName>
    <definedName name="Arena_Lavada_de_Peña">#REF!</definedName>
    <definedName name="Arena_semilavada">#REF!</definedName>
    <definedName name="ARR" localSheetId="7">[3]AC!#REF!</definedName>
    <definedName name="ARR">[3]AC!#REF!</definedName>
    <definedName name="ASB" localSheetId="7">[1]AASHTO!$A$8:$F$11</definedName>
    <definedName name="ASB">[2]AASHTO!$A$8:$F$11</definedName>
    <definedName name="Aseo_general" localSheetId="7">#REF!</definedName>
    <definedName name="Aseo_general">#REF!</definedName>
    <definedName name="Aseo_General___3_HS__Sal__Mínimo" localSheetId="7">#REF!</definedName>
    <definedName name="Aseo_General___3_HS__Sal__Mínimo">#REF!</definedName>
    <definedName name="Asta_Para_Banderas" localSheetId="7">#REF!</definedName>
    <definedName name="Asta_Para_Banderas">#REF!</definedName>
    <definedName name="AULAS">#REF!</definedName>
    <definedName name="AULU">#N/A</definedName>
    <definedName name="Auxiliar_de_Contabilidad">#REF!</definedName>
    <definedName name="AV">VLOOKUP([3]APU!#REF!,[3]INS!#REF!,4,FALSE)</definedName>
    <definedName name="Ayudante_Acabados_albañilería" localSheetId="7">#REF!</definedName>
    <definedName name="Ayudante_Acabados_albañilería">#REF!</definedName>
    <definedName name="Ayudante_Albaílería_General" localSheetId="7">#REF!</definedName>
    <definedName name="Ayudante_Albaílería_General">#REF!</definedName>
    <definedName name="Ayudante_Carpintería" localSheetId="7">#REF!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 localSheetId="7">VLOOKUP([3]APU!#REF!,[3]AUX!#REF!,2,FALSE)</definedName>
    <definedName name="BA">VLOOKUP([3]APU!#REF!,[3]AUX!#REF!,2,FALSE)</definedName>
    <definedName name="Balas_Fluorescentes_en_Acero_Galvanizado_de_1x13_W__120_V." localSheetId="7">#REF!</definedName>
    <definedName name="Balas_Fluorescentes_en_Acero_Galvanizado_de_1x13_W__120_V.">#REF!</definedName>
    <definedName name="Balas_Fluorescentes_en_Acero_Galvanizado_de_1x42_W__120_V." localSheetId="7">#REF!</definedName>
    <definedName name="Balas_Fluorescentes_en_Acero_Galvanizado_de_1x42_W__120_V.">#REF!</definedName>
    <definedName name="Balas_Fluorescentes_en_Acero_Galvanizado_de_2x26_W__120_V." localSheetId="7">#REF!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B" localSheetId="7">SUMIF([3]APU!#REF!,[3]APU!#REF!,[3]APU!D$1:D$65536)+SUMIF([3]APU!#REF!,[3]APU!#REF!&amp;"6I",[3]APU!E$1:E$65536)</definedName>
    <definedName name="BB">SUMIF([3]APU!#REF!,[3]APU!#REF!,[3]APU!D$1:D$65536)+SUMIF([3]APU!#REF!,[3]APU!#REF!&amp;"6I",[3]APU!E$1:E$65536)</definedName>
    <definedName name="BC" localSheetId="7">VLOOKUP([3]APU!#REF!,[3]INS!#REF!,5,FALSE)</definedName>
    <definedName name="BC">VLOOKUP([3]APU!#REF!,[3]INS!#REF!,5,FALSE)</definedName>
    <definedName name="BD" localSheetId="7">VLOOKUP([3]APU!#REF!,[3]APU!#REF!,2,FALSE)</definedName>
    <definedName name="BD">VLOOKUP([3]APU!#REF!,[3]APU!#REF!,2,FALSE)</definedName>
    <definedName name="BE">VLOOKUP([3]APU!$C1,[3]APU!$G$1:$L$65536,3,FALSE)*[3]APU!$G1</definedName>
    <definedName name="Bebederos_para_parque" localSheetId="7">#REF!</definedName>
    <definedName name="Bebederos_para_parque">#REF!</definedName>
    <definedName name="Bicicletero" localSheetId="7">#REF!</definedName>
    <definedName name="Bicicletero">#REF!</definedName>
    <definedName name="Bisagra_aluminio_Extruído_3" localSheetId="7">#REF!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_PPTO">#N/A</definedName>
    <definedName name="Caolin">#REF!</definedName>
    <definedName name="CapActividad">#REF!</definedName>
    <definedName name="CapComponent">#REF!</definedName>
    <definedName name="CapResumen">#REF!</definedName>
    <definedName name="Cargador_frontal">#REF!</definedName>
    <definedName name="Casetón_en_fibra_de_vidrio.">#REF!</definedName>
    <definedName name="Caucho_Sabanero_1.50_m">#REF!</definedName>
    <definedName name="CD" localSheetId="7">VLOOKUP([3]APU!#REF!,[3]INS!#REF!,4,FALSE)</definedName>
    <definedName name="CD">VLOOKUP([3]APU!#REF!,[3]INS!#REF!,4,FALSE)</definedName>
    <definedName name="Cedro_caqueta_pieza" localSheetId="7">#REF!</definedName>
    <definedName name="Cedro_caqueta_pieza">#REF!</definedName>
    <definedName name="Celosía_en_aluminio" localSheetId="7">#REF!</definedName>
    <definedName name="Celosía_en_aluminio">#REF!</definedName>
    <definedName name="Cemento_Blanco" localSheetId="7">#REF!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#N/A</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OLIDADO" localSheetId="7">[4]PRESUPUESTO!$B$13:$I$1275</definedName>
    <definedName name="CONSOLIDADO">[5]PRESUPUESTO!$B$13:$I$1275</definedName>
    <definedName name="CONSOLIDAR" localSheetId="7">[6]Materiales!$C$19:$J$2000</definedName>
    <definedName name="CONSOLIDAR">[7]Materiales!$C$19:$J$2000</definedName>
    <definedName name="CONTRATISTA">[8]VARIABLES!$C$9</definedName>
    <definedName name="CONTRATO.No">[8]VARIABLES!$C$6</definedName>
    <definedName name="CotizacionARP" localSheetId="7">#REF!</definedName>
    <definedName name="CotizacionARP">#REF!</definedName>
    <definedName name="Cuadrilla_Albañilería_OF_Ayudante" localSheetId="7">#REF!</definedName>
    <definedName name="Cuadrilla_Albañilería_OF_Ayudante">#REF!</definedName>
    <definedName name="Cubierta_sándwich___Deck_Aluzinc_333C_mm_Cal_26" localSheetId="7">#REF!</definedName>
    <definedName name="Cubierta_sándwich___Deck_Aluzinc_333C_mm_Cal_26">#REF!</definedName>
    <definedName name="Cubierta_Trapezoidal_Acesco_3_05">#REF!</definedName>
    <definedName name="Cuchillas">#REF!</definedName>
    <definedName name="Cupula_tragante_4_x2">#REF!</definedName>
    <definedName name="Dbgcm">#REF!</definedName>
    <definedName name="Dcacm">#REF!</definedName>
    <definedName name="des">#REF!</definedName>
    <definedName name="DESC">VLOOKUP([3]PPTO!$F1,[3]AC!$B$1:$D$65536,2,0)</definedName>
    <definedName name="Desinfeccion_del_Sistema_de_Agua_Potable" localSheetId="7">#REF!</definedName>
    <definedName name="Desinfeccion_del_Sistema_de_Agua_Potable">#REF!</definedName>
    <definedName name="DifConsultoriaFMMin" localSheetId="7">#REF!</definedName>
    <definedName name="DifConsultoriaFMMin">#REF!</definedName>
    <definedName name="Disolvente_Thinner" localSheetId="7">#REF!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sbcm">#REF!</definedName>
    <definedName name="ducha_antivandalica_mezclador">#REF!</definedName>
    <definedName name="Durmiente_3_m">#REF!</definedName>
    <definedName name="Durmiente_Abarco_4m">#REF!</definedName>
    <definedName name="Durmiente_Ordinario_4m">#REF!</definedName>
    <definedName name="ECO">#REF!</definedName>
    <definedName name="Emeflex_3_00_mm">#REF!</definedName>
    <definedName name="Endurecedor">#REF!</definedName>
    <definedName name="Entramado_piso__repisas_8_4_3">#REF!</definedName>
    <definedName name="EQ_P">#N/A</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 localSheetId="7">[9]EQUIPOS!$B$20:$IV$1000</definedName>
    <definedName name="EQUIPOS">[10]EQUIPOS!$B$20:$IV$1000</definedName>
    <definedName name="ESC">#N/A</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CONTRATO">[8]VARIABLES!$C$7</definedName>
    <definedName name="fffff" localSheetId="7">#REF!</definedName>
    <definedName name="fffff">#REF!</definedName>
    <definedName name="Fijamix_Alfa" localSheetId="7">#REF!</definedName>
    <definedName name="Fijamix_Alfa">#REF!</definedName>
    <definedName name="FJRG" localSheetId="7">#REF!</definedName>
    <definedName name="FJRG">#REF!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frmMainForm_tblFormContainer_trContentRow_tdLeftColumn_divViewProfilePerspective_tblProfileDetails_trIsGroupContentRow_tdTitleCell_rptIsGroupRepeater_rpteIsGroupConditionalElements_lnkIsGroupConditionalSpan_1" localSheetId="2">Directorio!#REF!</definedName>
    <definedName name="G">IF(ISERROR([3]PPTO!G1+[3]PPTO!I1+[3]PPTO!K1+[3]PPTO!M1+[3]PPTO!O1),"",ROUND(([3]PPTO!G1+[3]PPTO!I1+[3]PPTO!K1+[3]PPTO!M1+[3]PPTO!O1),2))</definedName>
    <definedName name="Gabinete_Cerrado_de_Comunicaciones_de_100x60x60_cm." localSheetId="7">#REF!</definedName>
    <definedName name="Gabinete_Cerrado_de_Comunicaciones_de_100x60x60_cm.">#REF!</definedName>
    <definedName name="Gabinete_Cerrado_de_Comunicaciones_de_60x60x60_cm." localSheetId="7">#REF!</definedName>
    <definedName name="Gabinete_Cerrado_de_Comunicaciones_de_60x60x60_cm.">#REF!</definedName>
    <definedName name="Gabinetes_de_Incendio" localSheetId="7">#REF!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estores">[11]Datos!$A$2:$A$100</definedName>
    <definedName name="gggg" localSheetId="7">#REF!</definedName>
    <definedName name="gggg">#REF!</definedName>
    <definedName name="Grama_Kikuyo" localSheetId="7">#REF!</definedName>
    <definedName name="Grama_Kikuyo">#REF!</definedName>
    <definedName name="Granito__No_hay_sugerencias__peruano_No_3" localSheetId="7">#REF!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TEM1">#REF!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Jardines">#REF!</definedName>
    <definedName name="JP">VLOOKUP([3]APU!#REF!,[3]AUX!#REF!,2,FALSE)</definedName>
    <definedName name="Juego_de_incrustaciones_acuacer" localSheetId="7">#REF!</definedName>
    <definedName name="Juego_de_incrustaciones_acuacer">#REF!</definedName>
    <definedName name="Juego_de_incrustaciones_en_color_blanco" localSheetId="7">#REF!</definedName>
    <definedName name="Juego_de_incrustaciones_en_color_blanco">#REF!</definedName>
    <definedName name="Juegos_infantiles_según_catálogo_I.D.R.D." localSheetId="7">#REF!</definedName>
    <definedName name="Juegos_infantiles_según_catálogo_I.D.R.D.">#REF!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G">LEN([3]PPTO!$F1)</definedName>
    <definedName name="Lija" localSheetId="7">#REF!</definedName>
    <definedName name="Lija">#REF!</definedName>
    <definedName name="Listón_1.5x3x3" localSheetId="7">#REF!</definedName>
    <definedName name="Listón_1.5x3x3">#REF!</definedName>
    <definedName name="Listón_M.H._Guayacán" localSheetId="7">#REF!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 localSheetId="7">[12]CUADRILLAS!$A$11:$H$1000</definedName>
    <definedName name="MANOBRA">[13]CUADRILLAS!$A$11:$H$1000</definedName>
    <definedName name="Manto_Fiber_GLass_600_XT" localSheetId="7">#REF!</definedName>
    <definedName name="Manto_Fiber_GLass_600_XT">#REF!</definedName>
    <definedName name="Manual_de_Operación_y_Mantenimiento" localSheetId="7">#REF!</definedName>
    <definedName name="Manual_de_Operación_y_Mantenimiento">#REF!</definedName>
    <definedName name="Marco_en_Lamina_Cal._18_2.10x1.50_P_13" localSheetId="7">#REF!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_P">#N/A</definedName>
    <definedName name="MATERIALES" localSheetId="7">[6]Materiales!$B$19:$J$2977</definedName>
    <definedName name="MATERIALES">[7]Materiales!$B$19:$J$2977</definedName>
    <definedName name="matriz">'[14]Calculo Puntaje'!#REF!</definedName>
    <definedName name="MAUL">#N/A</definedName>
    <definedName name="MBAT">#N/A</definedName>
    <definedName name="MCIR">#N/A</definedName>
    <definedName name="Mecheros_Bunsen">#REF!</definedName>
    <definedName name="Medidores__Domestico__2">#REF!</definedName>
    <definedName name="Medidores__Incendio__1_1_2">#REF!</definedName>
    <definedName name="MESC">#N/A</definedName>
    <definedName name="Mesones_de_atención_en_granito_color_gris_jaspe.">#REF!</definedName>
    <definedName name="Metal_Deck_Cal_22">#REF!</definedName>
    <definedName name="Mineral">#REF!</definedName>
    <definedName name="MLAB">#N/A</definedName>
    <definedName name="MO_P">#N/A</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UMERO">#REF!</definedName>
    <definedName name="NUX">IF(MATCH(MAX([3]APU!$I1:$L1),[3]APU!$I1:$L1,0)=2,1,IF(MATCH(MAX([3]APU!$I1:$L1),[3]APU!$I1:$L1,0)=1,6,IF(MATCH(MAX([3]APU!$I1:$L1),[3]APU!$I1:$L1,0)=3,2,4)))</definedName>
    <definedName name="OBJETO.CONTRATO">[8]VARIABLES!$C$8</definedName>
    <definedName name="Oficial" localSheetId="7">#REF!</definedName>
    <definedName name="Oficial">#REF!</definedName>
    <definedName name="Organizador_de_Cables_de_Puenteo" localSheetId="7">#REF!</definedName>
    <definedName name="Organizador_de_Cables_de_Puenteo">#REF!</definedName>
    <definedName name="Orinal_Mediano_Ref._08860" localSheetId="7">#REF!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ROUND(VLOOKUP([3]PPTO!$F1,[3]APU!$G$1:$H$65536,2,FALSE),0)</definedName>
    <definedName name="Pegacor" localSheetId="7">#REF!</definedName>
    <definedName name="Pegacor">#REF!</definedName>
    <definedName name="Pegante_Colbón" localSheetId="7">#REF!</definedName>
    <definedName name="Pegante_Colbón">#REF!</definedName>
    <definedName name="Percha_en_AI_Doble_Ref._FB_5502" localSheetId="7">#REF!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ESUPUESTO" localSheetId="7">[4]PRESUPUESTO!$B$6:$L$2024</definedName>
    <definedName name="PRESUPUESTO">[5]PRESUPUESTO!$B$6:$L$2024</definedName>
    <definedName name="Profesionales">[11]Datos!$B$2:$B$60</definedName>
    <definedName name="Puentes_metalicos_Según_Diseño" localSheetId="7">#REF!</definedName>
    <definedName name="Puentes_metalicos_Según_Diseño">#REF!</definedName>
    <definedName name="Puerta_en_Lamina_Cal._18_2.10x60__Incluye_marco_y_Rejilla__P_10" localSheetId="7">#REF!</definedName>
    <definedName name="Puerta_en_Lamina_Cal._18_2.10x60__Incluye_marco_y_Rejilla__P_10">#REF!</definedName>
    <definedName name="Puerta_en_Lamina_Cal._18_2.10x75__Incluye_marco_y_Rejilla__P_8" localSheetId="7">#REF!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Z">VLOOKUP([3]PPTO!$F1,[3]APU!$G$1:$H$65536,2,FALSE)</definedName>
    <definedName name="Recebo_común" localSheetId="7">#REF!</definedName>
    <definedName name="Recebo_común">#REF!</definedName>
    <definedName name="registro_aparatos" localSheetId="7">#REF!</definedName>
    <definedName name="registro_aparatos">#REF!</definedName>
    <definedName name="Registro_Toya_3_4" localSheetId="7">#REF!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[8]VARIABLES!$C$11</definedName>
    <definedName name="REP.CONTRATISTA">[8]VARIABLES!$C$10</definedName>
    <definedName name="Reparaciones_en_PVC_A.LL._2" localSheetId="7">#REF!</definedName>
    <definedName name="Reparaciones_en_PVC_A.LL._2">#REF!</definedName>
    <definedName name="Reparaciones_en_PVC_A.LL._3" localSheetId="7">#REF!</definedName>
    <definedName name="Reparaciones_en_PVC_A.LL._3">#REF!</definedName>
    <definedName name="Reparaciones_en_PVC_A.LL._4" localSheetId="7">#REF!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SUMIF([3]PPTO!$B$1:$B$65536,[3]PPTO!$B2,[3]PPTO!A$1:A$65536)</definedName>
    <definedName name="Salida_de_Barrera_Fotoelectrica" localSheetId="7">#REF!</definedName>
    <definedName name="Salida_de_Barrera_Fotoelectrica">#REF!</definedName>
    <definedName name="Salida_de_Datos_1XRJ45__Cat_5___Incluye_toma_cajas__Faceplate_y_Accesorios" localSheetId="7">#REF!</definedName>
    <definedName name="Salida_de_Datos_1XRJ45__Cat_5___Incluye_toma_cajas__Faceplate_y_Accesorios">#REF!</definedName>
    <definedName name="Salida_de_Sensor_de_Movimiento" localSheetId="7">#REF!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SUMIF([3]PPTO!$C$1:$C$65536,[3]PPTO!$C2,[3]PPTO!A$1:A$65536)</definedName>
    <definedName name="SCQ">SUMIF([3]PPTO!$B$1:$B$65536,[3]PPTO!$B2,[3]PPTO!$Z$1:$Z$65536)</definedName>
    <definedName name="SCV">VLOOKUP([3]PPTO!$F1,[3]APU!$G$1:$H$65536,2,FALSE)</definedName>
    <definedName name="Seccionador_de_Maniobras_de_17.5_KV_630_A" localSheetId="7">#REF!</definedName>
    <definedName name="Seccionador_de_Maniobras_de_17.5_KV_630_A">#REF!</definedName>
    <definedName name="Seguetas" localSheetId="7">#REF!</definedName>
    <definedName name="Seguetas">#REF!</definedName>
    <definedName name="Servicio_de_Volqueta" localSheetId="7">#REF!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[8]PERSONAL!$D$8</definedName>
    <definedName name="TipoCosteoNivelRiesgo" localSheetId="7">#REF!</definedName>
    <definedName name="TipoCosteoNivelRiesgo">#REF!</definedName>
    <definedName name="Tiras_Alistado_3_x_3_x_3" localSheetId="7">#REF!</definedName>
    <definedName name="Tiras_Alistado_3_x_3_x_3">#REF!</definedName>
    <definedName name="_xlnm.Print_Titles" localSheetId="6">'Requisitos Técnicos'!$A:$A</definedName>
    <definedName name="Toma_telefónica" localSheetId="7">#REF!</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VLOOKUP([3]PPTO!$F1,[3]AC!$B$1:$D$65536,3,FALSE)</definedName>
    <definedName name="V">[3]INS!$F$464*(1+[3]INS!$I$464)</definedName>
    <definedName name="V_1___2.7x1.966___Plano_de_Detalle_No._A_159" localSheetId="7">#REF!</definedName>
    <definedName name="V_1___2.7x1.966___Plano_de_Detalle_No._A_159">#REF!</definedName>
    <definedName name="V_10___1.8x6.9___Plano_de_Detalle_No._A_161" localSheetId="7">#REF!</definedName>
    <definedName name="V_10___1.8x6.9___Plano_de_Detalle_No._A_161">#REF!</definedName>
    <definedName name="V_11___2x1.9___Plano_de_Detalle_No._A_161" localSheetId="7">#REF!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U">ROUND(VLOOKUP([3]PPTO!$F1,[3]APU!$G$1:$H$65536,2,FALSE),0)</definedName>
    <definedName name="VA">IF(SUMIF([3]PPTO!$C$1:$C$65536,[3]PPTO!$C2,[3]PPTO!$Z$1:$Z$65536)=0,"",SUMIF([3]PPTO!$C$1:$C$65536,[3]PPTO!$C2,[3]PPTO!$Z$1:$Z$65536))</definedName>
    <definedName name="Valla_Informativa_Licencia_2.00X1.00" localSheetId="7">#REF!</definedName>
    <definedName name="Valla_Informativa_Licencia_2.00X1.00">#REF!</definedName>
    <definedName name="Valvula_de_Paso_Directo_125_PSIG_Vapor__200_PSIG_Agua_1" localSheetId="7">#REF!</definedName>
    <definedName name="Valvula_de_Paso_Directo_125_PSIG_Vapor__200_PSIG_Agua_1">#REF!</definedName>
    <definedName name="Valvula_de_Paso_Directo_125_PSIG_Vapor__200_PSIG_Agua_1_1_2" localSheetId="7">#REF!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UN_ACT">#N/A</definedName>
    <definedName name="VR_UN_EQ">#N/A</definedName>
    <definedName name="VR_UN_MO">#N/A</definedName>
    <definedName name="VR_UN_TPTE">#N/A</definedName>
    <definedName name="wrn.Presup.._.Tramo._.3._.Defin.." localSheetId="7"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7"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VLOOKUP([3]PPTO!$F1,[3]APU!$G$1:$L$65536,4,FALSE)</definedName>
    <definedName name="YB">VLOOKUP([3]PPTO!$F1,[3]APU!$G$1:$L$65536,5,FALSE)</definedName>
    <definedName name="YC">VLOOKUP([3]PPTO!$F1,[3]APU!$G$1:$L$65536,3,FALSE)</definedName>
    <definedName name="YD">VLOOKUP([3]PPTO!$F1,[3]APU!$G$1:$L$65536,6,FALSE)</definedName>
    <definedName name="Yeso" localSheetId="7">#REF!</definedName>
    <definedName name="Yeso">#REF!</definedName>
    <definedName name="z">[15]Datos!$B$2:$B$60</definedName>
    <definedName name="Zocalo_en_acero_inoxidable_e_0_10_ML" localSheetId="7">#REF!</definedName>
    <definedName name="Zocalo_en_acero_inoxidable_e_0_10_ML">#REF!</definedName>
    <definedName name="Zorra_Metalica__Ruedas_de_Caucho" localSheetId="7">#REF!</definedName>
    <definedName name="Zorra_Metalica__Ruedas_de_Caucho">#REF!</definedName>
  </definedNames>
  <calcPr calcId="191028"/>
  <pivotCaches>
    <pivotCache cacheId="0" r:id="rId2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0" i="16" l="1"/>
  <c r="K60" i="16" s="1"/>
  <c r="J61" i="16"/>
  <c r="J62" i="16"/>
  <c r="K62" i="16" s="1"/>
  <c r="J63" i="16"/>
  <c r="K63" i="16" s="1"/>
  <c r="J64" i="16"/>
  <c r="K64" i="16" s="1"/>
  <c r="J59" i="16"/>
  <c r="K59" i="16" s="1"/>
  <c r="K66" i="16" s="1"/>
  <c r="U115" i="16"/>
  <c r="T115" i="16"/>
  <c r="U84" i="16"/>
  <c r="T84" i="16"/>
  <c r="I45" i="16"/>
  <c r="I44" i="16"/>
  <c r="I91" i="16"/>
  <c r="I90" i="16"/>
  <c r="J90" i="16"/>
  <c r="I88" i="16"/>
  <c r="I87" i="16"/>
  <c r="J110" i="16"/>
  <c r="J109" i="16"/>
  <c r="I110" i="16"/>
  <c r="I109" i="16"/>
  <c r="J108" i="16"/>
  <c r="I108" i="16"/>
  <c r="J89" i="16"/>
  <c r="K89" i="16" s="1"/>
  <c r="T89" i="16" s="1"/>
  <c r="J88" i="16"/>
  <c r="J87" i="16"/>
  <c r="I98" i="16"/>
  <c r="I97" i="16"/>
  <c r="I96" i="16"/>
  <c r="I95" i="16"/>
  <c r="I94" i="16"/>
  <c r="J97" i="16"/>
  <c r="I107" i="16"/>
  <c r="J96" i="16"/>
  <c r="J95" i="16"/>
  <c r="J94" i="16"/>
  <c r="I99" i="16"/>
  <c r="I100" i="16"/>
  <c r="I101" i="16"/>
  <c r="I102" i="16"/>
  <c r="I103" i="16"/>
  <c r="J102" i="16"/>
  <c r="J100" i="16"/>
  <c r="J101" i="16"/>
  <c r="J99" i="16"/>
  <c r="J103" i="16"/>
  <c r="E4" i="50"/>
  <c r="G4" i="50"/>
  <c r="I93" i="16"/>
  <c r="J93" i="16"/>
  <c r="B1" i="16"/>
  <c r="E38" i="16"/>
  <c r="H38" i="16"/>
  <c r="I40" i="16"/>
  <c r="J40" i="16"/>
  <c r="I41" i="16"/>
  <c r="J41" i="16"/>
  <c r="I42" i="16"/>
  <c r="J42" i="16"/>
  <c r="J43" i="16"/>
  <c r="K43" i="16" s="1"/>
  <c r="J44" i="16"/>
  <c r="J45" i="16"/>
  <c r="I46" i="16"/>
  <c r="J46" i="16"/>
  <c r="I47" i="16"/>
  <c r="J47" i="16"/>
  <c r="J48" i="16"/>
  <c r="K48" i="16" s="1"/>
  <c r="P48" i="16"/>
  <c r="Q48" i="16" s="1"/>
  <c r="S48" i="16" s="1"/>
  <c r="J49" i="16"/>
  <c r="K49" i="16" s="1"/>
  <c r="J50" i="16"/>
  <c r="K50" i="16" s="1"/>
  <c r="I51" i="16"/>
  <c r="J51" i="16"/>
  <c r="I52" i="16"/>
  <c r="J52" i="16"/>
  <c r="I53" i="16"/>
  <c r="J53" i="16"/>
  <c r="I54" i="16"/>
  <c r="J54" i="16"/>
  <c r="I55" i="16"/>
  <c r="J55" i="16"/>
  <c r="J56" i="16"/>
  <c r="K56" i="16"/>
  <c r="K61" i="16"/>
  <c r="J65" i="16"/>
  <c r="K65" i="16"/>
  <c r="I66" i="16"/>
  <c r="K129" i="16"/>
  <c r="K128" i="16"/>
  <c r="K127" i="16"/>
  <c r="K126" i="16"/>
  <c r="K125" i="16"/>
  <c r="K122" i="16"/>
  <c r="K121" i="16"/>
  <c r="K120" i="16"/>
  <c r="K119" i="16"/>
  <c r="K118" i="16"/>
  <c r="K113" i="16"/>
  <c r="K112" i="16"/>
  <c r="U112" i="16" s="1"/>
  <c r="U114" i="16" s="1"/>
  <c r="K106" i="16"/>
  <c r="T106" i="16" s="1"/>
  <c r="K81" i="16"/>
  <c r="K80" i="16"/>
  <c r="K79" i="16"/>
  <c r="K78" i="16"/>
  <c r="K77" i="16"/>
  <c r="K74" i="16"/>
  <c r="K73" i="16"/>
  <c r="K72" i="16"/>
  <c r="K71" i="16"/>
  <c r="K70" i="16"/>
  <c r="K35" i="16"/>
  <c r="K34" i="16"/>
  <c r="K33" i="16"/>
  <c r="K32" i="16"/>
  <c r="K31" i="16"/>
  <c r="K28" i="16"/>
  <c r="K27" i="16"/>
  <c r="K26" i="16"/>
  <c r="K25" i="16"/>
  <c r="K24" i="16"/>
  <c r="K19" i="16"/>
  <c r="K14" i="16"/>
  <c r="I13" i="16"/>
  <c r="I15" i="16" s="1"/>
  <c r="M13" i="44"/>
  <c r="H13" i="44"/>
  <c r="M12" i="44"/>
  <c r="H12" i="44"/>
  <c r="L13" i="44"/>
  <c r="K13" i="44"/>
  <c r="G13" i="44"/>
  <c r="F13" i="44"/>
  <c r="L12" i="44"/>
  <c r="K12" i="44"/>
  <c r="G12" i="44"/>
  <c r="F12" i="44"/>
  <c r="J13" i="44"/>
  <c r="E13" i="44"/>
  <c r="J12" i="44"/>
  <c r="E12" i="44"/>
  <c r="C13" i="44"/>
  <c r="C12" i="44"/>
  <c r="C50" i="49"/>
  <c r="E50" i="49" s="1"/>
  <c r="E41" i="49"/>
  <c r="R10" i="41"/>
  <c r="V10" i="41" s="1"/>
  <c r="R6" i="41"/>
  <c r="V6" i="41" s="1"/>
  <c r="S1" i="41"/>
  <c r="J10" i="41"/>
  <c r="N10" i="41" s="1"/>
  <c r="J6" i="41"/>
  <c r="N6" i="41" s="1"/>
  <c r="K1" i="41"/>
  <c r="C32" i="49"/>
  <c r="E32" i="49" s="1"/>
  <c r="C11" i="49"/>
  <c r="E11" i="49" s="1"/>
  <c r="E21" i="49"/>
  <c r="I130" i="16"/>
  <c r="J129" i="16"/>
  <c r="J128" i="16"/>
  <c r="J127" i="16"/>
  <c r="J126" i="16"/>
  <c r="J125" i="16"/>
  <c r="I123" i="16"/>
  <c r="J122" i="16"/>
  <c r="J121" i="16"/>
  <c r="J120" i="16"/>
  <c r="J119" i="16"/>
  <c r="J118" i="16"/>
  <c r="C116" i="16"/>
  <c r="J113" i="16"/>
  <c r="J112" i="16"/>
  <c r="J111" i="16"/>
  <c r="K111" i="16" s="1"/>
  <c r="T111" i="16" s="1"/>
  <c r="J107" i="16"/>
  <c r="J106" i="16"/>
  <c r="J98" i="16"/>
  <c r="J92" i="16"/>
  <c r="K92" i="16" s="1"/>
  <c r="T92" i="16" s="1"/>
  <c r="J91" i="16"/>
  <c r="K91" i="16" s="1"/>
  <c r="T91" i="16" s="1"/>
  <c r="J86" i="16"/>
  <c r="K86" i="16" s="1"/>
  <c r="T86" i="16" s="1"/>
  <c r="E84" i="16"/>
  <c r="I82" i="16"/>
  <c r="J81" i="16"/>
  <c r="J80" i="16"/>
  <c r="J79" i="16"/>
  <c r="J78" i="16"/>
  <c r="J77" i="16"/>
  <c r="I75" i="16"/>
  <c r="J74" i="16"/>
  <c r="J73" i="16"/>
  <c r="J72" i="16"/>
  <c r="J71" i="16"/>
  <c r="J70" i="16"/>
  <c r="C68" i="16"/>
  <c r="E68" i="16" s="1"/>
  <c r="C22" i="16"/>
  <c r="E22" i="16" s="1"/>
  <c r="M5" i="1"/>
  <c r="M6" i="1"/>
  <c r="H84" i="16" s="1"/>
  <c r="B5" i="1"/>
  <c r="B6" i="1"/>
  <c r="M11" i="44"/>
  <c r="M10" i="44"/>
  <c r="L11" i="44"/>
  <c r="K11" i="44"/>
  <c r="B10" i="41"/>
  <c r="F10" i="41" s="1"/>
  <c r="F6" i="41"/>
  <c r="L10" i="44"/>
  <c r="K10" i="44"/>
  <c r="H10" i="44"/>
  <c r="H11" i="44"/>
  <c r="G11" i="44"/>
  <c r="F11" i="44"/>
  <c r="G10" i="44"/>
  <c r="F10" i="44"/>
  <c r="J11" i="44"/>
  <c r="E11" i="44"/>
  <c r="E2" i="49"/>
  <c r="I36" i="16"/>
  <c r="J35" i="16"/>
  <c r="J34" i="16"/>
  <c r="J33" i="16"/>
  <c r="J32" i="16"/>
  <c r="J31" i="16"/>
  <c r="I29" i="16"/>
  <c r="J28" i="16"/>
  <c r="J27" i="16"/>
  <c r="J26" i="16"/>
  <c r="J25" i="16"/>
  <c r="J24" i="16"/>
  <c r="I20" i="16"/>
  <c r="J13" i="16"/>
  <c r="J19" i="16"/>
  <c r="J18" i="16"/>
  <c r="K18" i="16" s="1"/>
  <c r="J17" i="16"/>
  <c r="K17" i="16" s="1"/>
  <c r="E11" i="16"/>
  <c r="J14" i="16"/>
  <c r="B6" i="41"/>
  <c r="P87" i="16" l="1"/>
  <c r="R87" i="16" s="1"/>
  <c r="K88" i="16"/>
  <c r="T88" i="16" s="1"/>
  <c r="K90" i="16"/>
  <c r="T90" i="16" s="1"/>
  <c r="K47" i="16"/>
  <c r="K108" i="16"/>
  <c r="T108" i="16" s="1"/>
  <c r="P94" i="16"/>
  <c r="R94" i="16" s="1"/>
  <c r="K97" i="16"/>
  <c r="U97" i="16" s="1"/>
  <c r="K87" i="16"/>
  <c r="T87" i="16" s="1"/>
  <c r="K98" i="16"/>
  <c r="U98" i="16" s="1"/>
  <c r="K109" i="16"/>
  <c r="T109" i="16" s="1"/>
  <c r="K110" i="16"/>
  <c r="T110" i="16" s="1"/>
  <c r="U92" i="16"/>
  <c r="I114" i="16"/>
  <c r="K95" i="16"/>
  <c r="U95" i="16" s="1"/>
  <c r="K107" i="16"/>
  <c r="K41" i="16"/>
  <c r="K96" i="16"/>
  <c r="U96" i="16" s="1"/>
  <c r="K100" i="16"/>
  <c r="U100" i="16" s="1"/>
  <c r="K102" i="16"/>
  <c r="U102" i="16" s="1"/>
  <c r="P99" i="16"/>
  <c r="R99" i="16" s="1"/>
  <c r="K94" i="16"/>
  <c r="U94" i="16" s="1"/>
  <c r="K103" i="16"/>
  <c r="U103" i="16" s="1"/>
  <c r="K101" i="16"/>
  <c r="U101" i="16" s="1"/>
  <c r="K99" i="16"/>
  <c r="U99" i="16" s="1"/>
  <c r="K42" i="16"/>
  <c r="I104" i="16"/>
  <c r="K52" i="16"/>
  <c r="P44" i="16"/>
  <c r="Q44" i="16" s="1"/>
  <c r="S44" i="16" s="1"/>
  <c r="K51" i="16"/>
  <c r="P51" i="16"/>
  <c r="Q51" i="16" s="1"/>
  <c r="S51" i="16" s="1"/>
  <c r="P40" i="16"/>
  <c r="Q40" i="16" s="1"/>
  <c r="S40" i="16" s="1"/>
  <c r="K54" i="16"/>
  <c r="K46" i="16"/>
  <c r="K44" i="16"/>
  <c r="K45" i="16"/>
  <c r="K53" i="16"/>
  <c r="K40" i="16"/>
  <c r="K55" i="16"/>
  <c r="I57" i="16"/>
  <c r="P46" i="16"/>
  <c r="Q46" i="16" s="1"/>
  <c r="S46" i="16" s="1"/>
  <c r="K13" i="16"/>
  <c r="H116" i="16"/>
  <c r="R2" i="41"/>
  <c r="J2" i="41"/>
  <c r="K75" i="16"/>
  <c r="K123" i="16"/>
  <c r="K130" i="16"/>
  <c r="K82" i="16"/>
  <c r="K36" i="16"/>
  <c r="K29" i="16"/>
  <c r="E116" i="16"/>
  <c r="H68" i="16"/>
  <c r="B4" i="1"/>
  <c r="K114" i="16" l="1"/>
  <c r="T107" i="16"/>
  <c r="T114" i="16" s="1"/>
  <c r="U104" i="16"/>
  <c r="K104" i="16"/>
  <c r="T104" i="16"/>
  <c r="K57" i="16"/>
  <c r="K6" i="11"/>
  <c r="J6" i="11"/>
  <c r="G6" i="11"/>
  <c r="B2" i="16" l="1"/>
  <c r="K20" i="16" l="1"/>
  <c r="K15" i="16"/>
  <c r="A2" i="44"/>
  <c r="M4" i="1" l="1"/>
  <c r="H11" i="16" l="1"/>
  <c r="H22" i="16"/>
  <c r="C1" i="41"/>
  <c r="B2" i="41" l="1"/>
  <c r="A6" i="44" l="1"/>
  <c r="A4" i="44"/>
  <c r="C11" i="44" l="1"/>
  <c r="M3" i="1" l="1"/>
  <c r="M2" i="1"/>
</calcChain>
</file>

<file path=xl/sharedStrings.xml><?xml version="1.0" encoding="utf-8"?>
<sst xmlns="http://schemas.openxmlformats.org/spreadsheetml/2006/main" count="813" uniqueCount="309">
  <si>
    <t>AÑO</t>
  </si>
  <si>
    <t>SMMLV</t>
  </si>
  <si>
    <t>Proceso No.</t>
  </si>
  <si>
    <t xml:space="preserve">Entidad: </t>
  </si>
  <si>
    <t>FONDO NACIONAL DEL AHORRO</t>
  </si>
  <si>
    <t>Objeto T:</t>
  </si>
  <si>
    <t>Presupuesto:</t>
  </si>
  <si>
    <t>Póliza de G. Y C. Crédito Req:</t>
  </si>
  <si>
    <t>Póliza de G. Y C. Crédito Req Grupo Unico</t>
  </si>
  <si>
    <t>Presupuesto Oficial en SMMLV</t>
  </si>
  <si>
    <t xml:space="preserve">Pago de derechos de participación </t>
  </si>
  <si>
    <t>USD</t>
  </si>
  <si>
    <t>Profesional de Estudios Previos</t>
  </si>
  <si>
    <t>Gerente de Convenio</t>
  </si>
  <si>
    <t>Asesor Juridico del Proceso</t>
  </si>
  <si>
    <t>Año de evaluacion del proceso</t>
  </si>
  <si>
    <t>SMMLV del año del proceso</t>
  </si>
  <si>
    <t xml:space="preserve"> </t>
  </si>
  <si>
    <t>PROFESIONAL DE ESTUDIOS PREVIOS</t>
  </si>
  <si>
    <t>ASESOR JURIDICO DEL PROCESO</t>
  </si>
  <si>
    <t>CARLOS HECTOR CASTRO</t>
  </si>
  <si>
    <t>JHON  JAIRO CORREDOR CALDAS</t>
  </si>
  <si>
    <t>CELMIRA MORENO CARRERO</t>
  </si>
  <si>
    <t>ALEXANDRA BAUTISTA BELTRAN</t>
  </si>
  <si>
    <t>DIANA PATRICIA LOPEZ ESTUPIÑAN</t>
  </si>
  <si>
    <t>CLAUDIA BEATRIZ NIETO</t>
  </si>
  <si>
    <t>ERICK VONN CABARCAS GOMEZ</t>
  </si>
  <si>
    <t>ELSA LUCIA CRUZ RODRIGUEZ</t>
  </si>
  <si>
    <t>FREDY CASTELLANOS OVIEDO</t>
  </si>
  <si>
    <t>GERMAN ANDRES URREGO SABOGAL</t>
  </si>
  <si>
    <t>GERMAN ALFONSO RODRIGUEZ SILVA</t>
  </si>
  <si>
    <t>IVAN ABELARDO SARMIENTO GALVIS</t>
  </si>
  <si>
    <t>HERNANDO ALFONSO GOMEZ LOPEZ</t>
  </si>
  <si>
    <t>JOSE RODRIGO BERMUDEZ CASTRO</t>
  </si>
  <si>
    <t>JAIRO FIDEL ORTEGA CHAPARRO</t>
  </si>
  <si>
    <t>MARGARITA MARIA MUÑOZ CABRERA</t>
  </si>
  <si>
    <t>JHON JAIRO  ORTIZ RODRIGUEZ</t>
  </si>
  <si>
    <t>SANTIAGO PEREZ BUITRAGO</t>
  </si>
  <si>
    <t>JORGE ANDRES OSORIO ORTIZ</t>
  </si>
  <si>
    <t>TANIA LILIANA SANABRIA BARRERA</t>
  </si>
  <si>
    <t>LUSANGELA GALINDO BERROCAL</t>
  </si>
  <si>
    <t>JAIME ALEJANDRO DURAN FONTANILLA</t>
  </si>
  <si>
    <t>MARIO ERIBERTO CHACON TUNJO</t>
  </si>
  <si>
    <t>MONICA YULIETH PONGUTA ACHURY</t>
  </si>
  <si>
    <t>MONICA SANCHEZ MORENO</t>
  </si>
  <si>
    <t>CAMILO ERNESTO QUIROGA MORA</t>
  </si>
  <si>
    <t>ORLANDO FABIO BARRIOS  LOZANO</t>
  </si>
  <si>
    <t>JUAN SEBASTIAN ARANGO PASTOR</t>
  </si>
  <si>
    <t>OSCAR JULIAN OLEA SALGADO</t>
  </si>
  <si>
    <t>SANDRA GIOVANA SALEH FRANCO</t>
  </si>
  <si>
    <t>WILSON BONILLA CRISTANCHO</t>
  </si>
  <si>
    <t>LUIS CARLOS ANDRADE FONSECA</t>
  </si>
  <si>
    <t>OFERENTE:</t>
  </si>
  <si>
    <t>º</t>
  </si>
  <si>
    <t>Como producto de la verificación de los Requisitos Técnicos, a la fecha del presente Informe el resultado es el siguiente:</t>
  </si>
  <si>
    <t>No</t>
  </si>
  <si>
    <t>OFERENTE</t>
  </si>
  <si>
    <t>(ORIGINAL FIRMADO)</t>
  </si>
  <si>
    <t>SANDRA CRISTINA JIMÉNEZ CIFUENTES</t>
  </si>
  <si>
    <t>Evaluador Técnico</t>
  </si>
  <si>
    <t>No.</t>
  </si>
  <si>
    <t>TIPO DE PROCESO CD, SB. CP, CPA</t>
  </si>
  <si>
    <t>NOMBRE DEL OFERENTE</t>
  </si>
  <si>
    <t>NIT</t>
  </si>
  <si>
    <t>ENCARGADO</t>
  </si>
  <si>
    <t>CEDULA</t>
  </si>
  <si>
    <t xml:space="preserve">Teléfono </t>
  </si>
  <si>
    <t>Fax</t>
  </si>
  <si>
    <t>Celular</t>
  </si>
  <si>
    <t xml:space="preserve">Direccion </t>
  </si>
  <si>
    <t xml:space="preserve">Email </t>
  </si>
  <si>
    <t xml:space="preserve">Ciudad </t>
  </si>
  <si>
    <t>NOMBRE COMPLETO</t>
  </si>
  <si>
    <t>INTEGRANTES DEL CONSORCIO O DE LA UNION TEMPORAL</t>
  </si>
  <si>
    <t>Socios Integrante 1</t>
  </si>
  <si>
    <t>Socios Integrante 2</t>
  </si>
  <si>
    <t>Socios Integrante 3</t>
  </si>
  <si>
    <t>Integrante 1</t>
  </si>
  <si>
    <t>% Int. 1</t>
  </si>
  <si>
    <t>NIT O CEDULA DE CIUDADANIA</t>
  </si>
  <si>
    <t>Integrante 2</t>
  </si>
  <si>
    <t>% Int. 2</t>
  </si>
  <si>
    <t>INTEGRANTE 3</t>
  </si>
  <si>
    <t>% Int. 3</t>
  </si>
  <si>
    <t>Integrante 4</t>
  </si>
  <si>
    <t>% Int. 4</t>
  </si>
  <si>
    <t>Integrante 5</t>
  </si>
  <si>
    <t>% Int. 5</t>
  </si>
  <si>
    <t>INTEGRANTE 6</t>
  </si>
  <si>
    <t>% Int. 6</t>
  </si>
  <si>
    <t>Integrante 7</t>
  </si>
  <si>
    <t>% Int. 7</t>
  </si>
  <si>
    <t>Integrante 8</t>
  </si>
  <si>
    <t>% Int. 8</t>
  </si>
  <si>
    <t>INTEGRANTE 9</t>
  </si>
  <si>
    <t>% Int. 9</t>
  </si>
  <si>
    <t>Socio 1</t>
  </si>
  <si>
    <t>Socio 2</t>
  </si>
  <si>
    <t>Socio 3</t>
  </si>
  <si>
    <t>Socio 4</t>
  </si>
  <si>
    <t>Socio 5</t>
  </si>
  <si>
    <t>Socio 6</t>
  </si>
  <si>
    <t>Nombre</t>
  </si>
  <si>
    <t>C. de Ciudadania</t>
  </si>
  <si>
    <t># Contratos</t>
  </si>
  <si>
    <t>Fecha Lím. Fin. Cont.</t>
  </si>
  <si>
    <t>Folio</t>
  </si>
  <si>
    <t>Contratista</t>
  </si>
  <si>
    <t>Objeto</t>
  </si>
  <si>
    <t>SMMLV para Cálculo</t>
  </si>
  <si>
    <t>Código UNSPSC</t>
  </si>
  <si>
    <t xml:space="preserve">CUMPLE/ NO CUMPLE </t>
  </si>
  <si>
    <t>Observaciones</t>
  </si>
  <si>
    <t>Consecutivo RUP</t>
  </si>
  <si>
    <t>NO CUMPLE</t>
  </si>
  <si>
    <t xml:space="preserve">SI </t>
  </si>
  <si>
    <t>NO</t>
  </si>
  <si>
    <t>OBSERVACIONES</t>
  </si>
  <si>
    <t>TOTAL</t>
  </si>
  <si>
    <t>INFORME DE EVALUACIÓN Y VERIFICACIÓN DE REQUISITOS DE CARÁCTER TÉCNICO FINAL</t>
  </si>
  <si>
    <t>RESULTADO DE LA EVALUACIÓN</t>
  </si>
  <si>
    <t>% Part Ejecución</t>
  </si>
  <si>
    <t>CUMPLE</t>
  </si>
  <si>
    <t>Valor en SMMLV</t>
  </si>
  <si>
    <t>PRESTACIÓN DEL SERVICIO DE INTERMEDIACIÓN DE SEGUROS PARA ASESORAR DE MANERA INTEGRAL A LA ENTIDAD EN LA ADMINISTRACIÓN DE LOS RIESGOS, PROCESOS DE CONTRATACIÓN, GESTIÓN DE LOS ASPECTOS TÉCNICOS, ADMINISTRATIVOS, OPERATIVOS Y COMERCIALES DE LAS PÓLIZAS QUE INTEGRAN EL PROGRAMA DE SEGUROS DEUDORES EN EL CUAL EL FONDO NACIONAL DEL AHORRO ACTÚA COMO TOMADOR POR CUENTA DE SUS DEUDORES Y/O LOCATARIOS</t>
  </si>
  <si>
    <t xml:space="preserve">4.2.1. EXPERIENCIA MÍNIMA HABILITANTE </t>
  </si>
  <si>
    <t>En ejecución</t>
  </si>
  <si>
    <t xml:space="preserve">RAMO </t>
  </si>
  <si>
    <t>RAMO</t>
  </si>
  <si>
    <t>Oferente Plural</t>
  </si>
  <si>
    <t>INSCRIPCIÓN EN EL RUP</t>
  </si>
  <si>
    <t>DESEMPLEO</t>
  </si>
  <si>
    <t>CRITERIO</t>
  </si>
  <si>
    <t>OBSERVACIÓN</t>
  </si>
  <si>
    <t>FORMACIÓN ACADÉMICA</t>
  </si>
  <si>
    <t xml:space="preserve">EXPERIENCIA </t>
  </si>
  <si>
    <t>Coordinador Experto en seguros de Vida Grupo Deudores</t>
  </si>
  <si>
    <r>
      <rPr>
        <b/>
        <sz val="11"/>
        <color theme="1"/>
        <rFont val="Arial Nova"/>
        <family val="2"/>
      </rPr>
      <t>PROFESIÓN: ABOGADO</t>
    </r>
    <r>
      <rPr>
        <sz val="11"/>
        <rFont val="Arial Nova"/>
        <family val="2"/>
      </rPr>
      <t xml:space="preserve">
UNIVERSIDAD PONTIFICA BOLIVARIANA
TARJETA PROFESIONAL No. 258851 fecha 11/06/2015 Vigente
Fecha de Grado: 27/06/2003
Tipo y No. Documento de Identidad: 71648485
(Anexa documentos soporte: Tarjeta profesional y acta de grado)</t>
    </r>
  </si>
  <si>
    <r>
      <rPr>
        <b/>
        <sz val="11"/>
        <color theme="1"/>
        <rFont val="Arial Nova"/>
        <family val="2"/>
      </rPr>
      <t>PROFESIÓN: ESPECIALISTA EN ADMINISTRACIÓN DE RIESGOS Y SEGUROS</t>
    </r>
    <r>
      <rPr>
        <sz val="11"/>
        <rFont val="Arial Nova"/>
        <family val="2"/>
      </rPr>
      <t xml:space="preserve">
UNIVERSIDAD EAFIT
Fecha de Grado: 25/08/2006
(Anexa documentos soporte: Diploma)</t>
    </r>
  </si>
  <si>
    <r>
      <rPr>
        <b/>
        <sz val="11"/>
        <color theme="1"/>
        <rFont val="Arial Nova"/>
        <family val="2"/>
      </rPr>
      <t xml:space="preserve">EXPERIENCIA ESPECÍFICA:  
1. EMPRESAS - WILLIS TOWERS WATSON COLOMBIA CORREDORES DE SEGUROS S.A.
</t>
    </r>
    <r>
      <rPr>
        <sz val="11"/>
        <color theme="1"/>
        <rFont val="Arial Nova"/>
        <family val="2"/>
      </rPr>
      <t xml:space="preserve">Fecha inicio 20/05/1993      Fecha Finaliza 28/06/2024
Tiempo Total:   Año  meses  días
</t>
    </r>
  </si>
  <si>
    <t>31 AÑOS 1 MESES 1 DÍA</t>
  </si>
  <si>
    <t>Condición contratante</t>
  </si>
  <si>
    <t>OBJETO</t>
  </si>
  <si>
    <t>Valor Prima</t>
  </si>
  <si>
    <t>LOTE 1 VIDA GRUPO DEUDORES o COLECTIVO VIDA</t>
  </si>
  <si>
    <t>Valor Pagado Siniestro</t>
  </si>
  <si>
    <t>Cliente o tomador</t>
  </si>
  <si>
    <t>Primas max 5</t>
  </si>
  <si>
    <t>cliente o tomador</t>
  </si>
  <si>
    <t>cliente o tomador
Aseguradora</t>
  </si>
  <si>
    <t xml:space="preserve"> gestión como intermediario de seguros de clientes (entidades del sector público o privado)</t>
  </si>
  <si>
    <t>SMLMV</t>
  </si>
  <si>
    <t>LOTE 2 DESEMPLEO</t>
  </si>
  <si>
    <t>Siniestros max 5</t>
  </si>
  <si>
    <t>VIDA GRUPO DEUDORES o COLECTIVO VIDA</t>
  </si>
  <si>
    <t>Fecha pago Siniestro</t>
  </si>
  <si>
    <t>Terminación vigencia técnica póliza</t>
  </si>
  <si>
    <t>84131600:
Seguros de vida, salud y accidentes</t>
  </si>
  <si>
    <t>pólizas con vigencias técnicas terminadas.</t>
  </si>
  <si>
    <t>Cliente o tomador o Aseguradora</t>
  </si>
  <si>
    <t>El proponente deberá manifestar mediante la suscripción por el Representante Legal del FORMATO No. 22 COMPROMISO PERSONAL MÍNIMO REQUERIDO, que entiende, acepta y cuenta con el personal mínimo requerido en el anexo No. 2 Personal Mínimo Requerido y por ende se compromete a presentar los documentos soporte de la acreditación de experiencia y formación académica de todo el equipo de trabajo antes del inicio de la ejecución del contrato, los cuales deberán ser aprobados como requisito para la suscripción del acta de inicio. Además, debe constar que cuenta con los recursos adicionales que el Contratista deba poner a disposición y que considere para la ejecución del contrato.
En caso de que la propuesta sea presentada por una unión temporal o consorcio la certificación deberá estar suscrita por el representante legal de la estructura plural</t>
  </si>
  <si>
    <t>4. oferentes plurales: todos los miembros que la integran acreditada experiencia, proporcional para cada integrante, según el porcentaje de participación de cada uno en el proponente plural.</t>
  </si>
  <si>
    <t>4.2.4.	COMPROMISO PERSONAL MÍNIMO</t>
  </si>
  <si>
    <t>4.2.6.	MANIFESTACIÓN DE ACEPTACIÓN DE REQUERIMIENTOS MÍNIMOS OBLIGATORIO</t>
  </si>
  <si>
    <t>4.2.5.	FORMACIÓN, EXPERIENCIA Y DEDICACIÓN DEL PERSONAL MÍNIMO REQUERIDO HABILITANTE</t>
  </si>
  <si>
    <r>
      <rPr>
        <b/>
        <sz val="11"/>
        <color theme="1"/>
        <rFont val="Arial Nova"/>
        <family val="2"/>
      </rPr>
      <t>Título de Pregrado</t>
    </r>
    <r>
      <rPr>
        <sz val="11"/>
        <color theme="1"/>
        <rFont val="Arial Nova"/>
        <family val="2"/>
      </rPr>
      <t xml:space="preserve">
Profesional en cualquiera de los programas incluidos en el siguiente listado, pero sin limitarse a estos, es decir, pudiendo acreditar otros afines a los mismos:
	Administración de empresas [y afines]
	Administración financiera [y afines]
	Contaduría [y afines]
	Derecho [y afines]
	Economía [y afines]
	Ingeniería administrativa [y afines]
	Ingeniería industrial [y afines]</t>
    </r>
  </si>
  <si>
    <r>
      <rPr>
        <b/>
        <sz val="11"/>
        <color theme="1"/>
        <rFont val="Arial Nova"/>
        <family val="2"/>
      </rPr>
      <t>Título de Postgrado</t>
    </r>
    <r>
      <rPr>
        <sz val="11"/>
        <color theme="1"/>
        <rFont val="Arial Nova"/>
        <family val="2"/>
      </rPr>
      <t xml:space="preserve">
Posgrado en cualquiera de los programas incluidos en el siguiente listado, pero sin limitarse a estos, es decir, pudiendo acreditar otros afines a los mismos:
	Seguros [y afines]
	Gerencia de seguros [y afines]
	Alta Dirección en seguros [y afines]
	Responsabilidad civil y seguros [y afines]
	Administración de riesgos y seguros [y afines]
	Gerencia de riesgos y seguros [y afines]</t>
    </r>
  </si>
  <si>
    <r>
      <rPr>
        <b/>
        <sz val="11"/>
        <color theme="1"/>
        <rFont val="Arial Nova"/>
        <family val="2"/>
      </rPr>
      <t>Experiencia Específica</t>
    </r>
    <r>
      <rPr>
        <sz val="11"/>
        <color theme="1"/>
        <rFont val="Arial Nova"/>
        <family val="2"/>
      </rPr>
      <t xml:space="preserve">
Acreditar por lo menos cinco (5) años de experiencia en el sector asegurador (intermediarios, corredores, aseguradoras o agencias), en la coordinación o desarrollo de programas de seguros de vida grupo o vida deudores </t>
    </r>
  </si>
  <si>
    <t>CANDIDATO</t>
  </si>
  <si>
    <t>REQUISITOS
PERFIL</t>
  </si>
  <si>
    <t>RESULTADO DE LA EVALUACIÓN 
LOTE 1</t>
  </si>
  <si>
    <t>4.2.1. EXPERIENCIA MÍNIMA HABILITANTE</t>
  </si>
  <si>
    <t>RESULTADO DE LA EVALUACIÓN 
LOTE 2</t>
  </si>
  <si>
    <t>TIEMPO TOTAL</t>
  </si>
  <si>
    <r>
      <rPr>
        <b/>
        <sz val="11"/>
        <color theme="1"/>
        <rFont val="Arial Nova"/>
        <family val="2"/>
      </rPr>
      <t>Título de Postgrado</t>
    </r>
    <r>
      <rPr>
        <sz val="11"/>
        <color theme="1"/>
        <rFont val="Arial Nova"/>
        <family val="2"/>
      </rPr>
      <t xml:space="preserve">
Con posgrado en cualquiera de los programas incluidos en el siguiente listado, pero sin limitarse a estos, es decir, pudiendo acreditar otros afines a los mismos:
	Seguros [y afines]
	Gerencia de seguros [y afines]
	Alta Dirección en seguros [y afines]
	Responsabilidad civil y seguros [y afines]
	Administración de riesgos y seguros [y afines]
	Gerencia de riesgos y seguros [y afines]</t>
    </r>
  </si>
  <si>
    <r>
      <rPr>
        <b/>
        <sz val="11"/>
        <color theme="1"/>
        <rFont val="Arial Nova"/>
        <family val="2"/>
      </rPr>
      <t>Experiencia Específica</t>
    </r>
    <r>
      <rPr>
        <sz val="11"/>
        <color theme="1"/>
        <rFont val="Arial Nova"/>
        <family val="2"/>
      </rPr>
      <t xml:space="preserve">
Acreditar por lo menos cinco (5) años de experiencia en el sector asegurador (intermediarios, corredores, aseguradoras o agencias), en la coordinación o desarrollo de programas de seguros de Desempleo</t>
    </r>
  </si>
  <si>
    <t>FNA-VGHA-CM-004-2024</t>
  </si>
  <si>
    <t>LOTE</t>
  </si>
  <si>
    <t>1 VIDA GRUPO DEUDORES o COLECTIVO VIDA</t>
  </si>
  <si>
    <t>2 DESEMPLEO</t>
  </si>
  <si>
    <t>Coordinador Experto en Seguros Desempleo</t>
  </si>
  <si>
    <t>Coordinador Experto en seguros de Deudores</t>
  </si>
  <si>
    <t>Coordinador Experto en seguros de Desempleo</t>
  </si>
  <si>
    <t>ARTHUR J GALLAGHER CORREDORES DE SEGUROS S.A.</t>
  </si>
  <si>
    <t>800.153.990-5</t>
  </si>
  <si>
    <t>COMPAÑIA DE
MEDICINA
PREPAGADA
COLSANITAS S.A.</t>
  </si>
  <si>
    <t>VIDA GRUPO</t>
  </si>
  <si>
    <t xml:space="preserve">CUMPLE </t>
  </si>
  <si>
    <t>Aporta certificación de fecha 5/03/2024</t>
  </si>
  <si>
    <t>MAPFRE / JURISCOOP</t>
  </si>
  <si>
    <t>Intermediación en seguros</t>
  </si>
  <si>
    <t>Aporta certificación de fecha 5/07/2024</t>
  </si>
  <si>
    <t>N/A</t>
  </si>
  <si>
    <r>
      <rPr>
        <b/>
        <sz val="11"/>
        <color theme="1"/>
        <rFont val="Arial Nova"/>
        <family val="2"/>
      </rPr>
      <t>ESPECIALISTA EN SEGUROS Y SEGURIDAD SOCIAL</t>
    </r>
    <r>
      <rPr>
        <sz val="11"/>
        <rFont val="Arial Nova"/>
        <family val="2"/>
      </rPr>
      <t xml:space="preserve">
UNIVERSIDAD LA SABANA
Fecha de Grado: 06/08/2013
(Anexa documentos soporte: Diploma)
</t>
    </r>
    <r>
      <rPr>
        <b/>
        <sz val="11"/>
        <rFont val="Arial Nova"/>
        <family val="2"/>
      </rPr>
      <t>ESPECIALISTA EN DERECHO ADMINISTRATIVO</t>
    </r>
    <r>
      <rPr>
        <sz val="11"/>
        <rFont val="Arial Nova"/>
        <family val="2"/>
      </rPr>
      <t xml:space="preserve">
COLEGIO MAYOR DEL ROSAARIO
Fecha de Grado: 30/04/1991
(Anexa documentos soporte: Diploma)</t>
    </r>
  </si>
  <si>
    <t>AÑOS   MESES   DÍA</t>
  </si>
  <si>
    <t>3 AÑOS 6 MESES 21 DÍAS</t>
  </si>
  <si>
    <r>
      <rPr>
        <b/>
        <sz val="11"/>
        <color theme="1"/>
        <rFont val="Arial Nova"/>
        <family val="2"/>
      </rPr>
      <t xml:space="preserve">EXPERIENCIA ESPECÍFICA:  
1. EMPRESAS - MARSH
Cargo: </t>
    </r>
    <r>
      <rPr>
        <sz val="11"/>
        <color theme="1"/>
        <rFont val="Arial Nova"/>
        <family val="2"/>
      </rPr>
      <t>Gerente Comercial Sector Público</t>
    </r>
    <r>
      <rPr>
        <b/>
        <sz val="11"/>
        <color theme="1"/>
        <rFont val="Arial Nova"/>
        <family val="2"/>
      </rPr>
      <t xml:space="preserve">
</t>
    </r>
    <r>
      <rPr>
        <sz val="11"/>
        <color theme="1"/>
        <rFont val="Arial Nova"/>
        <family val="2"/>
      </rPr>
      <t>Fecha inicio 04/06/1990      Fecha Finaliza 31/10/2020</t>
    </r>
  </si>
  <si>
    <r>
      <rPr>
        <b/>
        <sz val="11"/>
        <color theme="1"/>
        <rFont val="Arial Nova"/>
        <family val="2"/>
      </rPr>
      <t xml:space="preserve">2. EMPRESAS - GALLAGHER
Cargo: </t>
    </r>
    <r>
      <rPr>
        <sz val="11"/>
        <color theme="1"/>
        <rFont val="Arial Nova"/>
        <family val="2"/>
      </rPr>
      <t>Gerente Senior de Negocios Estatales</t>
    </r>
    <r>
      <rPr>
        <b/>
        <sz val="11"/>
        <color theme="1"/>
        <rFont val="Arial Nova"/>
        <family val="2"/>
      </rPr>
      <t xml:space="preserve">
</t>
    </r>
    <r>
      <rPr>
        <sz val="11"/>
        <color theme="1"/>
        <rFont val="Arial Nova"/>
        <family val="2"/>
      </rPr>
      <t>Fecha inicio 22/02/2021     Fecha Finaliza 12-08-2024</t>
    </r>
  </si>
  <si>
    <t>SI</t>
  </si>
  <si>
    <t>Aporta formato 13</t>
  </si>
  <si>
    <t>Aporta formato 22</t>
  </si>
  <si>
    <t>38</t>
  </si>
  <si>
    <t>31</t>
  </si>
  <si>
    <t>Departamento de Santander</t>
  </si>
  <si>
    <t>CORRECOL CORREDORES COLOMBIANOS DE SEGUROS CORREDORES DE SEGUROS S.A</t>
  </si>
  <si>
    <t>830018004-1</t>
  </si>
  <si>
    <t>Intrermediario de seguros</t>
  </si>
  <si>
    <t>UT (CORRECOL 40% GYG SEGUROS 60%</t>
  </si>
  <si>
    <t>Aporta certificación del 6/04/2021</t>
  </si>
  <si>
    <t>Agencia Logística de las Fuerzas Militares</t>
  </si>
  <si>
    <t>UT (CORRECOL 70% PROSEGUROS 30%</t>
  </si>
  <si>
    <t>VIDA GRUPO
VIDA DEUDORES</t>
  </si>
  <si>
    <t>Aporta certificación 9/01/2019</t>
  </si>
  <si>
    <t>UT (CORRECOL 75% PROSEGUROS 25%</t>
  </si>
  <si>
    <t>Aporta certificación 14/03/2018</t>
  </si>
  <si>
    <t>Instituto Colombiano Agropecuario</t>
  </si>
  <si>
    <t>SCHLUMBERGER SURENCO S. A</t>
  </si>
  <si>
    <t>Aporta certificación 28/11/23</t>
  </si>
  <si>
    <t>OPERACIONES NACIONALES DE</t>
  </si>
  <si>
    <t>Aporta certificación 5/09/2024</t>
  </si>
  <si>
    <t>ALLIANZ SEGUROS DE VIDA S.A. / NO RELACIONA TOMADOR</t>
  </si>
  <si>
    <t>Corredor de Seguros</t>
  </si>
  <si>
    <t>El oferente deberá manifestar mediante la suscripción por el Representante Legal del FORMATO No. 13, que entiende, acepta y cumple cada uno de los requerimientos técnicos mínimos obligatorios exigidos en el Anexo No. 1. Especificaciones Técnicas y Anexo No. 2 Personal Mínimo, los cuales han sido dados a conocer, sin perjuicio de que en la ejecución del contrato se acuerden entre las partes requerimientos técnicos adicionales a los establecidos en el proceso de selección.</t>
  </si>
  <si>
    <t>RODRIGO EDUARDO BURBANO BOLAÑOS</t>
  </si>
  <si>
    <r>
      <rPr>
        <b/>
        <sz val="11"/>
        <color theme="1"/>
        <rFont val="Arial Nova"/>
        <family val="2"/>
      </rPr>
      <t>PROFESIÓN: ABOGADO</t>
    </r>
    <r>
      <rPr>
        <sz val="11"/>
        <rFont val="Arial Nova"/>
        <family val="2"/>
      </rPr>
      <t xml:space="preserve">
UNIVERSIDAD DEL CAUCA
TARJETA PROFESIONAL No. 50754 fecha 23/11/89 Vigente
Fecha de Grado: 11/08/1989
Tipo y No. Documento de Identidad: 10549446
(Anexa documentos soporte: Tarjeta profesional y diploma)</t>
    </r>
  </si>
  <si>
    <t>SAIDY LILIANA CERQUERA</t>
  </si>
  <si>
    <t>No acredita el tiempo de experiencia requerido.
No aporta contrato de trabajo 4.2.5.2.	EXPEDICIÓN Y SUSCRIPCIÓN DE LAS CERTIFICACIONES DE LA EXPERIENCIA DEL PERSONAL MÍNIMO REQUERIDO PARÁGRAFO PRIMERO: certificación de  por el mismo proponente (...)  allegar los siguientes documentos: 
(...) 
b)	Copia del contrato, en virtud del cual el profesional, prestó o presta sus servicios para el oferente</t>
  </si>
  <si>
    <r>
      <rPr>
        <b/>
        <sz val="11"/>
        <rFont val="Arial Nova"/>
        <family val="2"/>
      </rPr>
      <t>ESPECIALISTA EN GERENCIA DE RIESGOS Y SEGUROS</t>
    </r>
    <r>
      <rPr>
        <sz val="11"/>
        <rFont val="Arial Nova"/>
        <family val="2"/>
      </rPr>
      <t xml:space="preserve">
UNIVERSIDAD POLITECNICO GRAN COLOMBIANO
Fecha de Grado: 28/07/2011
(Anexa documentos soporte: Diploma)</t>
    </r>
  </si>
  <si>
    <r>
      <rPr>
        <b/>
        <sz val="11"/>
        <color theme="1"/>
        <rFont val="Arial Nova"/>
        <family val="2"/>
      </rPr>
      <t>PROFESIÓN: ABOGADO</t>
    </r>
    <r>
      <rPr>
        <sz val="11"/>
        <rFont val="Arial Nova"/>
        <family val="2"/>
      </rPr>
      <t xml:space="preserve">
UNIVERSIDAD COOPERATIVA DE COLOMBIA
TARJETA PROFESIONAL No. 40807 fecha 22/06/2012 Vigente
Fecha de Grado: 13/12/2001
Tipo y No. Documento de Identidad: 52193996
(Anexa documentos soporte: Tarjeta profesional diploma y acta de grado)</t>
    </r>
  </si>
  <si>
    <t>PROSEGUROS CORREDORES DE SEGUROS S.A.</t>
  </si>
  <si>
    <t>860.024.858-6</t>
  </si>
  <si>
    <t>860.526.660-1</t>
  </si>
  <si>
    <t>ITAÚ CORREDOR DE SEGUROS COLOMBIA</t>
  </si>
  <si>
    <t>X</t>
  </si>
  <si>
    <t>FISCALIA GENERAL DE LA NACIÓN</t>
  </si>
  <si>
    <t>PROSEGUROS</t>
  </si>
  <si>
    <t>No se identifican funciones de "en la coordinación o desarrollo de programas de seguros de vida grupo o vida deudores"</t>
  </si>
  <si>
    <r>
      <rPr>
        <b/>
        <sz val="11"/>
        <color theme="1"/>
        <rFont val="Arial Nova"/>
        <family val="2"/>
      </rPr>
      <t xml:space="preserve">EXPERIENCIA ESPECÍFICA:  
2. EMPRESAS - WACOLDA
Cargo: TÉCNICO
</t>
    </r>
    <r>
      <rPr>
        <sz val="11"/>
        <color theme="1"/>
        <rFont val="Arial Nova"/>
        <family val="2"/>
      </rPr>
      <t xml:space="preserve">Fecha inicio  23/07/2007     Fecha Finaliza 25/11/2011
Tiempo Total:   Año  meses  días
</t>
    </r>
  </si>
  <si>
    <r>
      <rPr>
        <b/>
        <sz val="11"/>
        <color theme="1"/>
        <rFont val="Arial Nova"/>
        <family val="2"/>
      </rPr>
      <t xml:space="preserve">EXPERIENCIA ESPECÍFICA:  
1. EMPRESAS - AON
Cargo: EJECUTIVA DE FACTURACIÓN
</t>
    </r>
    <r>
      <rPr>
        <sz val="11"/>
        <color theme="1"/>
        <rFont val="Arial Nova"/>
        <family val="2"/>
      </rPr>
      <t xml:space="preserve">Fecha inicio 10/01/1993     Fecha Finaliza 19/07/2007
Tiempo Total:   Año  meses  días
</t>
    </r>
  </si>
  <si>
    <r>
      <rPr>
        <b/>
        <sz val="11"/>
        <color theme="1"/>
        <rFont val="Arial Nova"/>
        <family val="2"/>
      </rPr>
      <t xml:space="preserve">EXPERIENCIA ESPECÍFICA:  
3. EMPRESAS - JARGU
Cargo: EJECUTIVA DE CUENTA
</t>
    </r>
    <r>
      <rPr>
        <sz val="11"/>
        <color theme="1"/>
        <rFont val="Arial Nova"/>
        <family val="2"/>
      </rPr>
      <t xml:space="preserve">Fecha inicio 05/12/2011      Fecha Finaliza 20/11/2013
Tiempo Total:   Año  meses  días
</t>
    </r>
  </si>
  <si>
    <t>MUNICIPIO DE SANTIAGO DE CALI</t>
  </si>
  <si>
    <t>Intermediario de Seguros</t>
  </si>
  <si>
    <t>Aporta para verificación certificación de licitación pública No 4135.010.32.1.038 expedido por el MUNICIPIO DE SANTIAGO DE CALI de fecha 02 junio de 2020.</t>
  </si>
  <si>
    <t>Aporta para verificación certificación de licitación pública FGN-LP-009-2014 expedido por la FISCALIA GENERAL DE LA NACIÓN de fecha 18 de mayo de 2020.</t>
  </si>
  <si>
    <t>CONSEJO SUPERIOR DE LA JUDICATURA</t>
  </si>
  <si>
    <t>Aporta para verificación certificación de licitación pública No LPNo009-2016 expedido por el CONSEJO SUPERIOR DE LA JUDICATURA de fecha 19  febrero de 2019.</t>
  </si>
  <si>
    <t xml:space="preserve">10 AÑOS 7 MESES </t>
  </si>
  <si>
    <t>UT PROSEGUROS-ITAU FNA-VGHA-CM-004-2024</t>
  </si>
  <si>
    <t>ITAÚ CORREDOR DE SEGUROS</t>
  </si>
  <si>
    <t>PROSEGUROS 20% ITAU CORREDOR DE SEGUROS 20%</t>
  </si>
  <si>
    <r>
      <rPr>
        <b/>
        <sz val="11"/>
        <color theme="1"/>
        <rFont val="Arial Nova"/>
        <family val="2"/>
      </rPr>
      <t xml:space="preserve">EXPERIENCIA ESPECÍFICA:  
4. EMPRESAS - CORRECOL
Cargo: Director de colocaciones beneficios
</t>
    </r>
    <r>
      <rPr>
        <sz val="11"/>
        <color theme="1"/>
        <rFont val="Arial Nova"/>
        <family val="2"/>
      </rPr>
      <t>Fecha inicio 12/02/2014      Fecha Finaliza 12/09/2024
Tiempo Total:  10 Años 7 meses
Funciones: Temas de intermediación de seguros en el manejo y colocación de programas de seguros de personas.</t>
    </r>
  </si>
  <si>
    <t xml:space="preserve">Aporta certificación del 12/09/2024 y contrato de trabajo. La certificación expresa en temas de intermediación de seguros en el manejo y colocación de programas de seguros de personas que incluyen los seguros de vida grupo y en seguros en general. </t>
  </si>
  <si>
    <t>LOTE / 
REQUISITOS HABILITANTES</t>
  </si>
  <si>
    <t>GRUPO ENERGÍA BOGOTÁ</t>
  </si>
  <si>
    <t>Dario Pinilla López</t>
  </si>
  <si>
    <t>Aporta para verificación certificación de contrato No 100921 expedido por GRUPO ENERGÍA BOGOTÁ S.A. ESP de fecha 12 julio de 2021.</t>
  </si>
  <si>
    <r>
      <rPr>
        <b/>
        <sz val="11"/>
        <color theme="1"/>
        <rFont val="Arial Nova"/>
        <family val="2"/>
      </rPr>
      <t>PROFESIÓN: ESPECIALISTA EN SEGUROS Y SEGURIDAD SOCIAL</t>
    </r>
    <r>
      <rPr>
        <sz val="11"/>
        <rFont val="Arial Nova"/>
        <family val="2"/>
      </rPr>
      <t xml:space="preserve">
UNIVERSIDAD LA SABANA
Fecha de Grado: 6/08/2013
(Anexa documentos soporte: Diploma)</t>
    </r>
  </si>
  <si>
    <r>
      <rPr>
        <b/>
        <sz val="11"/>
        <color theme="1"/>
        <rFont val="Arial Nova"/>
        <family val="2"/>
      </rPr>
      <t>PROFESIÓN: ADMINISTRACIÓN DE EMPRESAS</t>
    </r>
    <r>
      <rPr>
        <sz val="11"/>
        <rFont val="Arial Nova"/>
        <family val="2"/>
      </rPr>
      <t xml:space="preserve">
UNIVERSIDAD COOPERATIVA DE COLOMBIA
TARJETA PROFESIONAL No. 50514  fecha 21/11/2011 Vigente
Fecha de Grado: 12/12/2002
Tipo y No. Documento de Identidad: 79866201
(Anexa documentos soporte: Tarjeta profesional y acta de grado)</t>
    </r>
  </si>
  <si>
    <t>AÑOS  MESES  DÍA</t>
  </si>
  <si>
    <r>
      <t xml:space="preserve">No se identifican funciones de "en la coordinación o desarrollo de programas de seguros </t>
    </r>
    <r>
      <rPr>
        <b/>
        <u/>
        <sz val="11"/>
        <color rgb="FFFF0000"/>
        <rFont val="Arial Nova"/>
        <family val="2"/>
      </rPr>
      <t>de vida grupo o vida deudores</t>
    </r>
    <r>
      <rPr>
        <sz val="11"/>
        <color rgb="FFFF0000"/>
        <rFont val="Arial Nova"/>
        <family val="2"/>
      </rPr>
      <t>"</t>
    </r>
  </si>
  <si>
    <r>
      <rPr>
        <b/>
        <sz val="11"/>
        <color theme="1"/>
        <rFont val="Arial Nova"/>
        <family val="2"/>
      </rPr>
      <t xml:space="preserve">EXPERIENCIA ESPECÍFICA:  
1. EMPRESAS - JLT VALENCIA &amp; IRAGORRI CORREDORES DE SEGUROS
Cargo: EJECUTIVO DE CUENTA
</t>
    </r>
    <r>
      <rPr>
        <sz val="11"/>
        <color theme="1"/>
        <rFont val="Arial Nova"/>
        <family val="2"/>
      </rPr>
      <t xml:space="preserve">Fecha inicio 29/08/2002     Fecha Finaliza 06/04/2014
Tiempo Total:   Año  meses  días
</t>
    </r>
  </si>
  <si>
    <t>TRANSPORTADORA DE GAS INTERNACIONAL S.A. ESP</t>
  </si>
  <si>
    <t>Aporta certificación del 12/09/2024 y contrato de trabajo. Relaciona funciones de manejo de contratos de corretaje y programas de Seguros de Clientes Públicos y Privados en los ramos de (…), vida, vida deudores</t>
  </si>
  <si>
    <r>
      <rPr>
        <b/>
        <sz val="11"/>
        <color theme="1"/>
        <rFont val="Arial Nova"/>
        <family val="2"/>
      </rPr>
      <t xml:space="preserve">2. EMPRESAS - ITAU CORREDOR DE SEGUROS COLOMBIA S.A.
Cargo: SUBGERENTE COMERCIAL
</t>
    </r>
    <r>
      <rPr>
        <sz val="11"/>
        <color theme="1"/>
        <rFont val="Arial Nova"/>
        <family val="2"/>
      </rPr>
      <t xml:space="preserve">Fecha inicio 21/04/2014     Fecha Finaliza 12/09/2024
Tiempo Total:   10 Años 4 meses 22 días
Actividades y Funciones: Manejo de contratos de corretaje y programas de Seguros de Clientes Públicos y Privados
en los ramos de (...), vida, vida deudores,
</t>
    </r>
  </si>
  <si>
    <t>10 AÑOS 4 MESES 22 DÍA</t>
  </si>
  <si>
    <t>Aporta para verificación certificación de contrato No 750886 expedido por TRANSPORTADORA DE GAS INTERNACIONAL S.A. ESP de fecha 13 julio de 2021.</t>
  </si>
  <si>
    <t>VIDA GRUPO - VIDA DEUDORES</t>
  </si>
  <si>
    <r>
      <rPr>
        <b/>
        <sz val="10"/>
        <rFont val="Arial"/>
        <family val="2"/>
      </rPr>
      <t>CERTIFICACION DE EXPERIENCIA</t>
    </r>
  </si>
  <si>
    <r>
      <rPr>
        <b/>
        <sz val="10"/>
        <rFont val="Arial"/>
        <family val="2"/>
      </rPr>
      <t>LA PREVISORA S.A. COMPAÑÍA DE SEGUROS NIT: 860.002.400-2</t>
    </r>
  </si>
  <si>
    <r>
      <rPr>
        <sz val="10"/>
        <rFont val="Arial MT"/>
        <family val="2"/>
      </rPr>
      <t xml:space="preserve">El suscrito ALIRIO SALAMANCA BONILLA, actuando en calidad de Representante Legal, certifica que PROSEGUROS  CORREDORES  DE  SEGUROS  S.A.,  NIT  860.024.858-6,  actuando  en  calidad  de
</t>
    </r>
    <r>
      <rPr>
        <sz val="10"/>
        <rFont val="Arial MT"/>
        <family val="2"/>
      </rPr>
      <t>intermediario  de  seguros,  asesoró  en  la  atención  de  los  reclamos  relacionados  en  la  presente comunicación:</t>
    </r>
  </si>
  <si>
    <r>
      <rPr>
        <sz val="10"/>
        <rFont val="Arial MT"/>
        <family val="2"/>
      </rPr>
      <t xml:space="preserve">Compañía de Seguros:
</t>
    </r>
    <r>
      <rPr>
        <sz val="10"/>
        <rFont val="Arial MT"/>
        <family val="2"/>
      </rPr>
      <t>La Previsora S.A. Compañía De Seguros</t>
    </r>
  </si>
  <si>
    <r>
      <rPr>
        <sz val="10"/>
        <rFont val="Arial MT"/>
        <family val="2"/>
      </rPr>
      <t xml:space="preserve">Contratista:
</t>
    </r>
    <r>
      <rPr>
        <sz val="10"/>
        <rFont val="Arial MT"/>
        <family val="2"/>
      </rPr>
      <t>Unión Temporal JTL Corredores de Seguros - Proseguros Corredores de Seguros S.A. e Itau Corredores de Seguros</t>
    </r>
  </si>
  <si>
    <r>
      <rPr>
        <sz val="10"/>
        <rFont val="Arial MT"/>
        <family val="2"/>
      </rPr>
      <t>Porcentaje de participación:       20% para PROSEGUROS CORREDORES DE SEGUROS S.A</t>
    </r>
  </si>
  <si>
    <r>
      <rPr>
        <sz val="10"/>
        <rFont val="Arial MT"/>
        <family val="2"/>
      </rPr>
      <t>Entidad Contratante:     CONSEJO SUPERIOR DE LA JUDICATURA No. Consecutivo RUP:  29</t>
    </r>
  </si>
  <si>
    <r>
      <rPr>
        <sz val="10"/>
        <rFont val="Arial MT"/>
        <family val="2"/>
      </rPr>
      <t>Objeto:  Prestación  de  los  servicios  de  intermediación  de  los  seguros,  la  asesoría  y  la  asistencia especializada para el manejo del programa de seguros y las pólizas que cubren los riesgos relativos a los bienes e intereses asegurables de la Nación- Consejo Superior de la Judicatura, así  como  el  seguro  de  vida  Ley  16/88  y  aquellos  por  los  cuales  sea  o  fuere  legalmente responsable.</t>
    </r>
  </si>
  <si>
    <r>
      <rPr>
        <sz val="11"/>
        <rFont val="Calibri"/>
        <family val="1"/>
      </rPr>
      <t>POLIZA VIDA GRUPO 1001992</t>
    </r>
  </si>
  <si>
    <r>
      <rPr>
        <b/>
        <sz val="10"/>
        <rFont val="Calibri"/>
        <family val="1"/>
      </rPr>
      <t>Siniestro</t>
    </r>
  </si>
  <si>
    <r>
      <rPr>
        <b/>
        <sz val="10"/>
        <rFont val="Calibri"/>
        <family val="1"/>
      </rPr>
      <t>Fecha inicio de la póliza</t>
    </r>
  </si>
  <si>
    <r>
      <rPr>
        <b/>
        <sz val="10"/>
        <rFont val="Calibri"/>
        <family val="1"/>
      </rPr>
      <t>Fecha Terminación de la póliza</t>
    </r>
  </si>
  <si>
    <r>
      <rPr>
        <b/>
        <sz val="10"/>
        <rFont val="Calibri"/>
        <family val="1"/>
      </rPr>
      <t>Valor Indemnizado o Pagado ($)</t>
    </r>
  </si>
  <si>
    <r>
      <rPr>
        <b/>
        <sz val="10"/>
        <rFont val="Calibri"/>
        <family val="1"/>
      </rPr>
      <t>Valor según participacion de Proseguros 20%</t>
    </r>
  </si>
  <si>
    <r>
      <rPr>
        <b/>
        <sz val="10"/>
        <rFont val="Calibri"/>
        <family val="1"/>
      </rPr>
      <t>Fecha de Pago de siniestro</t>
    </r>
  </si>
  <si>
    <r>
      <rPr>
        <sz val="10"/>
        <rFont val="Arial MT"/>
        <family val="2"/>
      </rPr>
      <t>Para constancia, se expide en la ciudad de Bogotá, septiembre de 2024.</t>
    </r>
  </si>
  <si>
    <r>
      <rPr>
        <sz val="10"/>
        <rFont val="Arial MT"/>
        <family val="2"/>
      </rPr>
      <t>Cordialmente,</t>
    </r>
  </si>
  <si>
    <r>
      <rPr>
        <sz val="10"/>
        <rFont val="Arial MT"/>
        <family val="2"/>
      </rPr>
      <t xml:space="preserve">ALIRIO SALAMANCA BONILLA
</t>
    </r>
    <r>
      <rPr>
        <sz val="10"/>
        <rFont val="Arial MT"/>
        <family val="2"/>
      </rPr>
      <t xml:space="preserve">Gerente de Sucursal Estatal
</t>
    </r>
    <r>
      <rPr>
        <sz val="10"/>
        <rFont val="Arial MT"/>
        <family val="2"/>
      </rPr>
      <t>La Previsora S.A. Compañía de Seguros</t>
    </r>
  </si>
  <si>
    <t>Etiquetas de fila</t>
  </si>
  <si>
    <t>Total general</t>
  </si>
  <si>
    <t>2017</t>
  </si>
  <si>
    <t>2018</t>
  </si>
  <si>
    <t>2019</t>
  </si>
  <si>
    <t>2020</t>
  </si>
  <si>
    <t>Suma de Valor Indemnizado o Pagado ($)</t>
  </si>
  <si>
    <t>Aporta para verificación certificación de experiencia expedida por la compañía de seguros LA PREVISORA SA de fecha septiembre 2024</t>
  </si>
  <si>
    <t>ALCALDÍA DE FUSAGASUGÁ</t>
  </si>
  <si>
    <t>Aporta para verificación certificación de contrato No 2019-0550</t>
  </si>
  <si>
    <t>ITAU COLOMBIA SA</t>
  </si>
  <si>
    <t>ITAÚ CORREDOR DE SEGUROS COLOMBIA S.A.</t>
  </si>
  <si>
    <t>Corredor de seguros</t>
  </si>
  <si>
    <r>
      <t>De acuerdo con las reglas de participación numeral "</t>
    </r>
    <r>
      <rPr>
        <i/>
        <sz val="10"/>
        <rFont val="Arial Nova"/>
        <family val="2"/>
      </rPr>
      <t xml:space="preserve">4.2.1.3". ACREDITACIÓN EXPERIENCIA ESPECIFICA DEL OFERENTE " 
</t>
    </r>
    <r>
      <rPr>
        <i/>
        <u/>
        <sz val="10"/>
        <rFont val="Arial Nova"/>
        <family val="2"/>
      </rPr>
      <t xml:space="preserve">8. No se permite presentar auto-certificaciones, entendidas como:
</t>
    </r>
    <r>
      <rPr>
        <i/>
        <sz val="10"/>
        <rFont val="Arial Nova"/>
        <family val="2"/>
      </rPr>
      <t xml:space="preserve">
a.Cualquier certificación expedida por el oferente para acreditar su propia experiencia.
b.Cualquier certificación expedida por Consorcios en los cuales el oferente o los integrantes del Consorcio o Unión Temporal hayan hecho parte.
</t>
    </r>
    <r>
      <rPr>
        <i/>
        <u/>
        <sz val="10"/>
        <rFont val="Arial Nova"/>
        <family val="2"/>
      </rPr>
      <t xml:space="preserve">c.Las certificaciones de experiencia emitidas por empresas del mismo grupo empresarial o económico."
ITAU COLOMBIA </t>
    </r>
    <r>
      <rPr>
        <sz val="10"/>
        <rFont val="Arial Nova"/>
        <family val="2"/>
      </rPr>
      <t>aporta certificación de fecha 29 (veintinueve) de marzo de 2023, por lo anterior no cumple toda vez que  No se permite presentar auto-certificaciones, entendidas como: certificaciones de experiencia emitidas por empresas del mismo grupo empresarial o económico."</t>
    </r>
  </si>
  <si>
    <t>ITAÚ COLOMBIA S.A.</t>
  </si>
  <si>
    <t>El número de póliza relacionada en la certificación de contrato expedida por la FISCALIA GENERAL DE LA NACIÓN no concuerda con la relación de siniestros, toda vez que en la certificación del contrato relacionada la No. 21236210 y en el listado de relación de siniestros se detalla el No. 21690075. DEBE SUBSANAR</t>
  </si>
  <si>
    <r>
      <t>La certificación aporta no cumple con lo requerido en las reglas de participación numeral "</t>
    </r>
    <r>
      <rPr>
        <i/>
        <sz val="10"/>
        <rFont val="Arial Nova"/>
        <family val="2"/>
      </rPr>
      <t xml:space="preserve">4.2.1.3". ACREDITACIÓN EXPERIENCIA ESPECIFICA DEL OFERENTE " 
</t>
    </r>
    <r>
      <rPr>
        <i/>
        <u/>
        <sz val="10"/>
        <rFont val="Arial Nova"/>
        <family val="2"/>
      </rPr>
      <t xml:space="preserve">8. No se permite presentar auto-certificaciones, entendidas como:
</t>
    </r>
    <r>
      <rPr>
        <i/>
        <sz val="10"/>
        <rFont val="Arial Nova"/>
        <family val="2"/>
      </rPr>
      <t xml:space="preserve">
a.Cualquier certificación expedida por el oferente para acreditar su propia experiencia.
b.Cualquier certificación expedida por Consorcios en los cuales el oferente o los integrantes del Consorcio o Unión Temporal hayan hecho parte.
</t>
    </r>
    <r>
      <rPr>
        <i/>
        <u/>
        <sz val="10"/>
        <rFont val="Arial Nova"/>
        <family val="2"/>
      </rPr>
      <t xml:space="preserve">c.Las certificaciones de experiencia emitidas por empresas del mismo grupo empresarial o económico."
ITAU COLOMBIA </t>
    </r>
    <r>
      <rPr>
        <sz val="10"/>
        <rFont val="Arial Nova"/>
        <family val="2"/>
      </rPr>
      <t>aporta certificación de fecha 29 (veintinueve) de marzo de 2023, por lo anterior no cumple toda vez que  No se permite presentar auto-certificaciones, entendidas como: certificaciones de experiencia emitidas por empresas del mismo grupo empresarial o económico."</t>
    </r>
  </si>
  <si>
    <t xml:space="preserve">LA PREVISORA CONSEJO SUPERIOR DE LA JUDICATURA / </t>
  </si>
  <si>
    <t>Bogotá D.C., a los trece (13) días del mes de septiembre de 2024</t>
  </si>
  <si>
    <t>BRYAN ALBERTO SALAS RAMÍREZ</t>
  </si>
  <si>
    <t>Seguros de Vida Grupo o Colectivo de Vida,</t>
  </si>
  <si>
    <t>Valor Prima / Siniestro</t>
  </si>
  <si>
    <t>Aporta certificación de Aseguradora</t>
  </si>
  <si>
    <r>
      <t xml:space="preserve">En la certificación aportada no se identifica "coordinación o desarrollo de programas de </t>
    </r>
    <r>
      <rPr>
        <u/>
        <sz val="11"/>
        <color rgb="FFFF0000"/>
        <rFont val="Arial Nova"/>
        <family val="2"/>
      </rPr>
      <t>seguros de vida grupo o vida deudores"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</si>
</sst>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 #,##0_-;_-* &quot;-&quot;_-;_-@_-"/>
    <numFmt numFmtId="43" formatCode="_-* #,##0.00_-;\-* #,##0.00_-;_-* &quot;-&quot;??_-;_-@_-"/>
    <numFmt numFmtId="164" formatCode="_-* #,##0.00\ &quot;€&quot;_-;\-* #,##0.00\ &quot;€&quot;_-;_-* &quot;-&quot;??\ &quot;€&quot;_-;_-@_-"/>
    <numFmt numFmtId="165" formatCode="_-* #,##0.00\ _€_-;\-* #,##0.00\ _€_-;_-* &quot;-&quot;??\ _€_-;_-@_-"/>
    <numFmt numFmtId="166" formatCode="_(&quot;$&quot;\ * #,##0.00_);_(&quot;$&quot;\ * \(#,##0.00\);_(&quot;$&quot;\ * &quot;-&quot;??_);_(@_)"/>
    <numFmt numFmtId="167" formatCode="_(* #,##0.00_);_(* \(#,##0.00\);_(* &quot;-&quot;??_);_(@_)"/>
    <numFmt numFmtId="168" formatCode="_ &quot;$&quot;\ * #,##0_ ;_ &quot;$&quot;\ * \-#,##0_ ;_ &quot;$&quot;\ * &quot;-&quot;_ ;_ @_ "/>
    <numFmt numFmtId="169" formatCode="_ &quot;$&quot;\ * #,##0.00_ ;_ &quot;$&quot;\ * \-#,##0.00_ ;_ &quot;$&quot;\ * &quot;-&quot;??_ ;_ @_ "/>
    <numFmt numFmtId="170" formatCode="_ * #,##0.00_ ;_ * \-#,##0.00_ ;_ * &quot;-&quot;??_ ;_ @_ "/>
    <numFmt numFmtId="171" formatCode="_(&quot;$&quot;* #,##0.00_);_(&quot;$&quot;* \(#,##0.00\);_(&quot;$&quot;* &quot;-&quot;??_);_(@_)"/>
    <numFmt numFmtId="172" formatCode="_([$€]* #,##0.00_);_([$€]* \(#,##0.00\);_([$€]* &quot;-&quot;??_);_(@_)"/>
    <numFmt numFmtId="173" formatCode="[$$-240A]\ #,##0.00_ ;\-[$$-240A]\ #,##0.00\ "/>
    <numFmt numFmtId="174" formatCode="#,##0.00_ ;\-#,##0.00\ "/>
    <numFmt numFmtId="175" formatCode="[$$-240A]\ #,##0.00"/>
    <numFmt numFmtId="176" formatCode="_-* #,##0.000\ _€_-;\-* #,##0.000\ _€_-;_-* &quot;-&quot;??\ _€_-;_-@_-"/>
    <numFmt numFmtId="177" formatCode="&quot;$&quot;\ #,##0.00"/>
    <numFmt numFmtId="178" formatCode="_ * #,##0.00_ ;_ * \-#,##0.00_ ;_ * &quot;-&quot;???_ ;_ @_ "/>
    <numFmt numFmtId="179" formatCode="_-* #,##0\ _€_-;\-* #,##0\ _€_-;_-* &quot;-&quot;??\ _€_-;_-@_-"/>
    <numFmt numFmtId="180" formatCode="_-* #,##0\ _p_t_a_-;\-* #,##0\ _p_t_a_-;_-* &quot;-&quot;\ _p_t_a_-;_-@_-"/>
    <numFmt numFmtId="181" formatCode="&quot;$&quot;\ #,##0.00;&quot;$&quot;\ \-#,##0.00"/>
    <numFmt numFmtId="182" formatCode="#,##0_ ;\-#,##0\ "/>
    <numFmt numFmtId="183" formatCode="#,###.0"/>
    <numFmt numFmtId="184" formatCode="_(&quot;$&quot;\ * #,##0_);_(&quot;$&quot;\ * \(#,##0\);_(&quot;$&quot;\ * &quot;-&quot;_);_(@_)"/>
    <numFmt numFmtId="185" formatCode="#,###.0\ &quot;COP&quot;"/>
    <numFmt numFmtId="186" formatCode="#,##0.00\ \€"/>
    <numFmt numFmtId="187" formatCode="#,###.00"/>
    <numFmt numFmtId="188" formatCode="#,###.00\ &quot;COP&quot;"/>
    <numFmt numFmtId="189" formatCode="_ * #,##0_ ;_ * \-#,##0_ ;_ * &quot;-&quot;???_ ;_ @_ "/>
    <numFmt numFmtId="190" formatCode="_ * #,##0_ ;_ * \-#,##0_ ;_ * &quot;-&quot;??_ ;_ @_ "/>
    <numFmt numFmtId="191" formatCode="&quot;$&quot;\ #,##0"/>
    <numFmt numFmtId="192" formatCode="d/mm/yyyy;@"/>
    <numFmt numFmtId="193" formatCode="\$\ #,##0.00"/>
    <numFmt numFmtId="194" formatCode="yyyy"/>
  </numFmts>
  <fonts count="9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name val="Arial"/>
      <family val="2"/>
    </font>
    <font>
      <sz val="11"/>
      <color theme="1"/>
      <name val="Calibri"/>
      <family val="2"/>
      <scheme val="minor"/>
    </font>
    <font>
      <sz val="8"/>
      <name val="Arial"/>
      <family val="2"/>
    </font>
    <font>
      <sz val="10"/>
      <name val="Arial Narrow"/>
      <family val="2"/>
    </font>
    <font>
      <b/>
      <sz val="12"/>
      <name val="Arial Narrow"/>
      <family val="2"/>
    </font>
    <font>
      <sz val="12"/>
      <name val="Arial Narrow"/>
      <family val="2"/>
    </font>
    <font>
      <sz val="9"/>
      <name val="Arial Narrow"/>
      <family val="2"/>
    </font>
    <font>
      <b/>
      <sz val="9"/>
      <name val="Arial Narrow"/>
      <family val="2"/>
    </font>
    <font>
      <u/>
      <sz val="9"/>
      <name val="Arial Narrow"/>
      <family val="2"/>
    </font>
    <font>
      <sz val="9"/>
      <color indexed="10"/>
      <name val="Arial Narrow"/>
      <family val="2"/>
    </font>
    <font>
      <b/>
      <sz val="10"/>
      <name val="Arial Narrow"/>
      <family val="2"/>
    </font>
    <font>
      <sz val="8"/>
      <name val="Tahoma"/>
      <family val="2"/>
    </font>
    <font>
      <sz val="8"/>
      <name val="Univers"/>
      <family val="2"/>
    </font>
    <font>
      <sz val="11"/>
      <name val="Arial Narrow"/>
      <family val="2"/>
    </font>
    <font>
      <b/>
      <sz val="11"/>
      <name val="Arial Narrow"/>
      <family val="2"/>
    </font>
    <font>
      <sz val="11"/>
      <color theme="0"/>
      <name val="Arial Narrow"/>
      <family val="2"/>
    </font>
    <font>
      <sz val="10"/>
      <color theme="0"/>
      <name val="Arial Narrow"/>
      <family val="2"/>
    </font>
    <font>
      <sz val="11"/>
      <color theme="1"/>
      <name val="Calibri"/>
      <family val="2"/>
    </font>
    <font>
      <sz val="10"/>
      <name val="Arial"/>
      <family val="2"/>
    </font>
    <font>
      <sz val="10"/>
      <name val="Zurich BT"/>
    </font>
    <font>
      <sz val="10"/>
      <color theme="1"/>
      <name val="Verdana"/>
      <family val="2"/>
    </font>
    <font>
      <sz val="10"/>
      <color theme="1"/>
      <name val="Arial"/>
      <family val="2"/>
    </font>
    <font>
      <b/>
      <sz val="10"/>
      <color theme="1"/>
      <name val="Verdana"/>
      <family val="2"/>
    </font>
    <font>
      <b/>
      <sz val="14"/>
      <color theme="1"/>
      <name val="Verdana"/>
      <family val="2"/>
    </font>
    <font>
      <sz val="11"/>
      <color rgb="FFFF0000"/>
      <name val="Arial Narrow"/>
      <family val="2"/>
    </font>
    <font>
      <sz val="9"/>
      <name val="Arial"/>
      <family val="2"/>
    </font>
    <font>
      <b/>
      <sz val="9"/>
      <name val="Arial"/>
      <family val="2"/>
    </font>
    <font>
      <b/>
      <sz val="9"/>
      <color indexed="8"/>
      <name val="Arial"/>
      <family val="2"/>
    </font>
    <font>
      <sz val="9"/>
      <color indexed="8"/>
      <name val="Arial"/>
      <family val="2"/>
    </font>
    <font>
      <u/>
      <sz val="9"/>
      <color indexed="12"/>
      <name val="Arial"/>
      <family val="2"/>
    </font>
    <font>
      <b/>
      <sz val="10"/>
      <name val="Arial"/>
      <family val="2"/>
    </font>
    <font>
      <b/>
      <sz val="10"/>
      <name val="Arial Nova"/>
      <family val="2"/>
    </font>
    <font>
      <sz val="10"/>
      <name val="Arial Nova"/>
      <family val="2"/>
    </font>
    <font>
      <b/>
      <sz val="10"/>
      <color theme="0"/>
      <name val="Arial Nova"/>
      <family val="2"/>
    </font>
    <font>
      <sz val="10"/>
      <color theme="0"/>
      <name val="Arial Nova"/>
      <family val="2"/>
    </font>
    <font>
      <b/>
      <sz val="10"/>
      <color rgb="FF002060"/>
      <name val="Arial Nova"/>
      <family val="2"/>
    </font>
    <font>
      <sz val="8"/>
      <name val="Arial Nova"/>
      <family val="2"/>
    </font>
    <font>
      <b/>
      <sz val="10"/>
      <color rgb="FF000000"/>
      <name val="Arial Narrow"/>
      <family val="2"/>
    </font>
    <font>
      <sz val="11"/>
      <color theme="1"/>
      <name val="Arial Nova"/>
      <family val="2"/>
    </font>
    <font>
      <b/>
      <sz val="11"/>
      <color theme="1"/>
      <name val="Arial Nova"/>
      <family val="2"/>
    </font>
    <font>
      <sz val="11"/>
      <name val="Arial Nova"/>
      <family val="2"/>
    </font>
    <font>
      <sz val="11"/>
      <color rgb="FFFF0000"/>
      <name val="Arial Nova"/>
      <family val="2"/>
    </font>
    <font>
      <b/>
      <sz val="11"/>
      <color theme="0"/>
      <name val="Arial Nova"/>
      <family val="2"/>
    </font>
    <font>
      <b/>
      <sz val="11"/>
      <name val="Arial Nova"/>
      <family val="2"/>
    </font>
    <font>
      <u/>
      <sz val="11"/>
      <color rgb="FFFF0000"/>
      <name val="Arial Nova"/>
      <family val="2"/>
    </font>
    <font>
      <b/>
      <sz val="12"/>
      <color theme="0"/>
      <name val="Arial Nova"/>
      <family val="2"/>
    </font>
    <font>
      <sz val="12"/>
      <color theme="1"/>
      <name val="Arial Nova"/>
      <family val="2"/>
    </font>
    <font>
      <b/>
      <u/>
      <sz val="11"/>
      <color rgb="FFFF0000"/>
      <name val="Arial Nova"/>
      <family val="2"/>
    </font>
    <font>
      <sz val="10"/>
      <color rgb="FF000000"/>
      <name val="Times New Roman"/>
      <family val="1"/>
    </font>
    <font>
      <b/>
      <sz val="10"/>
      <name val="Arial"/>
      <family val="2"/>
    </font>
    <font>
      <sz val="10"/>
      <name val="Arial MT"/>
      <family val="2"/>
    </font>
    <font>
      <sz val="10"/>
      <name val="Arial MT"/>
    </font>
    <font>
      <sz val="11"/>
      <name val="Calibri"/>
      <family val="2"/>
    </font>
    <font>
      <sz val="11"/>
      <name val="Calibri"/>
      <family val="1"/>
    </font>
    <font>
      <b/>
      <sz val="10"/>
      <name val="Calibri"/>
      <family val="2"/>
    </font>
    <font>
      <b/>
      <sz val="10"/>
      <name val="Calibri"/>
      <family val="1"/>
    </font>
    <font>
      <sz val="10"/>
      <color rgb="FF000000"/>
      <name val="Calibri"/>
      <family val="2"/>
    </font>
    <font>
      <i/>
      <sz val="10"/>
      <name val="Arial Nova"/>
      <family val="2"/>
    </font>
    <font>
      <i/>
      <u/>
      <sz val="10"/>
      <name val="Arial Nova"/>
      <family val="2"/>
    </font>
    <font>
      <sz val="9"/>
      <color theme="0"/>
      <name val="Arial Nova"/>
      <family val="2"/>
    </font>
    <font>
      <sz val="9"/>
      <name val="Arial Nova"/>
      <family val="2"/>
    </font>
    <font>
      <b/>
      <sz val="8"/>
      <color theme="0"/>
      <name val="Arial Narrow"/>
      <family val="2"/>
    </font>
  </fonts>
  <fills count="2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theme="8"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DBE5F1"/>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249977111117893"/>
        <bgColor indexed="64"/>
      </patternFill>
    </fill>
    <fill>
      <patternFill patternType="solid">
        <fgColor rgb="FFC0C0C0"/>
        <bgColor indexed="64"/>
      </patternFill>
    </fill>
    <fill>
      <patternFill patternType="solid">
        <fgColor theme="0" tint="-0.249977111117893"/>
        <bgColor indexed="64"/>
      </patternFill>
    </fill>
    <fill>
      <patternFill patternType="solid">
        <fgColor theme="3"/>
        <bgColor indexed="64"/>
      </patternFill>
    </fill>
    <fill>
      <patternFill patternType="solid">
        <fgColor theme="3" tint="-0.249977111117893"/>
        <bgColor indexed="64"/>
      </patternFill>
    </fill>
    <fill>
      <patternFill patternType="solid">
        <fgColor theme="1" tint="0.249977111117893"/>
        <bgColor indexed="64"/>
      </patternFill>
    </fill>
    <fill>
      <patternFill patternType="solid">
        <fgColor rgb="FFE3DFEB"/>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medium">
        <color indexed="17"/>
      </left>
      <right/>
      <top style="medium">
        <color indexed="64"/>
      </top>
      <bottom style="medium">
        <color indexed="17"/>
      </bottom>
      <diagonal/>
    </border>
    <border>
      <left style="medium">
        <color indexed="17"/>
      </left>
      <right/>
      <top style="medium">
        <color indexed="17"/>
      </top>
      <bottom style="medium">
        <color indexed="17"/>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theme="0"/>
      </left>
      <right style="thin">
        <color theme="0"/>
      </right>
      <top style="thin">
        <color theme="0"/>
      </top>
      <bottom style="thin">
        <color theme="0"/>
      </bottom>
      <diagonal/>
    </border>
    <border>
      <left style="thin">
        <color indexed="64"/>
      </left>
      <right style="thin">
        <color indexed="64"/>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224">
    <xf numFmtId="0" fontId="0" fillId="0" borderId="0"/>
    <xf numFmtId="172" fontId="31" fillId="0" borderId="0" applyFont="0" applyFill="0" applyBorder="0" applyAlignment="0" applyProtection="0"/>
    <xf numFmtId="172" fontId="31"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0" fontId="30" fillId="0" borderId="0" applyFont="0" applyFill="0" applyBorder="0" applyAlignment="0" applyProtection="0"/>
    <xf numFmtId="0"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172" fontId="28" fillId="0" borderId="0" applyFont="0" applyFill="0" applyBorder="0" applyAlignment="0" applyProtection="0"/>
    <xf numFmtId="0" fontId="29" fillId="0" borderId="0" applyNumberFormat="0" applyFill="0" applyBorder="0" applyAlignment="0" applyProtection="0">
      <alignment vertical="top"/>
      <protection locked="0"/>
    </xf>
    <xf numFmtId="165" fontId="28" fillId="0" borderId="0" applyFont="0" applyFill="0" applyBorder="0" applyAlignment="0" applyProtection="0"/>
    <xf numFmtId="177" fontId="30" fillId="0" borderId="0" applyFont="0" applyFill="0" applyBorder="0" applyAlignment="0" applyProtection="0"/>
    <xf numFmtId="177" fontId="28" fillId="0" borderId="0" applyFont="0" applyFill="0" applyBorder="0" applyAlignment="0" applyProtection="0"/>
    <xf numFmtId="175" fontId="30" fillId="0" borderId="0" applyFont="0" applyFill="0" applyBorder="0" applyAlignment="0" applyProtection="0"/>
    <xf numFmtId="175" fontId="28" fillId="0" borderId="0" applyFont="0" applyFill="0" applyBorder="0" applyAlignment="0" applyProtection="0"/>
    <xf numFmtId="171" fontId="31"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6" fontId="30" fillId="0" borderId="0" applyFont="0" applyFill="0" applyBorder="0" applyAlignment="0" applyProtection="0"/>
    <xf numFmtId="174" fontId="30" fillId="0" borderId="0" applyFont="0" applyFill="0" applyBorder="0" applyAlignment="0" applyProtection="0"/>
    <xf numFmtId="174" fontId="28" fillId="0" borderId="0" applyFont="0" applyFill="0" applyBorder="0" applyAlignment="0" applyProtection="0"/>
    <xf numFmtId="176" fontId="28" fillId="0" borderId="0" applyFont="0" applyFill="0" applyBorder="0" applyAlignment="0" applyProtection="0"/>
    <xf numFmtId="176" fontId="30" fillId="0" borderId="0" applyFont="0" applyFill="0" applyBorder="0" applyAlignment="0" applyProtection="0"/>
    <xf numFmtId="176" fontId="28" fillId="0" borderId="0" applyFont="0" applyFill="0" applyBorder="0" applyAlignment="0" applyProtection="0"/>
    <xf numFmtId="0" fontId="30" fillId="0" borderId="0"/>
    <xf numFmtId="0" fontId="30" fillId="0" borderId="0"/>
    <xf numFmtId="0" fontId="2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9" fontId="28" fillId="0" borderId="0" applyFont="0" applyFill="0" applyBorder="0" applyAlignment="0" applyProtection="0"/>
    <xf numFmtId="9" fontId="30" fillId="0" borderId="0" applyFont="0" applyFill="0" applyBorder="0" applyAlignment="0" applyProtection="0"/>
    <xf numFmtId="9" fontId="28" fillId="0" borderId="0" applyFont="0" applyFill="0" applyBorder="0" applyAlignment="0" applyProtection="0"/>
    <xf numFmtId="0" fontId="27" fillId="0" borderId="0"/>
    <xf numFmtId="180" fontId="28" fillId="0" borderId="0" applyFont="0" applyFill="0" applyBorder="0" applyAlignment="0" applyProtection="0"/>
    <xf numFmtId="181"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67" fontId="28" fillId="0" borderId="0" applyFont="0" applyFill="0" applyBorder="0" applyAlignment="0" applyProtection="0"/>
    <xf numFmtId="166" fontId="28" fillId="0" borderId="0" applyFon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26" fillId="0" borderId="0"/>
    <xf numFmtId="172" fontId="28" fillId="0" borderId="0" applyFont="0" applyFill="0" applyBorder="0" applyAlignment="0" applyProtection="0"/>
    <xf numFmtId="172" fontId="28" fillId="0" borderId="0" applyFont="0" applyFill="0" applyBorder="0" applyAlignment="0" applyProtection="0"/>
    <xf numFmtId="0" fontId="28" fillId="0" borderId="0" applyFont="0" applyFill="0" applyBorder="0" applyAlignment="0" applyProtection="0"/>
    <xf numFmtId="177" fontId="28" fillId="0" borderId="0" applyFont="0" applyFill="0" applyBorder="0" applyAlignment="0" applyProtection="0"/>
    <xf numFmtId="175" fontId="28" fillId="0" borderId="0" applyFont="0" applyFill="0" applyBorder="0" applyAlignment="0" applyProtection="0"/>
    <xf numFmtId="171" fontId="28" fillId="0" borderId="0" applyFont="0" applyFill="0" applyBorder="0" applyAlignment="0" applyProtection="0"/>
    <xf numFmtId="176" fontId="28" fillId="0" borderId="0" applyFont="0" applyFill="0" applyBorder="0" applyAlignment="0" applyProtection="0"/>
    <xf numFmtId="174" fontId="28" fillId="0" borderId="0" applyFont="0" applyFill="0" applyBorder="0" applyAlignment="0" applyProtection="0"/>
    <xf numFmtId="176" fontId="28" fillId="0" borderId="0" applyFont="0" applyFill="0" applyBorder="0" applyAlignment="0" applyProtection="0"/>
    <xf numFmtId="0" fontId="25" fillId="0" borderId="0"/>
    <xf numFmtId="0" fontId="28" fillId="0" borderId="0"/>
    <xf numFmtId="0" fontId="28"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9" fontId="28" fillId="0" borderId="0" applyFont="0" applyFill="0" applyBorder="0" applyAlignment="0" applyProtection="0"/>
    <xf numFmtId="0" fontId="24" fillId="0" borderId="0"/>
    <xf numFmtId="0" fontId="23" fillId="0" borderId="0"/>
    <xf numFmtId="166" fontId="23" fillId="0" borderId="0" applyFont="0" applyFill="0" applyBorder="0" applyAlignment="0" applyProtection="0"/>
    <xf numFmtId="167" fontId="23" fillId="0" borderId="0" applyFont="0" applyFill="0" applyBorder="0" applyAlignment="0" applyProtection="0"/>
    <xf numFmtId="9" fontId="23" fillId="0" borderId="0" applyFont="0" applyFill="0" applyBorder="0" applyAlignment="0" applyProtection="0"/>
    <xf numFmtId="164" fontId="28" fillId="0" borderId="0" applyFont="0" applyFill="0" applyBorder="0" applyAlignment="0" applyProtection="0"/>
    <xf numFmtId="0" fontId="48" fillId="0" borderId="0"/>
    <xf numFmtId="0" fontId="22" fillId="0" borderId="0"/>
    <xf numFmtId="167" fontId="22" fillId="0" borderId="0" applyFont="0" applyFill="0" applyBorder="0" applyAlignment="0" applyProtection="0"/>
    <xf numFmtId="166" fontId="22" fillId="0" borderId="0" applyFont="0" applyFill="0" applyBorder="0" applyAlignment="0" applyProtection="0"/>
    <xf numFmtId="0" fontId="28" fillId="0" borderId="0"/>
    <xf numFmtId="0" fontId="28" fillId="0" borderId="0"/>
    <xf numFmtId="170" fontId="28" fillId="0" borderId="0" applyFont="0" applyFill="0" applyBorder="0" applyAlignment="0" applyProtection="0"/>
    <xf numFmtId="9" fontId="28" fillId="0" borderId="0" applyFont="0" applyFill="0" applyBorder="0" applyAlignment="0" applyProtection="0"/>
    <xf numFmtId="167" fontId="28" fillId="0" borderId="0" applyFont="0" applyFill="0" applyBorder="0" applyAlignment="0" applyProtection="0"/>
    <xf numFmtId="0" fontId="21" fillId="0" borderId="0"/>
    <xf numFmtId="166" fontId="21" fillId="0" borderId="0" applyFont="0" applyFill="0" applyBorder="0" applyAlignment="0" applyProtection="0"/>
    <xf numFmtId="167" fontId="21" fillId="0" borderId="0" applyFont="0" applyFill="0" applyBorder="0" applyAlignment="0" applyProtection="0"/>
    <xf numFmtId="9" fontId="21" fillId="0" borderId="0" applyFont="0" applyFill="0" applyBorder="0" applyAlignment="0" applyProtection="0"/>
    <xf numFmtId="0" fontId="20" fillId="0" borderId="0"/>
    <xf numFmtId="166" fontId="20" fillId="0" borderId="0" applyFont="0" applyFill="0" applyBorder="0" applyAlignment="0" applyProtection="0"/>
    <xf numFmtId="167" fontId="20" fillId="0" borderId="0" applyFont="0" applyFill="0" applyBorder="0" applyAlignment="0" applyProtection="0"/>
    <xf numFmtId="9" fontId="20" fillId="0" borderId="0" applyFont="0" applyFill="0" applyBorder="0" applyAlignment="0" applyProtection="0"/>
    <xf numFmtId="0" fontId="19" fillId="0" borderId="0"/>
    <xf numFmtId="166" fontId="19" fillId="0" borderId="0" applyFont="0" applyFill="0" applyBorder="0" applyAlignment="0" applyProtection="0"/>
    <xf numFmtId="167" fontId="19" fillId="0" borderId="0" applyFont="0" applyFill="0" applyBorder="0" applyAlignment="0" applyProtection="0"/>
    <xf numFmtId="9" fontId="19" fillId="0" borderId="0" applyFont="0" applyFill="0" applyBorder="0" applyAlignment="0" applyProtection="0"/>
    <xf numFmtId="0" fontId="18" fillId="0" borderId="0"/>
    <xf numFmtId="0" fontId="17" fillId="0" borderId="0"/>
    <xf numFmtId="166"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6" fillId="0" borderId="0"/>
    <xf numFmtId="166" fontId="16" fillId="0" borderId="0" applyFont="0" applyFill="0" applyBorder="0" applyAlignment="0" applyProtection="0"/>
    <xf numFmtId="167" fontId="16" fillId="0" borderId="0" applyFont="0" applyFill="0" applyBorder="0" applyAlignment="0" applyProtection="0"/>
    <xf numFmtId="9" fontId="16" fillId="0" borderId="0" applyFont="0" applyFill="0" applyBorder="0" applyAlignment="0" applyProtection="0"/>
    <xf numFmtId="166" fontId="49" fillId="0" borderId="0" applyFont="0" applyFill="0" applyBorder="0" applyAlignment="0" applyProtection="0"/>
    <xf numFmtId="167" fontId="49" fillId="0" borderId="0" applyFont="0" applyFill="0" applyBorder="0" applyAlignment="0" applyProtection="0"/>
    <xf numFmtId="0" fontId="15" fillId="0" borderId="0"/>
    <xf numFmtId="0" fontId="15" fillId="0" borderId="0"/>
    <xf numFmtId="0" fontId="50" fillId="0" borderId="0"/>
    <xf numFmtId="166" fontId="15" fillId="0" borderId="0" applyFont="0" applyFill="0" applyBorder="0" applyAlignment="0" applyProtection="0"/>
    <xf numFmtId="167" fontId="15" fillId="0" borderId="0" applyFont="0" applyFill="0" applyBorder="0" applyAlignment="0" applyProtection="0"/>
    <xf numFmtId="169" fontId="50" fillId="0" borderId="0" applyFont="0" applyFill="0" applyBorder="0" applyAlignment="0" applyProtection="0"/>
    <xf numFmtId="0" fontId="14" fillId="0" borderId="0"/>
    <xf numFmtId="166" fontId="14" fillId="0" borderId="0" applyFont="0" applyFill="0" applyBorder="0" applyAlignment="0" applyProtection="0"/>
    <xf numFmtId="0" fontId="13" fillId="0" borderId="0"/>
    <xf numFmtId="0" fontId="13" fillId="0" borderId="0"/>
    <xf numFmtId="0" fontId="12" fillId="0" borderId="0"/>
    <xf numFmtId="166" fontId="12" fillId="0" borderId="0" applyFont="0" applyFill="0" applyBorder="0" applyAlignment="0" applyProtection="0"/>
    <xf numFmtId="167" fontId="12" fillId="0" borderId="0" applyFont="0" applyFill="0" applyBorder="0" applyAlignment="0" applyProtection="0"/>
    <xf numFmtId="9" fontId="12" fillId="0" borderId="0" applyFont="0" applyFill="0" applyBorder="0" applyAlignment="0" applyProtection="0"/>
    <xf numFmtId="49" fontId="51" fillId="0" borderId="0" applyFill="0" applyBorder="0" applyProtection="0">
      <alignment horizontal="left" vertical="center"/>
    </xf>
    <xf numFmtId="166" fontId="28" fillId="0" borderId="0" applyFont="0" applyFill="0" applyBorder="0" applyAlignment="0" applyProtection="0"/>
    <xf numFmtId="0" fontId="52" fillId="0" borderId="0"/>
    <xf numFmtId="0" fontId="53" fillId="12" borderId="0" applyNumberFormat="0" applyBorder="0" applyProtection="0">
      <alignment horizontal="center" vertical="center"/>
    </xf>
    <xf numFmtId="0" fontId="11" fillId="0" borderId="0"/>
    <xf numFmtId="167" fontId="52" fillId="0" borderId="0" applyFont="0" applyFill="0" applyBorder="0" applyAlignment="0" applyProtection="0"/>
    <xf numFmtId="0" fontId="54" fillId="13" borderId="1" applyNumberFormat="0" applyProtection="0">
      <alignment horizontal="left" vertical="center"/>
    </xf>
    <xf numFmtId="183" fontId="51" fillId="0" borderId="0" applyFill="0" applyBorder="0" applyProtection="0">
      <alignment horizontal="right" vertical="center"/>
    </xf>
    <xf numFmtId="43" fontId="52" fillId="0" borderId="0" applyFont="0" applyFill="0" applyBorder="0" applyAlignment="0" applyProtection="0"/>
    <xf numFmtId="9" fontId="52" fillId="0" borderId="0" applyFont="0" applyFill="0" applyBorder="0" applyAlignment="0" applyProtection="0"/>
    <xf numFmtId="185" fontId="52" fillId="0" borderId="0" applyFont="0" applyFill="0" applyBorder="0" applyAlignment="0" applyProtection="0"/>
    <xf numFmtId="184" fontId="52" fillId="0" borderId="0" applyFont="0" applyFill="0" applyBorder="0" applyAlignment="0" applyProtection="0"/>
    <xf numFmtId="43" fontId="52" fillId="0" borderId="0" applyFont="0" applyFill="0" applyBorder="0" applyAlignment="0" applyProtection="0"/>
    <xf numFmtId="41" fontId="52" fillId="0" borderId="0" applyFont="0" applyFill="0" applyBorder="0" applyAlignment="0" applyProtection="0"/>
    <xf numFmtId="0" fontId="53" fillId="14" borderId="0" applyNumberFormat="0" applyBorder="0" applyProtection="0">
      <alignment horizontal="center" vertical="center"/>
    </xf>
    <xf numFmtId="0" fontId="53" fillId="13" borderId="0" applyNumberFormat="0" applyBorder="0" applyProtection="0">
      <alignment horizontal="center" vertical="center" wrapText="1"/>
    </xf>
    <xf numFmtId="0" fontId="53" fillId="13" borderId="0" applyNumberFormat="0" applyBorder="0" applyProtection="0">
      <alignment horizontal="right" vertical="center" wrapText="1"/>
    </xf>
    <xf numFmtId="0" fontId="53" fillId="15" borderId="0" applyNumberFormat="0" applyBorder="0" applyProtection="0">
      <alignment horizontal="center" vertical="center" wrapText="1"/>
    </xf>
    <xf numFmtId="0" fontId="51" fillId="15" borderId="0" applyNumberFormat="0" applyBorder="0" applyProtection="0">
      <alignment horizontal="right" vertical="center" wrapText="1"/>
    </xf>
    <xf numFmtId="0" fontId="53" fillId="0" borderId="0" applyNumberFormat="0" applyFill="0" applyBorder="0" applyProtection="0">
      <alignment horizontal="left" vertical="center"/>
    </xf>
    <xf numFmtId="0" fontId="53" fillId="0" borderId="0" applyNumberFormat="0" applyFill="0" applyBorder="0" applyProtection="0">
      <alignment horizontal="right" vertical="center"/>
    </xf>
    <xf numFmtId="186" fontId="51" fillId="0" borderId="0" applyFill="0" applyBorder="0" applyProtection="0">
      <alignment horizontal="right" vertical="center"/>
    </xf>
    <xf numFmtId="14" fontId="51" fillId="0" borderId="0" applyFill="0" applyBorder="0" applyProtection="0">
      <alignment horizontal="right" vertical="center"/>
    </xf>
    <xf numFmtId="22" fontId="51" fillId="0" borderId="0" applyFill="0" applyBorder="0" applyProtection="0">
      <alignment horizontal="right" vertical="center"/>
    </xf>
    <xf numFmtId="4" fontId="51" fillId="0" borderId="0" applyFill="0" applyBorder="0" applyProtection="0">
      <alignment horizontal="right" vertical="center"/>
    </xf>
    <xf numFmtId="0" fontId="51" fillId="0" borderId="1" applyNumberFormat="0" applyFill="0" applyProtection="0">
      <alignment horizontal="left" vertical="center"/>
    </xf>
    <xf numFmtId="186" fontId="51" fillId="0" borderId="1" applyFill="0" applyProtection="0">
      <alignment horizontal="right" vertical="center"/>
    </xf>
    <xf numFmtId="3" fontId="51" fillId="0" borderId="1" applyFill="0" applyProtection="0">
      <alignment horizontal="right" vertical="center"/>
    </xf>
    <xf numFmtId="4" fontId="51" fillId="0" borderId="1" applyFill="0" applyProtection="0">
      <alignment horizontal="right" vertical="center"/>
    </xf>
    <xf numFmtId="0" fontId="52" fillId="0" borderId="1" applyNumberFormat="0" applyFont="0" applyFill="0" applyAlignment="0" applyProtection="0"/>
    <xf numFmtId="0" fontId="10" fillId="0" borderId="0"/>
    <xf numFmtId="187" fontId="51" fillId="0" borderId="0" applyFill="0" applyBorder="0" applyProtection="0">
      <alignment horizontal="right" vertical="center"/>
    </xf>
    <xf numFmtId="0" fontId="9" fillId="0" borderId="0"/>
    <xf numFmtId="188" fontId="52" fillId="0" borderId="0" applyFont="0" applyFill="0" applyBorder="0" applyAlignment="0" applyProtection="0"/>
    <xf numFmtId="166" fontId="9" fillId="0" borderId="0" applyFont="0" applyFill="0" applyBorder="0" applyAlignment="0" applyProtection="0"/>
    <xf numFmtId="167" fontId="9" fillId="0" borderId="0" applyFont="0" applyFill="0" applyBorder="0" applyAlignment="0" applyProtection="0"/>
    <xf numFmtId="9" fontId="9" fillId="0" borderId="0" applyFont="0" applyFill="0" applyBorder="0" applyAlignment="0" applyProtection="0"/>
    <xf numFmtId="0" fontId="8" fillId="0" borderId="0"/>
    <xf numFmtId="166" fontId="8"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0" fontId="7" fillId="0" borderId="0"/>
    <xf numFmtId="166" fontId="7" fillId="0" borderId="0" applyFont="0" applyFill="0" applyBorder="0" applyAlignment="0" applyProtection="0"/>
    <xf numFmtId="0" fontId="28" fillId="0" borderId="0"/>
    <xf numFmtId="0" fontId="6" fillId="0" borderId="0"/>
    <xf numFmtId="0" fontId="5" fillId="0" borderId="0"/>
    <xf numFmtId="166" fontId="5" fillId="0" borderId="0" applyFont="0" applyFill="0" applyBorder="0" applyAlignment="0" applyProtection="0"/>
    <xf numFmtId="0" fontId="4" fillId="0" borderId="0"/>
    <xf numFmtId="0" fontId="3" fillId="0" borderId="0"/>
    <xf numFmtId="0" fontId="2" fillId="0" borderId="0"/>
    <xf numFmtId="0" fontId="1" fillId="0" borderId="0"/>
    <xf numFmtId="0" fontId="79" fillId="0" borderId="0"/>
  </cellStyleXfs>
  <cellXfs count="339">
    <xf numFmtId="0" fontId="0" fillId="0" borderId="0" xfId="0"/>
    <xf numFmtId="0" fontId="35" fillId="3" borderId="1" xfId="32" applyFont="1" applyFill="1" applyBorder="1" applyAlignment="1">
      <alignment horizontal="center" vertical="center" wrapText="1"/>
    </xf>
    <xf numFmtId="168" fontId="35" fillId="3" borderId="1" xfId="32" applyNumberFormat="1" applyFont="1" applyFill="1" applyBorder="1" applyAlignment="1">
      <alignment horizontal="center" vertical="center" wrapText="1"/>
    </xf>
    <xf numFmtId="3" fontId="35" fillId="3" borderId="1" xfId="32" applyNumberFormat="1" applyFont="1" applyFill="1" applyBorder="1" applyAlignment="1">
      <alignment horizontal="center" vertical="center" wrapText="1"/>
    </xf>
    <xf numFmtId="168" fontId="36" fillId="3" borderId="1" xfId="32" applyNumberFormat="1" applyFont="1" applyFill="1" applyBorder="1" applyAlignment="1">
      <alignment horizontal="center" vertical="center" wrapText="1"/>
    </xf>
    <xf numFmtId="0" fontId="37" fillId="0" borderId="0" xfId="0" applyFont="1" applyAlignment="1">
      <alignment vertical="center"/>
    </xf>
    <xf numFmtId="0" fontId="39" fillId="0" borderId="0" xfId="0" applyFont="1" applyAlignment="1">
      <alignment vertical="center"/>
    </xf>
    <xf numFmtId="173" fontId="37" fillId="0" borderId="0" xfId="0" applyNumberFormat="1" applyFont="1" applyAlignment="1">
      <alignment vertical="center"/>
    </xf>
    <xf numFmtId="0" fontId="38" fillId="0" borderId="0" xfId="0" applyFont="1" applyAlignment="1">
      <alignment horizontal="left" vertical="center" wrapText="1"/>
    </xf>
    <xf numFmtId="0" fontId="39" fillId="0" borderId="0" xfId="0" applyFont="1" applyAlignment="1">
      <alignment horizontal="left" vertical="center"/>
    </xf>
    <xf numFmtId="0" fontId="38" fillId="0" borderId="0" xfId="0" applyFont="1" applyAlignment="1">
      <alignment vertical="center"/>
    </xf>
    <xf numFmtId="14" fontId="38" fillId="0" borderId="0" xfId="0" applyNumberFormat="1" applyFont="1" applyAlignment="1">
      <alignment vertical="center"/>
    </xf>
    <xf numFmtId="174" fontId="37" fillId="0" borderId="0" xfId="0" applyNumberFormat="1" applyFont="1" applyAlignment="1">
      <alignment vertical="center"/>
    </xf>
    <xf numFmtId="168" fontId="38" fillId="0" borderId="0" xfId="0" applyNumberFormat="1" applyFont="1" applyAlignment="1">
      <alignment vertical="center"/>
    </xf>
    <xf numFmtId="14" fontId="40" fillId="0" borderId="0" xfId="0" applyNumberFormat="1" applyFont="1" applyAlignment="1">
      <alignment vertical="center"/>
    </xf>
    <xf numFmtId="168" fontId="40" fillId="0" borderId="0" xfId="0" applyNumberFormat="1" applyFont="1" applyAlignment="1">
      <alignment horizontal="center" vertical="center"/>
    </xf>
    <xf numFmtId="18" fontId="40" fillId="0" borderId="0" xfId="0" applyNumberFormat="1" applyFont="1" applyAlignment="1">
      <alignment vertical="center"/>
    </xf>
    <xf numFmtId="0" fontId="37" fillId="0" borderId="0" xfId="0" applyFont="1" applyAlignment="1">
      <alignment horizontal="left" vertical="center" wrapText="1"/>
    </xf>
    <xf numFmtId="175" fontId="37" fillId="0" borderId="0" xfId="0" applyNumberFormat="1" applyFont="1" applyAlignment="1">
      <alignment vertical="center"/>
    </xf>
    <xf numFmtId="169" fontId="38" fillId="0" borderId="0" xfId="0" applyNumberFormat="1" applyFont="1" applyAlignment="1">
      <alignment vertical="center"/>
    </xf>
    <xf numFmtId="0" fontId="37" fillId="0" borderId="0" xfId="0" applyFont="1" applyAlignment="1">
      <alignment vertical="center" wrapText="1"/>
    </xf>
    <xf numFmtId="0" fontId="37" fillId="0" borderId="0" xfId="0" quotePrefix="1" applyFont="1" applyAlignment="1">
      <alignment horizontal="left" vertical="center" wrapText="1"/>
    </xf>
    <xf numFmtId="14" fontId="37" fillId="0" borderId="0" xfId="0" applyNumberFormat="1" applyFont="1" applyAlignment="1">
      <alignment vertical="center"/>
    </xf>
    <xf numFmtId="169" fontId="37" fillId="0" borderId="0" xfId="0" applyNumberFormat="1" applyFont="1" applyAlignment="1">
      <alignment vertical="center"/>
    </xf>
    <xf numFmtId="0" fontId="37" fillId="0" borderId="0" xfId="0" quotePrefix="1" applyFont="1" applyAlignment="1">
      <alignment vertical="center"/>
    </xf>
    <xf numFmtId="0" fontId="34" fillId="0" borderId="0" xfId="0" applyFont="1" applyAlignment="1">
      <alignment vertical="center"/>
    </xf>
    <xf numFmtId="0" fontId="35" fillId="0" borderId="0" xfId="0" applyFont="1" applyAlignment="1">
      <alignment vertical="center"/>
    </xf>
    <xf numFmtId="0" fontId="35" fillId="0" borderId="0" xfId="0" applyFont="1" applyAlignment="1">
      <alignment horizontal="center" vertical="center"/>
    </xf>
    <xf numFmtId="0" fontId="44" fillId="0" borderId="0" xfId="0" applyFont="1" applyAlignment="1">
      <alignment vertical="center"/>
    </xf>
    <xf numFmtId="0" fontId="44" fillId="6" borderId="1" xfId="0" applyFont="1" applyFill="1" applyBorder="1" applyAlignment="1">
      <alignment horizontal="center" vertical="center"/>
    </xf>
    <xf numFmtId="0" fontId="45" fillId="0" borderId="0" xfId="0" applyFont="1" applyAlignment="1">
      <alignment vertical="center"/>
    </xf>
    <xf numFmtId="0" fontId="44" fillId="0" borderId="0" xfId="0" applyFont="1" applyAlignment="1">
      <alignment horizontal="left" vertical="center" wrapText="1"/>
    </xf>
    <xf numFmtId="0" fontId="44" fillId="0" borderId="0" xfId="0" applyFont="1" applyAlignment="1">
      <alignment horizontal="left" vertical="center"/>
    </xf>
    <xf numFmtId="0" fontId="46" fillId="0" borderId="0" xfId="0" applyFont="1" applyAlignment="1">
      <alignment vertical="center"/>
    </xf>
    <xf numFmtId="0" fontId="41" fillId="0" borderId="0" xfId="0" applyFont="1" applyAlignment="1">
      <alignment vertical="center"/>
    </xf>
    <xf numFmtId="0" fontId="46" fillId="0" borderId="0" xfId="0" applyFont="1" applyAlignment="1">
      <alignment horizontal="left" vertical="center"/>
    </xf>
    <xf numFmtId="0" fontId="47" fillId="0" borderId="0" xfId="0" applyFont="1" applyAlignment="1">
      <alignment vertical="center"/>
    </xf>
    <xf numFmtId="0" fontId="38" fillId="5" borderId="0" xfId="0" applyFont="1" applyFill="1" applyAlignment="1">
      <alignment horizontal="left" vertical="center" wrapText="1"/>
    </xf>
    <xf numFmtId="0" fontId="38" fillId="5" borderId="0" xfId="0" applyFont="1" applyFill="1" applyAlignment="1">
      <alignment vertical="center"/>
    </xf>
    <xf numFmtId="0" fontId="38" fillId="5" borderId="0" xfId="0" applyFont="1" applyFill="1" applyAlignment="1">
      <alignment vertical="center" wrapText="1"/>
    </xf>
    <xf numFmtId="168" fontId="38" fillId="5" borderId="0" xfId="0" applyNumberFormat="1" applyFont="1" applyFill="1" applyAlignment="1">
      <alignment vertical="center"/>
    </xf>
    <xf numFmtId="0" fontId="37" fillId="5" borderId="0" xfId="0" applyFont="1" applyFill="1" applyAlignment="1">
      <alignment vertical="center"/>
    </xf>
    <xf numFmtId="0" fontId="56" fillId="7" borderId="1" xfId="0" applyFont="1" applyFill="1" applyBorder="1" applyAlignment="1">
      <alignment horizontal="left" vertical="center" wrapText="1"/>
    </xf>
    <xf numFmtId="182" fontId="56" fillId="7" borderId="1" xfId="14" applyNumberFormat="1" applyFont="1" applyFill="1" applyBorder="1" applyAlignment="1">
      <alignment horizontal="center" vertical="center" wrapText="1"/>
    </xf>
    <xf numFmtId="0" fontId="56" fillId="8" borderId="1" xfId="0" applyFont="1" applyFill="1" applyBorder="1" applyAlignment="1">
      <alignment horizontal="center" vertical="center" wrapText="1"/>
    </xf>
    <xf numFmtId="3" fontId="56" fillId="8" borderId="1" xfId="0" applyNumberFormat="1" applyFont="1" applyFill="1" applyBorder="1" applyAlignment="1">
      <alignment horizontal="center" vertical="center" wrapText="1"/>
    </xf>
    <xf numFmtId="3" fontId="58" fillId="7" borderId="1" xfId="0" applyNumberFormat="1" applyFont="1" applyFill="1" applyBorder="1" applyAlignment="1">
      <alignment horizontal="center" vertical="center" wrapText="1"/>
    </xf>
    <xf numFmtId="3" fontId="58" fillId="8" borderId="1" xfId="0" applyNumberFormat="1" applyFont="1" applyFill="1" applyBorder="1" applyAlignment="1">
      <alignment horizontal="center" vertical="center" wrapText="1"/>
    </xf>
    <xf numFmtId="3" fontId="58" fillId="9" borderId="1" xfId="0" applyNumberFormat="1" applyFont="1" applyFill="1" applyBorder="1" applyAlignment="1">
      <alignment horizontal="center" vertical="center" wrapText="1"/>
    </xf>
    <xf numFmtId="0" fontId="56" fillId="0" borderId="0" xfId="0" applyFont="1"/>
    <xf numFmtId="0" fontId="56" fillId="0" borderId="0" xfId="0" applyFont="1" applyAlignment="1">
      <alignment wrapText="1"/>
    </xf>
    <xf numFmtId="0" fontId="56" fillId="0" borderId="0" xfId="0" applyFont="1" applyAlignment="1">
      <alignment vertical="center" wrapText="1"/>
    </xf>
    <xf numFmtId="0" fontId="56" fillId="5" borderId="1" xfId="0" applyFont="1" applyFill="1" applyBorder="1" applyAlignment="1">
      <alignment horizontal="center" vertical="center" wrapText="1"/>
    </xf>
    <xf numFmtId="0" fontId="56" fillId="0" borderId="1" xfId="0" applyFont="1" applyBorder="1" applyAlignment="1">
      <alignment horizontal="center" vertical="center" wrapText="1"/>
    </xf>
    <xf numFmtId="3" fontId="59" fillId="2" borderId="1" xfId="0" applyNumberFormat="1" applyFont="1" applyFill="1" applyBorder="1" applyAlignment="1" applyProtection="1">
      <alignment horizontal="center" vertical="center" wrapText="1"/>
      <protection locked="0"/>
    </xf>
    <xf numFmtId="1" fontId="59" fillId="2" borderId="1" xfId="0" applyNumberFormat="1" applyFont="1" applyFill="1" applyBorder="1" applyAlignment="1" applyProtection="1">
      <alignment horizontal="center" vertical="center" wrapText="1"/>
      <protection locked="0"/>
    </xf>
    <xf numFmtId="3" fontId="60" fillId="0" borderId="1" xfId="13" applyNumberFormat="1" applyFont="1" applyFill="1" applyBorder="1" applyAlignment="1" applyProtection="1">
      <alignment horizontal="center" vertical="center" wrapText="1"/>
      <protection locked="0"/>
    </xf>
    <xf numFmtId="9" fontId="56" fillId="7" borderId="1" xfId="0" applyNumberFormat="1" applyFont="1" applyFill="1" applyBorder="1" applyAlignment="1">
      <alignment vertical="center" wrapText="1"/>
    </xf>
    <xf numFmtId="182" fontId="56" fillId="7" borderId="1" xfId="14" applyNumberFormat="1" applyFont="1" applyFill="1" applyBorder="1" applyAlignment="1">
      <alignment horizontal="left" vertical="center" wrapText="1"/>
    </xf>
    <xf numFmtId="0" fontId="56" fillId="8" borderId="1" xfId="0" applyFont="1" applyFill="1" applyBorder="1" applyAlignment="1">
      <alignment horizontal="left" vertical="center" wrapText="1"/>
    </xf>
    <xf numFmtId="9" fontId="56" fillId="8" borderId="1" xfId="0" applyNumberFormat="1" applyFont="1" applyFill="1" applyBorder="1" applyAlignment="1">
      <alignment vertical="center" wrapText="1"/>
    </xf>
    <xf numFmtId="3" fontId="59" fillId="9" borderId="1" xfId="0" applyNumberFormat="1" applyFont="1" applyFill="1" applyBorder="1" applyAlignment="1" applyProtection="1">
      <alignment horizontal="center" vertical="center" wrapText="1"/>
      <protection locked="0"/>
    </xf>
    <xf numFmtId="9" fontId="56" fillId="9" borderId="1" xfId="0" applyNumberFormat="1" applyFont="1" applyFill="1" applyBorder="1" applyAlignment="1">
      <alignment horizontal="center" vertical="center" wrapText="1"/>
    </xf>
    <xf numFmtId="3" fontId="56" fillId="9" borderId="1" xfId="0" applyNumberFormat="1" applyFont="1" applyFill="1" applyBorder="1" applyAlignment="1">
      <alignment horizontal="center" vertical="center" wrapText="1"/>
    </xf>
    <xf numFmtId="0" fontId="56" fillId="7" borderId="1" xfId="0" applyFont="1" applyFill="1" applyBorder="1" applyAlignment="1">
      <alignment horizontal="center" vertical="center" wrapText="1"/>
    </xf>
    <xf numFmtId="3" fontId="56" fillId="7" borderId="1" xfId="0" applyNumberFormat="1" applyFont="1" applyFill="1" applyBorder="1" applyAlignment="1">
      <alignment horizontal="center" vertical="center" wrapText="1"/>
    </xf>
    <xf numFmtId="0" fontId="56" fillId="9" borderId="1" xfId="0" applyFont="1" applyFill="1" applyBorder="1" applyAlignment="1">
      <alignment horizontal="center" vertical="center" wrapText="1"/>
    </xf>
    <xf numFmtId="0" fontId="56" fillId="0" borderId="0" xfId="0" applyFont="1" applyAlignment="1">
      <alignment horizontal="center" vertical="center" wrapText="1"/>
    </xf>
    <xf numFmtId="3" fontId="56" fillId="0" borderId="1" xfId="0" applyNumberFormat="1" applyFont="1" applyBorder="1" applyAlignment="1">
      <alignment horizontal="center" vertical="center" wrapText="1"/>
    </xf>
    <xf numFmtId="1" fontId="59" fillId="0" borderId="1" xfId="0" applyNumberFormat="1" applyFont="1" applyBorder="1" applyAlignment="1" applyProtection="1">
      <alignment horizontal="center" vertical="center" wrapText="1"/>
      <protection locked="0"/>
    </xf>
    <xf numFmtId="3" fontId="59" fillId="0" borderId="1" xfId="0" applyNumberFormat="1" applyFont="1" applyBorder="1" applyAlignment="1">
      <alignment horizontal="center" vertical="center" wrapText="1"/>
    </xf>
    <xf numFmtId="3" fontId="56" fillId="8" borderId="1" xfId="0" applyNumberFormat="1" applyFont="1" applyFill="1" applyBorder="1" applyAlignment="1">
      <alignment horizontal="left" vertical="center" wrapText="1"/>
    </xf>
    <xf numFmtId="179" fontId="56" fillId="7" borderId="1" xfId="14" applyNumberFormat="1" applyFont="1" applyFill="1" applyBorder="1" applyAlignment="1">
      <alignment horizontal="center" vertical="center" wrapText="1"/>
    </xf>
    <xf numFmtId="0" fontId="56" fillId="0" borderId="0" xfId="0" applyFont="1" applyAlignment="1">
      <alignment horizontal="center" wrapText="1"/>
    </xf>
    <xf numFmtId="0" fontId="45" fillId="0" borderId="0" xfId="0" applyFont="1" applyAlignment="1">
      <alignment horizontal="center" vertical="center" wrapText="1"/>
    </xf>
    <xf numFmtId="177" fontId="38" fillId="5" borderId="0" xfId="0" applyNumberFormat="1" applyFont="1" applyFill="1" applyAlignment="1">
      <alignment vertical="center"/>
    </xf>
    <xf numFmtId="0" fontId="35" fillId="0" borderId="0" xfId="0" applyFont="1" applyAlignment="1">
      <alignment vertical="center" wrapText="1"/>
    </xf>
    <xf numFmtId="0" fontId="56" fillId="0" borderId="1" xfId="0" applyFont="1" applyBorder="1" applyAlignment="1">
      <alignment horizontal="left" vertical="center" wrapText="1"/>
    </xf>
    <xf numFmtId="0" fontId="63" fillId="0" borderId="0" xfId="0" applyFont="1" applyAlignment="1">
      <alignment vertical="center"/>
    </xf>
    <xf numFmtId="0" fontId="63" fillId="0" borderId="0" xfId="0" applyFont="1" applyAlignment="1">
      <alignment vertical="center" wrapText="1"/>
    </xf>
    <xf numFmtId="0" fontId="63" fillId="0" borderId="0" xfId="30" applyFont="1" applyAlignment="1">
      <alignment vertical="center" wrapText="1"/>
    </xf>
    <xf numFmtId="0" fontId="63" fillId="0" borderId="0" xfId="30" applyFont="1" applyAlignment="1">
      <alignment horizontal="left" vertical="center" wrapText="1"/>
    </xf>
    <xf numFmtId="17" fontId="63" fillId="0" borderId="0" xfId="30" applyNumberFormat="1" applyFont="1" applyAlignment="1">
      <alignment horizontal="center" vertical="center" wrapText="1"/>
    </xf>
    <xf numFmtId="177" fontId="63" fillId="0" borderId="0" xfId="30" applyNumberFormat="1" applyFont="1" applyAlignment="1">
      <alignment vertical="center" wrapText="1"/>
    </xf>
    <xf numFmtId="0" fontId="63" fillId="0" borderId="0" xfId="30" applyFont="1" applyAlignment="1">
      <alignment horizontal="center" vertical="center" wrapText="1"/>
    </xf>
    <xf numFmtId="177" fontId="63" fillId="0" borderId="0" xfId="30" applyNumberFormat="1" applyFont="1" applyAlignment="1">
      <alignment horizontal="center" vertical="center" wrapText="1"/>
    </xf>
    <xf numFmtId="0" fontId="64" fillId="17" borderId="1" xfId="30" applyFont="1" applyFill="1" applyBorder="1" applyAlignment="1">
      <alignment horizontal="center" vertical="center" wrapText="1"/>
    </xf>
    <xf numFmtId="0" fontId="63" fillId="0" borderId="3" xfId="0" applyFont="1" applyBorder="1" applyAlignment="1">
      <alignment horizontal="center" vertical="center" wrapText="1"/>
    </xf>
    <xf numFmtId="0" fontId="63" fillId="0" borderId="3" xfId="32" applyFont="1" applyBorder="1" applyAlignment="1">
      <alignment horizontal="center" vertical="center" wrapText="1"/>
    </xf>
    <xf numFmtId="0" fontId="63" fillId="0" borderId="3" xfId="0" applyFont="1" applyBorder="1" applyAlignment="1">
      <alignment horizontal="left" vertical="center" wrapText="1"/>
    </xf>
    <xf numFmtId="14" fontId="63" fillId="5" borderId="3" xfId="32" applyNumberFormat="1" applyFont="1" applyFill="1" applyBorder="1" applyAlignment="1">
      <alignment horizontal="center" vertical="center" wrapText="1"/>
    </xf>
    <xf numFmtId="177" fontId="63" fillId="0" borderId="1" xfId="32" applyNumberFormat="1" applyFont="1" applyBorder="1" applyAlignment="1">
      <alignment vertical="center" wrapText="1"/>
    </xf>
    <xf numFmtId="9" fontId="63" fillId="0" borderId="3" xfId="49" applyFont="1" applyFill="1" applyBorder="1" applyAlignment="1">
      <alignment horizontal="center" vertical="center" wrapText="1"/>
    </xf>
    <xf numFmtId="178" fontId="63" fillId="0" borderId="3" xfId="32" applyNumberFormat="1" applyFont="1" applyBorder="1" applyAlignment="1">
      <alignment vertical="center" wrapText="1"/>
    </xf>
    <xf numFmtId="189" fontId="63" fillId="0" borderId="3" xfId="32" applyNumberFormat="1" applyFont="1" applyBorder="1" applyAlignment="1">
      <alignment horizontal="center" vertical="center" wrapText="1"/>
    </xf>
    <xf numFmtId="0" fontId="63" fillId="0" borderId="1" xfId="0" applyFont="1" applyBorder="1" applyAlignment="1">
      <alignment vertical="top" wrapText="1"/>
    </xf>
    <xf numFmtId="0" fontId="63" fillId="0" borderId="3" xfId="0" applyFont="1" applyBorder="1" applyAlignment="1">
      <alignment horizontal="left" vertical="top" wrapText="1"/>
    </xf>
    <xf numFmtId="178" fontId="63" fillId="0" borderId="1" xfId="32" applyNumberFormat="1" applyFont="1" applyBorder="1" applyAlignment="1">
      <alignment horizontal="center" vertical="center" wrapText="1"/>
    </xf>
    <xf numFmtId="178" fontId="62" fillId="4" borderId="1" xfId="30" applyNumberFormat="1" applyFont="1" applyFill="1" applyBorder="1" applyAlignment="1">
      <alignment vertical="center" wrapText="1"/>
    </xf>
    <xf numFmtId="0" fontId="62" fillId="4" borderId="1" xfId="30" applyFont="1" applyFill="1" applyBorder="1" applyAlignment="1">
      <alignment horizontal="left" vertical="top" wrapText="1"/>
    </xf>
    <xf numFmtId="0" fontId="62" fillId="4" borderId="2" xfId="30" applyFont="1" applyFill="1" applyBorder="1" applyAlignment="1">
      <alignment horizontal="right" vertical="center" wrapText="1"/>
    </xf>
    <xf numFmtId="0" fontId="63" fillId="0" borderId="10" xfId="0" applyFont="1" applyBorder="1" applyAlignment="1">
      <alignment horizontal="center" vertical="center" wrapText="1"/>
    </xf>
    <xf numFmtId="0" fontId="62" fillId="4" borderId="5" xfId="30" applyFont="1" applyFill="1" applyBorder="1" applyAlignment="1">
      <alignment vertical="center" wrapText="1"/>
    </xf>
    <xf numFmtId="0" fontId="62" fillId="4" borderId="7" xfId="30" applyFont="1" applyFill="1" applyBorder="1" applyAlignment="1">
      <alignment vertical="center" wrapText="1"/>
    </xf>
    <xf numFmtId="0" fontId="62" fillId="4" borderId="1" xfId="0" applyFont="1" applyFill="1" applyBorder="1" applyAlignment="1">
      <alignment horizontal="center" vertical="center" wrapText="1"/>
    </xf>
    <xf numFmtId="3" fontId="66" fillId="4" borderId="1" xfId="0" applyNumberFormat="1" applyFont="1" applyFill="1" applyBorder="1" applyAlignment="1">
      <alignment horizontal="center" vertical="center" wrapText="1"/>
    </xf>
    <xf numFmtId="0" fontId="63" fillId="0" borderId="0" xfId="0" applyFont="1" applyAlignment="1">
      <alignment horizontal="center"/>
    </xf>
    <xf numFmtId="0" fontId="63" fillId="0" borderId="0" xfId="0" applyFont="1"/>
    <xf numFmtId="0" fontId="62" fillId="4" borderId="5" xfId="0" applyFont="1" applyFill="1" applyBorder="1" applyAlignment="1">
      <alignment horizontal="center" vertical="center" wrapText="1"/>
    </xf>
    <xf numFmtId="49" fontId="62" fillId="4" borderId="1" xfId="0" applyNumberFormat="1" applyFont="1" applyFill="1" applyBorder="1" applyAlignment="1">
      <alignment horizontal="center" vertical="center" wrapText="1"/>
    </xf>
    <xf numFmtId="0" fontId="64" fillId="17" borderId="5" xfId="0" applyFont="1" applyFill="1" applyBorder="1" applyAlignment="1">
      <alignment horizontal="left" vertical="center" wrapText="1"/>
    </xf>
    <xf numFmtId="0" fontId="63" fillId="5" borderId="10" xfId="0" applyFont="1" applyFill="1" applyBorder="1" applyAlignment="1">
      <alignment horizontal="justify" vertical="center" wrapText="1"/>
    </xf>
    <xf numFmtId="0" fontId="63" fillId="0" borderId="14" xfId="0" applyFont="1" applyBorder="1" applyAlignment="1">
      <alignment horizontal="center" vertical="center" wrapText="1"/>
    </xf>
    <xf numFmtId="49" fontId="63" fillId="0" borderId="10" xfId="0" applyNumberFormat="1" applyFont="1" applyBorder="1" applyAlignment="1">
      <alignment horizontal="center" vertical="center" wrapText="1"/>
    </xf>
    <xf numFmtId="0" fontId="63" fillId="0" borderId="10" xfId="0" applyFont="1" applyBorder="1" applyAlignment="1">
      <alignment horizontal="left" vertical="center" wrapText="1"/>
    </xf>
    <xf numFmtId="0" fontId="63" fillId="0" borderId="0" xfId="0" applyFont="1" applyAlignment="1">
      <alignment wrapText="1"/>
    </xf>
    <xf numFmtId="0" fontId="65" fillId="17" borderId="1" xfId="0" applyFont="1" applyFill="1" applyBorder="1" applyAlignment="1">
      <alignment vertical="center" wrapText="1"/>
    </xf>
    <xf numFmtId="0" fontId="64" fillId="17" borderId="1" xfId="0" applyFont="1" applyFill="1" applyBorder="1" applyAlignment="1">
      <alignment horizontal="right" vertical="center"/>
    </xf>
    <xf numFmtId="0" fontId="67" fillId="0" borderId="0" xfId="0" applyFont="1" applyAlignment="1">
      <alignment vertical="center"/>
    </xf>
    <xf numFmtId="0" fontId="42" fillId="0" borderId="9" xfId="0" applyFont="1" applyBorder="1" applyAlignment="1">
      <alignment horizontal="left" vertical="center" wrapText="1"/>
    </xf>
    <xf numFmtId="0" fontId="43" fillId="0" borderId="9" xfId="0" applyFont="1" applyBorder="1" applyAlignment="1">
      <alignment horizontal="left" vertical="center"/>
    </xf>
    <xf numFmtId="0" fontId="43" fillId="0" borderId="9" xfId="0" applyFont="1" applyBorder="1" applyAlignment="1">
      <alignment horizontal="left"/>
    </xf>
    <xf numFmtId="0" fontId="33" fillId="0" borderId="9" xfId="0" applyFont="1" applyBorder="1" applyAlignment="1">
      <alignment horizontal="left"/>
    </xf>
    <xf numFmtId="0" fontId="38" fillId="10" borderId="6" xfId="0" applyFont="1" applyFill="1" applyBorder="1" applyAlignment="1">
      <alignment horizontal="center" vertical="center"/>
    </xf>
    <xf numFmtId="0" fontId="42" fillId="0" borderId="8" xfId="0" applyFont="1" applyBorder="1" applyAlignment="1">
      <alignment horizontal="left" vertical="center" wrapText="1"/>
    </xf>
    <xf numFmtId="0" fontId="38" fillId="11" borderId="0" xfId="0" applyFont="1" applyFill="1" applyAlignment="1">
      <alignment horizontal="center" vertical="center" wrapText="1"/>
    </xf>
    <xf numFmtId="177" fontId="63" fillId="0" borderId="3" xfId="32" applyNumberFormat="1" applyFont="1" applyBorder="1" applyAlignment="1">
      <alignment vertical="center" wrapText="1"/>
    </xf>
    <xf numFmtId="0" fontId="69" fillId="0" borderId="0" xfId="222" applyFont="1" applyAlignment="1">
      <alignment horizontal="center" vertical="center"/>
    </xf>
    <xf numFmtId="0" fontId="70" fillId="0" borderId="0" xfId="222" applyFont="1" applyAlignment="1">
      <alignment horizontal="center" vertical="center"/>
    </xf>
    <xf numFmtId="0" fontId="69" fillId="0" borderId="0" xfId="222" applyFont="1" applyAlignment="1">
      <alignment horizontal="center" vertical="center" wrapText="1"/>
    </xf>
    <xf numFmtId="0" fontId="69" fillId="0" borderId="1" xfId="222" applyFont="1" applyBorder="1" applyAlignment="1">
      <alignment horizontal="center" vertical="center" wrapText="1"/>
    </xf>
    <xf numFmtId="0" fontId="70" fillId="0" borderId="1" xfId="222" applyFont="1" applyBorder="1" applyAlignment="1">
      <alignment horizontal="center" vertical="center"/>
    </xf>
    <xf numFmtId="0" fontId="69" fillId="0" borderId="1" xfId="222" applyFont="1" applyBorder="1" applyAlignment="1">
      <alignment horizontal="center" vertical="center"/>
    </xf>
    <xf numFmtId="0" fontId="70" fillId="0" borderId="1" xfId="222" applyFont="1" applyBorder="1" applyAlignment="1">
      <alignment horizontal="center" vertical="center" wrapText="1"/>
    </xf>
    <xf numFmtId="0" fontId="72" fillId="0" borderId="1" xfId="222" applyFont="1" applyBorder="1" applyAlignment="1">
      <alignment horizontal="center" vertical="center" wrapText="1"/>
    </xf>
    <xf numFmtId="0" fontId="73" fillId="17" borderId="5" xfId="0" applyFont="1" applyFill="1" applyBorder="1" applyAlignment="1">
      <alignment horizontal="left" vertical="center"/>
    </xf>
    <xf numFmtId="0" fontId="73" fillId="17" borderId="5" xfId="0" applyFont="1" applyFill="1" applyBorder="1" applyAlignment="1">
      <alignment horizontal="center" vertical="center"/>
    </xf>
    <xf numFmtId="0" fontId="45" fillId="0" borderId="2" xfId="0" applyFont="1" applyBorder="1" applyAlignment="1">
      <alignment horizontal="center" vertical="center"/>
    </xf>
    <xf numFmtId="3" fontId="44" fillId="0" borderId="1" xfId="0" applyNumberFormat="1" applyFont="1" applyBorder="1" applyAlignment="1">
      <alignment horizontal="center" vertical="center"/>
    </xf>
    <xf numFmtId="0" fontId="44" fillId="0" borderId="1" xfId="0" applyFont="1" applyBorder="1" applyAlignment="1">
      <alignment horizontal="center" vertical="center"/>
    </xf>
    <xf numFmtId="0" fontId="55" fillId="0" borderId="0" xfId="0" applyFont="1" applyAlignment="1">
      <alignment vertical="center"/>
    </xf>
    <xf numFmtId="0" fontId="70" fillId="20" borderId="1" xfId="222" applyFont="1" applyFill="1" applyBorder="1" applyAlignment="1">
      <alignment horizontal="center" vertical="center" wrapText="1"/>
    </xf>
    <xf numFmtId="0" fontId="64" fillId="17" borderId="5" xfId="30" applyFont="1" applyFill="1" applyBorder="1" applyAlignment="1">
      <alignment vertical="center"/>
    </xf>
    <xf numFmtId="0" fontId="64" fillId="17" borderId="7" xfId="30" applyFont="1" applyFill="1" applyBorder="1" applyAlignment="1">
      <alignment vertical="center"/>
    </xf>
    <xf numFmtId="0" fontId="68" fillId="19" borderId="1" xfId="0" applyFont="1" applyFill="1" applyBorder="1" applyAlignment="1">
      <alignment horizontal="center" vertical="center" wrapText="1"/>
    </xf>
    <xf numFmtId="0" fontId="73" fillId="21" borderId="5" xfId="222" applyFont="1" applyFill="1" applyBorder="1" applyAlignment="1">
      <alignment horizontal="center" vertical="center" wrapText="1"/>
    </xf>
    <xf numFmtId="0" fontId="73" fillId="21" borderId="7" xfId="222" applyFont="1" applyFill="1" applyBorder="1" applyAlignment="1">
      <alignment horizontal="center" vertical="center" wrapText="1"/>
    </xf>
    <xf numFmtId="0" fontId="73" fillId="21" borderId="2" xfId="222" applyFont="1" applyFill="1" applyBorder="1" applyAlignment="1">
      <alignment horizontal="center" vertical="center" wrapText="1"/>
    </xf>
    <xf numFmtId="0" fontId="64" fillId="18" borderId="1" xfId="30" applyFont="1" applyFill="1" applyBorder="1" applyAlignment="1">
      <alignment horizontal="center" vertical="center" wrapText="1"/>
    </xf>
    <xf numFmtId="0" fontId="73" fillId="21" borderId="5" xfId="222" applyFont="1" applyFill="1" applyBorder="1" applyAlignment="1">
      <alignment horizontal="center" vertical="center"/>
    </xf>
    <xf numFmtId="0" fontId="67" fillId="0" borderId="0" xfId="0" applyFont="1" applyAlignment="1">
      <alignment vertical="center" wrapText="1"/>
    </xf>
    <xf numFmtId="0" fontId="65" fillId="17" borderId="5" xfId="0" applyFont="1" applyFill="1" applyBorder="1" applyAlignment="1">
      <alignment horizontal="center" vertical="center" wrapText="1"/>
    </xf>
    <xf numFmtId="0" fontId="70" fillId="20" borderId="1" xfId="222" applyFont="1" applyFill="1" applyBorder="1" applyAlignment="1">
      <alignment horizontal="center" vertical="center" textRotation="90" wrapText="1"/>
    </xf>
    <xf numFmtId="177" fontId="38" fillId="0" borderId="0" xfId="0" applyNumberFormat="1" applyFont="1" applyAlignment="1">
      <alignment vertical="center"/>
    </xf>
    <xf numFmtId="0" fontId="64" fillId="17" borderId="7" xfId="30" applyFont="1" applyFill="1" applyBorder="1" applyAlignment="1">
      <alignment horizontal="left" vertical="center"/>
    </xf>
    <xf numFmtId="0" fontId="68" fillId="19" borderId="16" xfId="0" applyFont="1" applyFill="1" applyBorder="1" applyAlignment="1">
      <alignment horizontal="center" vertical="center" wrapText="1"/>
    </xf>
    <xf numFmtId="0" fontId="64" fillId="17" borderId="3" xfId="30" applyFont="1" applyFill="1" applyBorder="1" applyAlignment="1">
      <alignment horizontal="center" vertical="center" wrapText="1"/>
    </xf>
    <xf numFmtId="0" fontId="64" fillId="17" borderId="11" xfId="30" applyFont="1" applyFill="1" applyBorder="1" applyAlignment="1">
      <alignment vertical="center"/>
    </xf>
    <xf numFmtId="0" fontId="64" fillId="17" borderId="4" xfId="30" applyFont="1" applyFill="1" applyBorder="1" applyAlignment="1">
      <alignment vertical="center"/>
    </xf>
    <xf numFmtId="0" fontId="64" fillId="17" borderId="4" xfId="30" applyFont="1" applyFill="1" applyBorder="1" applyAlignment="1">
      <alignment horizontal="left" vertical="center"/>
    </xf>
    <xf numFmtId="0" fontId="65" fillId="17" borderId="3" xfId="0" applyFont="1" applyFill="1" applyBorder="1" applyAlignment="1">
      <alignment vertical="center" wrapText="1"/>
    </xf>
    <xf numFmtId="0" fontId="64" fillId="17" borderId="3" xfId="0" applyFont="1" applyFill="1" applyBorder="1" applyAlignment="1">
      <alignment horizontal="right" vertical="center"/>
    </xf>
    <xf numFmtId="0" fontId="64" fillId="18" borderId="12" xfId="30" applyFont="1" applyFill="1" applyBorder="1" applyAlignment="1">
      <alignment horizontal="left" vertical="center"/>
    </xf>
    <xf numFmtId="0" fontId="64" fillId="18" borderId="0" xfId="30" applyFont="1" applyFill="1" applyAlignment="1">
      <alignment horizontal="left" vertical="center"/>
    </xf>
    <xf numFmtId="0" fontId="34" fillId="0" borderId="0" xfId="0" applyFont="1" applyAlignment="1">
      <alignment horizontal="center" vertical="center"/>
    </xf>
    <xf numFmtId="0" fontId="65" fillId="17" borderId="1" xfId="0" applyFont="1" applyFill="1" applyBorder="1" applyAlignment="1">
      <alignment horizontal="center" vertical="center" wrapText="1"/>
    </xf>
    <xf numFmtId="0" fontId="73" fillId="21" borderId="5" xfId="222" applyFont="1" applyFill="1" applyBorder="1" applyAlignment="1">
      <alignment horizontal="left" vertical="center"/>
    </xf>
    <xf numFmtId="190" fontId="68" fillId="19" borderId="16" xfId="0" applyNumberFormat="1" applyFont="1" applyFill="1" applyBorder="1" applyAlignment="1">
      <alignment horizontal="center" vertical="center" wrapText="1"/>
    </xf>
    <xf numFmtId="190" fontId="0" fillId="0" borderId="0" xfId="0" applyNumberFormat="1"/>
    <xf numFmtId="190" fontId="64" fillId="17" borderId="3" xfId="30" applyNumberFormat="1" applyFont="1" applyFill="1" applyBorder="1" applyAlignment="1">
      <alignment vertical="center" wrapText="1"/>
    </xf>
    <xf numFmtId="190" fontId="68" fillId="19" borderId="1" xfId="0" applyNumberFormat="1" applyFont="1" applyFill="1" applyBorder="1" applyAlignment="1">
      <alignment horizontal="center" vertical="center" wrapText="1"/>
    </xf>
    <xf numFmtId="190" fontId="63" fillId="0" borderId="3" xfId="32" applyNumberFormat="1" applyFont="1" applyBorder="1" applyAlignment="1">
      <alignment vertical="center" wrapText="1"/>
    </xf>
    <xf numFmtId="190" fontId="63" fillId="0" borderId="1" xfId="32" applyNumberFormat="1" applyFont="1" applyBorder="1" applyAlignment="1">
      <alignment vertical="center" wrapText="1"/>
    </xf>
    <xf numFmtId="190" fontId="62" fillId="4" borderId="1" xfId="30" applyNumberFormat="1" applyFont="1" applyFill="1" applyBorder="1" applyAlignment="1">
      <alignment vertical="center" wrapText="1"/>
    </xf>
    <xf numFmtId="190" fontId="63" fillId="0" borderId="0" xfId="30" applyNumberFormat="1" applyFont="1" applyAlignment="1">
      <alignment horizontal="center" vertical="center" wrapText="1"/>
    </xf>
    <xf numFmtId="190" fontId="64" fillId="17" borderId="1" xfId="30" applyNumberFormat="1" applyFont="1" applyFill="1" applyBorder="1" applyAlignment="1">
      <alignment vertical="center" wrapText="1"/>
    </xf>
    <xf numFmtId="0" fontId="0" fillId="0" borderId="0" xfId="0" applyAlignment="1">
      <alignment horizontal="center"/>
    </xf>
    <xf numFmtId="0" fontId="65" fillId="17" borderId="3" xfId="0" applyFont="1" applyFill="1" applyBorder="1" applyAlignment="1">
      <alignment horizontal="center" vertical="center" wrapText="1"/>
    </xf>
    <xf numFmtId="178" fontId="62" fillId="4" borderId="1" xfId="30" applyNumberFormat="1" applyFont="1" applyFill="1" applyBorder="1" applyAlignment="1">
      <alignment horizontal="center" vertical="center" wrapText="1"/>
    </xf>
    <xf numFmtId="191" fontId="63" fillId="0" borderId="3" xfId="32" applyNumberFormat="1" applyFont="1" applyBorder="1" applyAlignment="1">
      <alignment vertical="center" wrapText="1"/>
    </xf>
    <xf numFmtId="191" fontId="63" fillId="0" borderId="0" xfId="30" applyNumberFormat="1" applyFont="1" applyAlignment="1">
      <alignment vertical="center" wrapText="1"/>
    </xf>
    <xf numFmtId="0" fontId="71" fillId="0" borderId="1" xfId="222" applyFont="1" applyBorder="1" applyAlignment="1">
      <alignment horizontal="center" vertical="center" wrapText="1"/>
    </xf>
    <xf numFmtId="9" fontId="63" fillId="0" borderId="1" xfId="49" applyFont="1" applyFill="1" applyBorder="1" applyAlignment="1">
      <alignment horizontal="center" vertical="center" wrapText="1"/>
    </xf>
    <xf numFmtId="0" fontId="62" fillId="4" borderId="3" xfId="0" applyFont="1" applyFill="1" applyBorder="1" applyAlignment="1">
      <alignment horizontal="center" vertical="center" wrapText="1"/>
    </xf>
    <xf numFmtId="49" fontId="62" fillId="4" borderId="3" xfId="0" applyNumberFormat="1" applyFont="1" applyFill="1" applyBorder="1" applyAlignment="1">
      <alignment horizontal="center" vertical="center" wrapText="1"/>
    </xf>
    <xf numFmtId="0" fontId="64" fillId="17" borderId="16" xfId="0" applyFont="1" applyFill="1" applyBorder="1" applyAlignment="1">
      <alignment horizontal="center" vertical="center" wrapText="1"/>
    </xf>
    <xf numFmtId="0" fontId="76" fillId="21" borderId="5" xfId="222" applyFont="1" applyFill="1" applyBorder="1" applyAlignment="1">
      <alignment horizontal="left" vertical="center"/>
    </xf>
    <xf numFmtId="0" fontId="76" fillId="21" borderId="5" xfId="222" applyFont="1" applyFill="1" applyBorder="1" applyAlignment="1">
      <alignment horizontal="center" vertical="center"/>
    </xf>
    <xf numFmtId="0" fontId="76" fillId="21" borderId="5" xfId="222" applyFont="1" applyFill="1" applyBorder="1" applyAlignment="1">
      <alignment horizontal="center" vertical="center" wrapText="1"/>
    </xf>
    <xf numFmtId="0" fontId="76" fillId="21" borderId="7" xfId="222" applyFont="1" applyFill="1" applyBorder="1" applyAlignment="1">
      <alignment horizontal="center" vertical="center" wrapText="1"/>
    </xf>
    <xf numFmtId="0" fontId="76" fillId="21" borderId="2" xfId="222" applyFont="1" applyFill="1" applyBorder="1" applyAlignment="1">
      <alignment horizontal="center" vertical="center" wrapText="1"/>
    </xf>
    <xf numFmtId="0" fontId="77" fillId="0" borderId="0" xfId="222" applyFont="1" applyAlignment="1">
      <alignment horizontal="center" vertical="center"/>
    </xf>
    <xf numFmtId="0" fontId="77" fillId="0" borderId="0" xfId="222" applyFont="1" applyAlignment="1">
      <alignment horizontal="center" vertical="center" wrapText="1"/>
    </xf>
    <xf numFmtId="14" fontId="0" fillId="0" borderId="0" xfId="0" applyNumberFormat="1"/>
    <xf numFmtId="0" fontId="63" fillId="0" borderId="1" xfId="0" applyFont="1" applyBorder="1" applyAlignment="1">
      <alignment horizontal="center" vertical="center" wrapText="1"/>
    </xf>
    <xf numFmtId="0" fontId="63" fillId="0" borderId="1" xfId="0" applyFont="1" applyBorder="1" applyAlignment="1">
      <alignment horizontal="left" vertical="center" wrapText="1"/>
    </xf>
    <xf numFmtId="14" fontId="63" fillId="5" borderId="1" xfId="32" applyNumberFormat="1" applyFont="1" applyFill="1" applyBorder="1" applyAlignment="1">
      <alignment horizontal="center" vertical="center" wrapText="1"/>
    </xf>
    <xf numFmtId="178" fontId="63" fillId="0" borderId="1" xfId="32" applyNumberFormat="1" applyFont="1" applyBorder="1" applyAlignment="1">
      <alignment vertical="center" wrapText="1"/>
    </xf>
    <xf numFmtId="189" fontId="63" fillId="0" borderId="1" xfId="32" applyNumberFormat="1" applyFont="1" applyBorder="1" applyAlignment="1">
      <alignment horizontal="center" vertical="center" wrapText="1"/>
    </xf>
    <xf numFmtId="0" fontId="63" fillId="0" borderId="1" xfId="32" applyFont="1" applyBorder="1" applyAlignment="1">
      <alignment horizontal="center" vertical="center" wrapText="1"/>
    </xf>
    <xf numFmtId="0" fontId="63" fillId="0" borderId="1" xfId="0" applyFont="1" applyBorder="1" applyAlignment="1">
      <alignment horizontal="left" vertical="top" wrapText="1"/>
    </xf>
    <xf numFmtId="178" fontId="64" fillId="17" borderId="3" xfId="0" applyNumberFormat="1" applyFont="1" applyFill="1" applyBorder="1" applyAlignment="1">
      <alignment horizontal="left" vertical="center" wrapText="1"/>
    </xf>
    <xf numFmtId="178" fontId="64" fillId="17" borderId="1" xfId="0" applyNumberFormat="1" applyFont="1" applyFill="1" applyBorder="1" applyAlignment="1">
      <alignment horizontal="left" vertical="center" wrapText="1"/>
    </xf>
    <xf numFmtId="178" fontId="63" fillId="0" borderId="1" xfId="30" applyNumberFormat="1" applyFont="1" applyBorder="1" applyAlignment="1">
      <alignment vertical="center" wrapText="1"/>
    </xf>
    <xf numFmtId="9" fontId="63" fillId="0" borderId="1" xfId="49" applyFont="1" applyBorder="1" applyAlignment="1">
      <alignment horizontal="center" vertical="center" wrapText="1"/>
    </xf>
    <xf numFmtId="191" fontId="0" fillId="0" borderId="0" xfId="0" applyNumberFormat="1"/>
    <xf numFmtId="0" fontId="79" fillId="0" borderId="0" xfId="223" applyAlignment="1">
      <alignment horizontal="left" vertical="top"/>
    </xf>
    <xf numFmtId="0" fontId="85" fillId="24" borderId="19" xfId="223" applyFont="1" applyFill="1" applyBorder="1" applyAlignment="1">
      <alignment horizontal="left" vertical="top" wrapText="1"/>
    </xf>
    <xf numFmtId="0" fontId="85" fillId="24" borderId="19" xfId="223" applyFont="1" applyFill="1" applyBorder="1" applyAlignment="1">
      <alignment horizontal="left" vertical="top" wrapText="1" indent="1"/>
    </xf>
    <xf numFmtId="0" fontId="85" fillId="24" borderId="19" xfId="223" applyFont="1" applyFill="1" applyBorder="1" applyAlignment="1">
      <alignment horizontal="center" vertical="top" wrapText="1"/>
    </xf>
    <xf numFmtId="1" fontId="87" fillId="0" borderId="19" xfId="223" applyNumberFormat="1" applyFont="1" applyBorder="1" applyAlignment="1">
      <alignment horizontal="left" vertical="top" shrinkToFit="1"/>
    </xf>
    <xf numFmtId="192" fontId="87" fillId="0" borderId="19" xfId="223" applyNumberFormat="1" applyFont="1" applyBorder="1" applyAlignment="1">
      <alignment horizontal="left" vertical="top" shrinkToFit="1"/>
    </xf>
    <xf numFmtId="193" fontId="87" fillId="0" borderId="19" xfId="223" applyNumberFormat="1" applyFont="1" applyBorder="1" applyAlignment="1">
      <alignment horizontal="center" vertical="top" shrinkToFit="1"/>
    </xf>
    <xf numFmtId="192" fontId="87" fillId="0" borderId="19" xfId="223" applyNumberFormat="1" applyFont="1" applyBorder="1" applyAlignment="1">
      <alignment horizontal="center" vertical="top" shrinkToFit="1"/>
    </xf>
    <xf numFmtId="1" fontId="87" fillId="0" borderId="20" xfId="223" applyNumberFormat="1" applyFont="1" applyBorder="1" applyAlignment="1">
      <alignment horizontal="left" vertical="top" shrinkToFit="1"/>
    </xf>
    <xf numFmtId="192" fontId="87" fillId="0" borderId="20" xfId="223" applyNumberFormat="1" applyFont="1" applyBorder="1" applyAlignment="1">
      <alignment horizontal="left" vertical="top" shrinkToFit="1"/>
    </xf>
    <xf numFmtId="193" fontId="87" fillId="0" borderId="20" xfId="223" applyNumberFormat="1" applyFont="1" applyBorder="1" applyAlignment="1">
      <alignment horizontal="center" vertical="top" shrinkToFit="1"/>
    </xf>
    <xf numFmtId="192" fontId="87" fillId="0" borderId="20" xfId="223" applyNumberFormat="1" applyFont="1" applyBorder="1" applyAlignment="1">
      <alignment horizontal="center" vertical="top" shrinkToFit="1"/>
    </xf>
    <xf numFmtId="0" fontId="63" fillId="0" borderId="1" xfId="30" applyFont="1" applyBorder="1" applyAlignment="1">
      <alignment horizontal="center" vertical="center" wrapText="1"/>
    </xf>
    <xf numFmtId="9" fontId="63" fillId="0" borderId="3" xfId="49" applyFont="1" applyBorder="1" applyAlignment="1">
      <alignment horizontal="center" vertical="center" wrapText="1"/>
    </xf>
    <xf numFmtId="0" fontId="0" fillId="0" borderId="0" xfId="0" pivotButton="1"/>
    <xf numFmtId="0" fontId="0" fillId="0" borderId="0" xfId="0" applyAlignment="1">
      <alignment horizontal="left"/>
    </xf>
    <xf numFmtId="3" fontId="0" fillId="0" borderId="0" xfId="0" applyNumberFormat="1"/>
    <xf numFmtId="194" fontId="63" fillId="5" borderId="3" xfId="32" applyNumberFormat="1" applyFont="1" applyFill="1" applyBorder="1" applyAlignment="1">
      <alignment horizontal="center" vertical="center" wrapText="1"/>
    </xf>
    <xf numFmtId="178" fontId="62" fillId="0" borderId="1" xfId="30" applyNumberFormat="1" applyFont="1" applyBorder="1" applyAlignment="1">
      <alignment vertical="center" wrapText="1"/>
    </xf>
    <xf numFmtId="178" fontId="62" fillId="0" borderId="10" xfId="30" applyNumberFormat="1" applyFont="1" applyBorder="1" applyAlignment="1">
      <alignment vertical="center" wrapText="1"/>
    </xf>
    <xf numFmtId="9" fontId="62" fillId="0" borderId="1" xfId="49" applyFont="1" applyFill="1" applyBorder="1" applyAlignment="1">
      <alignment horizontal="center" vertical="center" wrapText="1"/>
    </xf>
    <xf numFmtId="178" fontId="62" fillId="0" borderId="1" xfId="49" applyNumberFormat="1" applyFont="1" applyBorder="1" applyAlignment="1">
      <alignment horizontal="center" vertical="center" wrapText="1"/>
    </xf>
    <xf numFmtId="0" fontId="63" fillId="5" borderId="1" xfId="0" applyFont="1" applyFill="1" applyBorder="1" applyAlignment="1">
      <alignment horizontal="center" vertical="center" wrapText="1"/>
    </xf>
    <xf numFmtId="9" fontId="63" fillId="5" borderId="1" xfId="49" applyFont="1" applyFill="1" applyBorder="1" applyAlignment="1">
      <alignment horizontal="center" vertical="center" wrapText="1"/>
    </xf>
    <xf numFmtId="0" fontId="63" fillId="5" borderId="1" xfId="0" applyFont="1" applyFill="1" applyBorder="1" applyAlignment="1">
      <alignment horizontal="left" vertical="center" wrapText="1"/>
    </xf>
    <xf numFmtId="190" fontId="63" fillId="5" borderId="1" xfId="32" applyNumberFormat="1" applyFont="1" applyFill="1" applyBorder="1" applyAlignment="1">
      <alignment vertical="center" wrapText="1"/>
    </xf>
    <xf numFmtId="177" fontId="63" fillId="5" borderId="1" xfId="32" applyNumberFormat="1" applyFont="1" applyFill="1" applyBorder="1" applyAlignment="1">
      <alignment vertical="center" wrapText="1"/>
    </xf>
    <xf numFmtId="178" fontId="63" fillId="5" borderId="1" xfId="32" applyNumberFormat="1" applyFont="1" applyFill="1" applyBorder="1" applyAlignment="1">
      <alignment vertical="center" wrapText="1"/>
    </xf>
    <xf numFmtId="189" fontId="63" fillId="5" borderId="1" xfId="32" applyNumberFormat="1" applyFont="1" applyFill="1" applyBorder="1" applyAlignment="1">
      <alignment horizontal="center" vertical="center" wrapText="1"/>
    </xf>
    <xf numFmtId="0" fontId="63" fillId="5" borderId="1" xfId="32" applyFont="1" applyFill="1" applyBorder="1" applyAlignment="1">
      <alignment horizontal="center" vertical="center" wrapText="1"/>
    </xf>
    <xf numFmtId="178" fontId="63" fillId="5" borderId="1" xfId="32" applyNumberFormat="1" applyFont="1" applyFill="1" applyBorder="1" applyAlignment="1">
      <alignment horizontal="center" vertical="center" wrapText="1"/>
    </xf>
    <xf numFmtId="0" fontId="62" fillId="4" borderId="5" xfId="30" applyFont="1" applyFill="1" applyBorder="1" applyAlignment="1">
      <alignment horizontal="center" vertical="center" wrapText="1"/>
    </xf>
    <xf numFmtId="0" fontId="63" fillId="5" borderId="1" xfId="30" applyFont="1" applyFill="1" applyBorder="1" applyAlignment="1">
      <alignment horizontal="center" vertical="center" wrapText="1"/>
    </xf>
    <xf numFmtId="0" fontId="91" fillId="16" borderId="16" xfId="30" applyFont="1" applyFill="1" applyBorder="1" applyAlignment="1">
      <alignment horizontal="center" vertical="center" wrapText="1"/>
    </xf>
    <xf numFmtId="2" fontId="91" fillId="16" borderId="16" xfId="30" applyNumberFormat="1" applyFont="1" applyFill="1" applyBorder="1" applyAlignment="1">
      <alignment horizontal="center" vertical="center" wrapText="1"/>
    </xf>
    <xf numFmtId="15" fontId="91" fillId="16" borderId="16" xfId="30" applyNumberFormat="1" applyFont="1" applyFill="1" applyBorder="1" applyAlignment="1">
      <alignment vertical="center" wrapText="1"/>
    </xf>
    <xf numFmtId="179" fontId="91" fillId="16" borderId="16" xfId="14" applyNumberFormat="1" applyFont="1" applyFill="1" applyBorder="1" applyAlignment="1">
      <alignment horizontal="center" vertical="center" wrapText="1"/>
    </xf>
    <xf numFmtId="0" fontId="91" fillId="0" borderId="0" xfId="30" applyFont="1" applyAlignment="1">
      <alignment horizontal="center" vertical="center" wrapText="1"/>
    </xf>
    <xf numFmtId="0" fontId="91" fillId="0" borderId="0" xfId="30" applyFont="1" applyAlignment="1">
      <alignment vertical="center" wrapText="1"/>
    </xf>
    <xf numFmtId="179" fontId="63" fillId="0" borderId="0" xfId="30" applyNumberFormat="1" applyFont="1" applyAlignment="1">
      <alignment vertical="center" wrapText="1"/>
    </xf>
    <xf numFmtId="0" fontId="67" fillId="0" borderId="0" xfId="30" applyFont="1" applyAlignment="1">
      <alignment vertical="center" wrapText="1"/>
    </xf>
    <xf numFmtId="0" fontId="92" fillId="23" borderId="16" xfId="0" applyFont="1" applyFill="1" applyBorder="1" applyAlignment="1">
      <alignment horizontal="center" vertical="center" wrapText="1"/>
    </xf>
    <xf numFmtId="190" fontId="92" fillId="23" borderId="16" xfId="0" applyNumberFormat="1" applyFont="1" applyFill="1" applyBorder="1" applyAlignment="1">
      <alignment horizontal="center" vertical="center" wrapText="1"/>
    </xf>
    <xf numFmtId="0" fontId="92" fillId="23" borderId="16" xfId="0" applyFont="1" applyFill="1" applyBorder="1" applyAlignment="1">
      <alignment horizontal="center" vertical="top" wrapText="1"/>
    </xf>
    <xf numFmtId="0" fontId="37" fillId="0" borderId="0" xfId="0" applyFont="1" applyAlignment="1">
      <alignment vertical="center" wrapText="1"/>
    </xf>
    <xf numFmtId="0" fontId="38" fillId="11" borderId="0" xfId="0" applyFont="1" applyFill="1" applyAlignment="1">
      <alignment horizontal="left" vertical="center" wrapText="1"/>
    </xf>
    <xf numFmtId="0" fontId="38" fillId="11" borderId="0" xfId="0" applyFont="1" applyFill="1" applyAlignment="1">
      <alignment horizontal="left" vertical="center"/>
    </xf>
    <xf numFmtId="0" fontId="37" fillId="16" borderId="0" xfId="0" applyFont="1" applyFill="1" applyAlignment="1">
      <alignment horizontal="left" vertical="center" wrapText="1"/>
    </xf>
    <xf numFmtId="0" fontId="37" fillId="0" borderId="0" xfId="0" applyFont="1" applyAlignment="1">
      <alignment horizontal="left" vertical="center" wrapText="1"/>
    </xf>
    <xf numFmtId="0" fontId="0" fillId="0" borderId="0" xfId="0" applyAlignment="1">
      <alignment horizontal="center" wrapText="1"/>
    </xf>
    <xf numFmtId="0" fontId="57" fillId="9" borderId="1" xfId="0" applyFont="1" applyFill="1" applyBorder="1" applyAlignment="1">
      <alignment horizontal="center" vertical="center" wrapText="1"/>
    </xf>
    <xf numFmtId="0" fontId="57" fillId="4" borderId="1" xfId="0" applyFont="1" applyFill="1" applyBorder="1" applyAlignment="1">
      <alignment horizontal="center" vertical="center" wrapText="1"/>
    </xf>
    <xf numFmtId="0" fontId="57" fillId="7" borderId="1" xfId="0" applyFont="1" applyFill="1" applyBorder="1" applyAlignment="1">
      <alignment horizontal="center" vertical="center" wrapText="1"/>
    </xf>
    <xf numFmtId="3" fontId="58" fillId="7" borderId="1" xfId="0" applyNumberFormat="1" applyFont="1" applyFill="1" applyBorder="1" applyAlignment="1">
      <alignment horizontal="center" vertical="center" wrapText="1"/>
    </xf>
    <xf numFmtId="0" fontId="57" fillId="8" borderId="1" xfId="0" applyFont="1" applyFill="1" applyBorder="1" applyAlignment="1">
      <alignment horizontal="center" vertical="center" wrapText="1"/>
    </xf>
    <xf numFmtId="3" fontId="58" fillId="8" borderId="1" xfId="0" applyNumberFormat="1" applyFont="1" applyFill="1" applyBorder="1" applyAlignment="1">
      <alignment horizontal="center" vertical="center" wrapText="1"/>
    </xf>
    <xf numFmtId="3" fontId="58" fillId="9" borderId="1" xfId="0" applyNumberFormat="1" applyFont="1" applyFill="1" applyBorder="1" applyAlignment="1">
      <alignment horizontal="center" vertical="center" wrapText="1"/>
    </xf>
    <xf numFmtId="178" fontId="63" fillId="0" borderId="10" xfId="32" applyNumberFormat="1" applyFont="1" applyBorder="1" applyAlignment="1">
      <alignment horizontal="center" vertical="center" wrapText="1"/>
    </xf>
    <xf numFmtId="178" fontId="63" fillId="0" borderId="17" xfId="32" applyNumberFormat="1" applyFont="1" applyBorder="1" applyAlignment="1">
      <alignment horizontal="center" vertical="center" wrapText="1"/>
    </xf>
    <xf numFmtId="178" fontId="63" fillId="0" borderId="3" xfId="32" applyNumberFormat="1" applyFont="1" applyBorder="1" applyAlignment="1">
      <alignment horizontal="center" vertical="center" wrapText="1"/>
    </xf>
    <xf numFmtId="0" fontId="63" fillId="0" borderId="14" xfId="30" applyFont="1" applyBorder="1" applyAlignment="1">
      <alignment horizontal="center" vertical="center" wrapText="1"/>
    </xf>
    <xf numFmtId="0" fontId="63" fillId="0" borderId="13" xfId="30" applyFont="1" applyBorder="1" applyAlignment="1">
      <alignment horizontal="center" vertical="center" wrapText="1"/>
    </xf>
    <xf numFmtId="0" fontId="64" fillId="17" borderId="7" xfId="30" applyFont="1" applyFill="1" applyBorder="1" applyAlignment="1">
      <alignment horizontal="center" vertical="center" wrapText="1"/>
    </xf>
    <xf numFmtId="0" fontId="64" fillId="17" borderId="2" xfId="30" applyFont="1" applyFill="1" applyBorder="1" applyAlignment="1">
      <alignment horizontal="center" vertical="center" wrapText="1"/>
    </xf>
    <xf numFmtId="0" fontId="63" fillId="0" borderId="10" xfId="0" applyFont="1" applyBorder="1" applyAlignment="1">
      <alignment horizontal="center" vertical="center" wrapText="1"/>
    </xf>
    <xf numFmtId="0" fontId="63" fillId="0" borderId="17" xfId="0" applyFont="1" applyBorder="1" applyAlignment="1">
      <alignment horizontal="center" vertical="center" wrapText="1"/>
    </xf>
    <xf numFmtId="0" fontId="63" fillId="0" borderId="3" xfId="0" applyFont="1" applyBorder="1" applyAlignment="1">
      <alignment horizontal="center" vertical="center" wrapText="1"/>
    </xf>
    <xf numFmtId="0" fontId="63" fillId="0" borderId="10" xfId="32" applyFont="1" applyBorder="1" applyAlignment="1">
      <alignment horizontal="center" vertical="center" wrapText="1"/>
    </xf>
    <xf numFmtId="0" fontId="63" fillId="0" borderId="17" xfId="32" applyFont="1" applyBorder="1" applyAlignment="1">
      <alignment horizontal="center" vertical="center" wrapText="1"/>
    </xf>
    <xf numFmtId="0" fontId="63" fillId="0" borderId="3" xfId="32" applyFont="1" applyBorder="1" applyAlignment="1">
      <alignment horizontal="center" vertical="center" wrapText="1"/>
    </xf>
    <xf numFmtId="0" fontId="63" fillId="0" borderId="10" xfId="30" applyFont="1" applyBorder="1" applyAlignment="1">
      <alignment horizontal="center" vertical="center" wrapText="1"/>
    </xf>
    <xf numFmtId="0" fontId="63" fillId="0" borderId="17" xfId="30" applyFont="1" applyBorder="1" applyAlignment="1">
      <alignment horizontal="center" vertical="center" wrapText="1"/>
    </xf>
    <xf numFmtId="0" fontId="63" fillId="0" borderId="3" xfId="30" applyFont="1" applyBorder="1" applyAlignment="1">
      <alignment horizontal="center" vertical="center" wrapText="1"/>
    </xf>
    <xf numFmtId="189" fontId="63" fillId="0" borderId="10" xfId="32" applyNumberFormat="1" applyFont="1" applyBorder="1" applyAlignment="1">
      <alignment horizontal="center" vertical="center" wrapText="1"/>
    </xf>
    <xf numFmtId="189" fontId="63" fillId="0" borderId="17" xfId="32" applyNumberFormat="1" applyFont="1" applyBorder="1" applyAlignment="1">
      <alignment horizontal="center" vertical="center" wrapText="1"/>
    </xf>
    <xf numFmtId="189" fontId="63" fillId="0" borderId="3" xfId="32" applyNumberFormat="1" applyFont="1" applyBorder="1" applyAlignment="1">
      <alignment horizontal="center" vertical="center" wrapText="1"/>
    </xf>
    <xf numFmtId="0" fontId="63" fillId="0" borderId="10" xfId="0" applyFont="1" applyBorder="1" applyAlignment="1">
      <alignment horizontal="left" vertical="center" wrapText="1"/>
    </xf>
    <xf numFmtId="0" fontId="63" fillId="0" borderId="17" xfId="0" applyFont="1" applyBorder="1" applyAlignment="1">
      <alignment horizontal="left" vertical="center" wrapText="1"/>
    </xf>
    <xf numFmtId="0" fontId="63" fillId="0" borderId="3" xfId="0" applyFont="1" applyBorder="1" applyAlignment="1">
      <alignment horizontal="left" vertical="center" wrapText="1"/>
    </xf>
    <xf numFmtId="9" fontId="63" fillId="0" borderId="10" xfId="49" applyFont="1" applyBorder="1" applyAlignment="1">
      <alignment horizontal="center" vertical="center" wrapText="1"/>
    </xf>
    <xf numFmtId="9" fontId="63" fillId="0" borderId="17" xfId="49" applyFont="1" applyBorder="1" applyAlignment="1">
      <alignment horizontal="center" vertical="center" wrapText="1"/>
    </xf>
    <xf numFmtId="9" fontId="63" fillId="0" borderId="3" xfId="49" applyFont="1" applyBorder="1" applyAlignment="1">
      <alignment horizontal="center" vertical="center" wrapText="1"/>
    </xf>
    <xf numFmtId="9" fontId="63" fillId="0" borderId="10" xfId="49" applyFont="1" applyFill="1" applyBorder="1" applyAlignment="1">
      <alignment horizontal="center" vertical="center" wrapText="1"/>
    </xf>
    <xf numFmtId="9" fontId="63" fillId="0" borderId="17" xfId="49" applyFont="1" applyFill="1" applyBorder="1" applyAlignment="1">
      <alignment horizontal="center" vertical="center" wrapText="1"/>
    </xf>
    <xf numFmtId="9" fontId="63" fillId="0" borderId="3" xfId="49" applyFont="1" applyFill="1" applyBorder="1" applyAlignment="1">
      <alignment horizontal="center" vertical="center" wrapText="1"/>
    </xf>
    <xf numFmtId="0" fontId="63" fillId="0" borderId="10" xfId="0" applyFont="1" applyBorder="1" applyAlignment="1">
      <alignment horizontal="center" vertical="top" wrapText="1"/>
    </xf>
    <xf numFmtId="0" fontId="63" fillId="0" borderId="17" xfId="0" applyFont="1" applyBorder="1" applyAlignment="1">
      <alignment horizontal="center" vertical="top" wrapText="1"/>
    </xf>
    <xf numFmtId="0" fontId="63" fillId="0" borderId="3" xfId="0" applyFont="1" applyBorder="1" applyAlignment="1">
      <alignment horizontal="center" vertical="top" wrapText="1"/>
    </xf>
    <xf numFmtId="0" fontId="65" fillId="22" borderId="0" xfId="0" applyFont="1" applyFill="1" applyAlignment="1">
      <alignment horizontal="center" vertical="center" textRotation="90" wrapText="1"/>
    </xf>
    <xf numFmtId="0" fontId="90" fillId="22" borderId="16" xfId="30" applyFont="1" applyFill="1" applyBorder="1" applyAlignment="1">
      <alignment horizontal="center" vertical="center" textRotation="90" wrapText="1"/>
    </xf>
    <xf numFmtId="2" fontId="91" fillId="16" borderId="16" xfId="30" applyNumberFormat="1" applyFont="1" applyFill="1" applyBorder="1" applyAlignment="1">
      <alignment horizontal="center" vertical="center" wrapText="1"/>
    </xf>
    <xf numFmtId="2" fontId="62" fillId="0" borderId="0" xfId="0" applyNumberFormat="1" applyFont="1" applyAlignment="1">
      <alignment horizontal="left" vertical="center" wrapText="1"/>
    </xf>
    <xf numFmtId="0" fontId="63" fillId="0" borderId="0" xfId="0" applyFont="1" applyAlignment="1">
      <alignment horizontal="left" vertical="center"/>
    </xf>
    <xf numFmtId="49" fontId="62" fillId="0" borderId="0" xfId="0" applyNumberFormat="1" applyFont="1" applyAlignment="1">
      <alignment horizontal="center" vertical="center" wrapText="1"/>
    </xf>
    <xf numFmtId="0" fontId="63" fillId="0" borderId="0" xfId="0" applyFont="1" applyAlignment="1">
      <alignment vertical="center"/>
    </xf>
    <xf numFmtId="2" fontId="62" fillId="0" borderId="0" xfId="0" applyNumberFormat="1" applyFont="1" applyAlignment="1">
      <alignment horizontal="center" vertical="center" wrapText="1"/>
    </xf>
    <xf numFmtId="0" fontId="68" fillId="19" borderId="16" xfId="0" applyFont="1" applyFill="1" applyBorder="1" applyAlignment="1">
      <alignment horizontal="center" vertical="center" wrapText="1"/>
    </xf>
    <xf numFmtId="190" fontId="91" fillId="16" borderId="16" xfId="30" applyNumberFormat="1" applyFont="1" applyFill="1" applyBorder="1" applyAlignment="1">
      <alignment horizontal="center" vertical="center" wrapText="1"/>
    </xf>
    <xf numFmtId="165" fontId="91" fillId="16" borderId="16" xfId="14" applyFont="1" applyFill="1" applyBorder="1" applyAlignment="1">
      <alignment horizontal="center" vertical="center" wrapText="1"/>
    </xf>
    <xf numFmtId="0" fontId="82" fillId="0" borderId="0" xfId="223" applyFont="1" applyAlignment="1">
      <alignment horizontal="left" vertical="top" wrapText="1" indent="1"/>
    </xf>
    <xf numFmtId="0" fontId="83" fillId="0" borderId="18" xfId="223" applyFont="1" applyBorder="1" applyAlignment="1">
      <alignment horizontal="left" vertical="top" wrapText="1"/>
    </xf>
    <xf numFmtId="0" fontId="79" fillId="0" borderId="0" xfId="223" applyAlignment="1">
      <alignment horizontal="center" vertical="top" wrapText="1"/>
    </xf>
    <xf numFmtId="0" fontId="80" fillId="0" borderId="0" xfId="223" applyFont="1" applyAlignment="1">
      <alignment horizontal="center" vertical="top" wrapText="1"/>
    </xf>
    <xf numFmtId="0" fontId="80" fillId="0" borderId="0" xfId="223" applyFont="1" applyAlignment="1">
      <alignment horizontal="left" vertical="top" wrapText="1" indent="16"/>
    </xf>
    <xf numFmtId="0" fontId="79" fillId="0" borderId="0" xfId="223" applyAlignment="1">
      <alignment horizontal="left" vertical="top" wrapText="1" indent="1"/>
    </xf>
    <xf numFmtId="0" fontId="62" fillId="4" borderId="15" xfId="0" applyFont="1" applyFill="1" applyBorder="1" applyAlignment="1">
      <alignment horizontal="center" vertical="center" wrapText="1"/>
    </xf>
    <xf numFmtId="0" fontId="62" fillId="4" borderId="0" xfId="0" applyFont="1" applyFill="1" applyAlignment="1">
      <alignment horizontal="center" vertical="center" wrapText="1"/>
    </xf>
    <xf numFmtId="0" fontId="64" fillId="22" borderId="16" xfId="30" applyFont="1" applyFill="1" applyBorder="1" applyAlignment="1">
      <alignment horizontal="center" vertical="center" wrapText="1"/>
    </xf>
    <xf numFmtId="0" fontId="64" fillId="17" borderId="16" xfId="0" applyFont="1" applyFill="1" applyBorder="1" applyAlignment="1">
      <alignment horizontal="center" vertical="center" wrapText="1"/>
    </xf>
    <xf numFmtId="3" fontId="66" fillId="4" borderId="5" xfId="0" applyNumberFormat="1" applyFont="1" applyFill="1" applyBorder="1" applyAlignment="1">
      <alignment horizontal="center" vertical="center" wrapText="1"/>
    </xf>
    <xf numFmtId="3" fontId="66" fillId="4" borderId="7" xfId="0" applyNumberFormat="1" applyFont="1" applyFill="1" applyBorder="1" applyAlignment="1">
      <alignment horizontal="center" vertical="center" wrapText="1"/>
    </xf>
    <xf numFmtId="3" fontId="66" fillId="4" borderId="2" xfId="0" applyNumberFormat="1" applyFont="1" applyFill="1" applyBorder="1" applyAlignment="1">
      <alignment horizontal="center" vertical="center" wrapText="1"/>
    </xf>
    <xf numFmtId="0" fontId="64" fillId="17" borderId="16" xfId="0" applyFont="1" applyFill="1" applyBorder="1" applyAlignment="1">
      <alignment horizontal="left" vertical="center" wrapText="1"/>
    </xf>
    <xf numFmtId="0" fontId="73" fillId="18" borderId="13" xfId="222" applyFont="1" applyFill="1" applyBorder="1" applyAlignment="1">
      <alignment horizontal="center" vertical="center" textRotation="90"/>
    </xf>
    <xf numFmtId="0" fontId="70" fillId="20" borderId="5" xfId="222" applyFont="1" applyFill="1" applyBorder="1" applyAlignment="1">
      <alignment horizontal="center" vertical="center" wrapText="1"/>
    </xf>
    <xf numFmtId="0" fontId="70" fillId="20" borderId="2" xfId="222" applyFont="1" applyFill="1" applyBorder="1" applyAlignment="1">
      <alignment horizontal="center" vertical="center"/>
    </xf>
    <xf numFmtId="0" fontId="70" fillId="20" borderId="10" xfId="222" applyFont="1" applyFill="1" applyBorder="1" applyAlignment="1">
      <alignment horizontal="center" vertical="center" textRotation="90" wrapText="1"/>
    </xf>
    <xf numFmtId="0" fontId="70" fillId="20" borderId="3" xfId="222" applyFont="1" applyFill="1" applyBorder="1" applyAlignment="1">
      <alignment horizontal="center" vertical="center" textRotation="90" wrapText="1"/>
    </xf>
    <xf numFmtId="0" fontId="64" fillId="18" borderId="12" xfId="30" applyFont="1" applyFill="1" applyBorder="1" applyAlignment="1">
      <alignment horizontal="center" vertical="center"/>
    </xf>
    <xf numFmtId="0" fontId="64" fillId="18" borderId="0" xfId="30" applyFont="1" applyFill="1" applyAlignment="1">
      <alignment horizontal="center" vertical="center"/>
    </xf>
    <xf numFmtId="0" fontId="69" fillId="0" borderId="10" xfId="222" applyFont="1" applyBorder="1" applyAlignment="1">
      <alignment horizontal="center" vertical="center" wrapText="1"/>
    </xf>
    <xf numFmtId="0" fontId="69" fillId="0" borderId="17" xfId="222" applyFont="1" applyBorder="1" applyAlignment="1">
      <alignment horizontal="center" vertical="center" wrapText="1"/>
    </xf>
    <xf numFmtId="0" fontId="69" fillId="0" borderId="3" xfId="222" applyFont="1" applyBorder="1" applyAlignment="1">
      <alignment horizontal="center" vertical="center" wrapText="1"/>
    </xf>
    <xf numFmtId="0" fontId="73" fillId="17" borderId="11" xfId="0" applyFont="1" applyFill="1" applyBorder="1" applyAlignment="1">
      <alignment horizontal="center" vertical="center" wrapText="1"/>
    </xf>
    <xf numFmtId="0" fontId="73" fillId="17" borderId="4" xfId="0" applyFont="1" applyFill="1" applyBorder="1" applyAlignment="1">
      <alignment horizontal="center" vertical="center" wrapText="1"/>
    </xf>
    <xf numFmtId="0" fontId="35" fillId="0" borderId="0" xfId="0" applyFont="1" applyAlignment="1">
      <alignment horizontal="center" vertical="center" wrapText="1"/>
    </xf>
    <xf numFmtId="0" fontId="44" fillId="0" borderId="0" xfId="0" applyFont="1" applyAlignment="1">
      <alignment horizontal="justify" vertical="center" wrapText="1"/>
    </xf>
    <xf numFmtId="0" fontId="45" fillId="0" borderId="0" xfId="0" applyFont="1" applyAlignment="1">
      <alignment horizontal="justify" vertical="center" wrapText="1"/>
    </xf>
    <xf numFmtId="0" fontId="55" fillId="0" borderId="0" xfId="0" applyFont="1" applyAlignment="1">
      <alignment horizontal="center" vertical="center"/>
    </xf>
    <xf numFmtId="0" fontId="65" fillId="17" borderId="5" xfId="0" applyFont="1" applyFill="1" applyBorder="1" applyAlignment="1">
      <alignment horizontal="center" vertical="center" wrapText="1"/>
    </xf>
    <xf numFmtId="0" fontId="65" fillId="17" borderId="2" xfId="0" applyFont="1" applyFill="1" applyBorder="1" applyAlignment="1">
      <alignment horizontal="center" vertical="center" wrapText="1"/>
    </xf>
    <xf numFmtId="0" fontId="45" fillId="0" borderId="5" xfId="0" applyFont="1" applyBorder="1" applyAlignment="1">
      <alignment horizontal="center" vertical="center" wrapText="1"/>
    </xf>
    <xf numFmtId="0" fontId="45" fillId="0" borderId="2" xfId="0" applyFont="1" applyBorder="1" applyAlignment="1">
      <alignment horizontal="center" vertical="center" wrapText="1"/>
    </xf>
  </cellXfs>
  <cellStyles count="224">
    <cellStyle name="BodyStyle" xfId="172" xr:uid="{00000000-0005-0000-0000-000000000000}"/>
    <cellStyle name="BodyStyleBold" xfId="191" xr:uid="{00000000-0005-0000-0000-000001000000}"/>
    <cellStyle name="BodyStyleBoldRight" xfId="192" xr:uid="{00000000-0005-0000-0000-000002000000}"/>
    <cellStyle name="BodyStyleWithBorder" xfId="197" xr:uid="{00000000-0005-0000-0000-000003000000}"/>
    <cellStyle name="BorderThinBlack" xfId="201" xr:uid="{00000000-0005-0000-0000-000004000000}"/>
    <cellStyle name="Comma" xfId="184" xr:uid="{00000000-0005-0000-0000-000005000000}"/>
    <cellStyle name="Comma [0]" xfId="185" xr:uid="{00000000-0005-0000-0000-000006000000}"/>
    <cellStyle name="Currency" xfId="173" xr:uid="{00000000-0005-0000-0000-000007000000}"/>
    <cellStyle name="Currency [0]" xfId="183" xr:uid="{00000000-0005-0000-0000-000008000000}"/>
    <cellStyle name="Currency 2" xfId="182" xr:uid="{00000000-0005-0000-0000-000009000000}"/>
    <cellStyle name="Currency 3" xfId="205" xr:uid="{00000000-0005-0000-0000-00000A000000}"/>
    <cellStyle name="DateStyle" xfId="194" xr:uid="{00000000-0005-0000-0000-00000B000000}"/>
    <cellStyle name="DateTimeStyle" xfId="195" xr:uid="{00000000-0005-0000-0000-00000C000000}"/>
    <cellStyle name="Decimal" xfId="196" xr:uid="{00000000-0005-0000-0000-00000D000000}"/>
    <cellStyle name="DecimalWithBorder" xfId="200" xr:uid="{00000000-0005-0000-0000-00000E000000}"/>
    <cellStyle name="Euro" xfId="1" xr:uid="{00000000-0005-0000-0000-00000F000000}"/>
    <cellStyle name="Euro 2" xfId="2" xr:uid="{00000000-0005-0000-0000-000010000000}"/>
    <cellStyle name="Euro 2 2" xfId="3" xr:uid="{00000000-0005-0000-0000-000011000000}"/>
    <cellStyle name="Euro 2 3" xfId="4" xr:uid="{00000000-0005-0000-0000-000012000000}"/>
    <cellStyle name="Euro 2 4" xfId="5" xr:uid="{00000000-0005-0000-0000-000013000000}"/>
    <cellStyle name="Euro 2 5" xfId="6" xr:uid="{00000000-0005-0000-0000-000014000000}"/>
    <cellStyle name="Euro 2 6" xfId="90" xr:uid="{00000000-0005-0000-0000-000015000000}"/>
    <cellStyle name="Euro 3" xfId="7" xr:uid="{00000000-0005-0000-0000-000016000000}"/>
    <cellStyle name="Euro 3 2" xfId="8" xr:uid="{00000000-0005-0000-0000-000017000000}"/>
    <cellStyle name="Euro 3 3" xfId="91" xr:uid="{00000000-0005-0000-0000-000018000000}"/>
    <cellStyle name="Euro 4" xfId="9" xr:uid="{00000000-0005-0000-0000-000019000000}"/>
    <cellStyle name="Euro 5" xfId="10" xr:uid="{00000000-0005-0000-0000-00001A000000}"/>
    <cellStyle name="Euro 6" xfId="11" xr:uid="{00000000-0005-0000-0000-00001B000000}"/>
    <cellStyle name="Euro 7" xfId="12" xr:uid="{00000000-0005-0000-0000-00001C000000}"/>
    <cellStyle name="Euro 8" xfId="89" xr:uid="{00000000-0005-0000-0000-00001D000000}"/>
    <cellStyle name="EuroCurrency" xfId="193" xr:uid="{00000000-0005-0000-0000-00001E000000}"/>
    <cellStyle name="EuroCurrencyWithBorder" xfId="198" xr:uid="{00000000-0005-0000-0000-00001F000000}"/>
    <cellStyle name="HeaderStyle" xfId="175" xr:uid="{00000000-0005-0000-0000-000020000000}"/>
    <cellStyle name="HeaderSubTop" xfId="189" xr:uid="{00000000-0005-0000-0000-000021000000}"/>
    <cellStyle name="HeaderSubTopNoBold" xfId="190" xr:uid="{00000000-0005-0000-0000-000022000000}"/>
    <cellStyle name="HeaderTopBuyer" xfId="186" xr:uid="{00000000-0005-0000-0000-000023000000}"/>
    <cellStyle name="HeaderTopStyle" xfId="187" xr:uid="{00000000-0005-0000-0000-000024000000}"/>
    <cellStyle name="HeaderTopStyleAlignRight" xfId="188" xr:uid="{00000000-0005-0000-0000-000025000000}"/>
    <cellStyle name="Hipervínculo" xfId="13" builtinId="8"/>
    <cellStyle name="MainTitle" xfId="178" xr:uid="{00000000-0005-0000-0000-000027000000}"/>
    <cellStyle name="Millares" xfId="14" builtinId="3"/>
    <cellStyle name="Millares [0] 2" xfId="53" xr:uid="{00000000-0005-0000-0000-000029000000}"/>
    <cellStyle name="Millares [0] 3" xfId="54" xr:uid="{00000000-0005-0000-0000-00002A000000}"/>
    <cellStyle name="Millares 10" xfId="150" xr:uid="{00000000-0005-0000-0000-00002B000000}"/>
    <cellStyle name="Millares 11" xfId="134" xr:uid="{00000000-0005-0000-0000-00002C000000}"/>
    <cellStyle name="Millares 12" xfId="154" xr:uid="{00000000-0005-0000-0000-00002D000000}"/>
    <cellStyle name="Millares 13" xfId="157" xr:uid="{00000000-0005-0000-0000-00002E000000}"/>
    <cellStyle name="Millares 14" xfId="170" xr:uid="{00000000-0005-0000-0000-00002F000000}"/>
    <cellStyle name="Millares 14 2" xfId="177" xr:uid="{00000000-0005-0000-0000-000030000000}"/>
    <cellStyle name="Millares 15" xfId="180" xr:uid="{00000000-0005-0000-0000-000031000000}"/>
    <cellStyle name="Millares 16" xfId="207" xr:uid="{00000000-0005-0000-0000-000032000000}"/>
    <cellStyle name="Millares 17" xfId="211" xr:uid="{00000000-0005-0000-0000-000033000000}"/>
    <cellStyle name="Millares 2" xfId="15" xr:uid="{00000000-0005-0000-0000-000034000000}"/>
    <cellStyle name="Millares 2 2" xfId="16" xr:uid="{00000000-0005-0000-0000-000035000000}"/>
    <cellStyle name="Millares 2 3" xfId="55" xr:uid="{00000000-0005-0000-0000-000036000000}"/>
    <cellStyle name="Millares 2 4" xfId="56" xr:uid="{00000000-0005-0000-0000-000037000000}"/>
    <cellStyle name="Millares 2 5" xfId="92" xr:uid="{00000000-0005-0000-0000-000038000000}"/>
    <cellStyle name="Millares 2 6" xfId="162" xr:uid="{00000000-0005-0000-0000-000039000000}"/>
    <cellStyle name="Millares 3" xfId="17" xr:uid="{00000000-0005-0000-0000-00003A000000}"/>
    <cellStyle name="Millares 3 2" xfId="18" xr:uid="{00000000-0005-0000-0000-00003B000000}"/>
    <cellStyle name="Millares 3 3" xfId="93" xr:uid="{00000000-0005-0000-0000-00003C000000}"/>
    <cellStyle name="Millares 3 48" xfId="132" xr:uid="{00000000-0005-0000-0000-00003D000000}"/>
    <cellStyle name="Millares 4" xfId="57" xr:uid="{00000000-0005-0000-0000-00003E000000}"/>
    <cellStyle name="Millares 5" xfId="123" xr:uid="{00000000-0005-0000-0000-00003F000000}"/>
    <cellStyle name="Millares 6" xfId="128" xr:uid="{00000000-0005-0000-0000-000040000000}"/>
    <cellStyle name="Millares 7" xfId="137" xr:uid="{00000000-0005-0000-0000-000041000000}"/>
    <cellStyle name="Millares 8" xfId="141" xr:uid="{00000000-0005-0000-0000-000042000000}"/>
    <cellStyle name="Millares 9" xfId="145" xr:uid="{00000000-0005-0000-0000-000043000000}"/>
    <cellStyle name="Moneda 10" xfId="140" xr:uid="{00000000-0005-0000-0000-000044000000}"/>
    <cellStyle name="Moneda 11" xfId="144" xr:uid="{00000000-0005-0000-0000-000045000000}"/>
    <cellStyle name="Moneda 12" xfId="149" xr:uid="{00000000-0005-0000-0000-000046000000}"/>
    <cellStyle name="Moneda 13" xfId="153" xr:uid="{00000000-0005-0000-0000-000047000000}"/>
    <cellStyle name="Moneda 14" xfId="156" xr:uid="{00000000-0005-0000-0000-000048000000}"/>
    <cellStyle name="Moneda 15" xfId="165" xr:uid="{00000000-0005-0000-0000-000049000000}"/>
    <cellStyle name="Moneda 16" xfId="169" xr:uid="{00000000-0005-0000-0000-00004A000000}"/>
    <cellStyle name="Moneda 17" xfId="206" xr:uid="{00000000-0005-0000-0000-00004B000000}"/>
    <cellStyle name="Moneda 18" xfId="210" xr:uid="{00000000-0005-0000-0000-00004C000000}"/>
    <cellStyle name="Moneda 19" xfId="214" xr:uid="{00000000-0005-0000-0000-00004D000000}"/>
    <cellStyle name="Moneda 2" xfId="19" xr:uid="{00000000-0005-0000-0000-00004E000000}"/>
    <cellStyle name="Moneda 2 2" xfId="20" xr:uid="{00000000-0005-0000-0000-00004F000000}"/>
    <cellStyle name="Moneda 2 3" xfId="21" xr:uid="{00000000-0005-0000-0000-000050000000}"/>
    <cellStyle name="Moneda 2 4" xfId="22" xr:uid="{00000000-0005-0000-0000-000051000000}"/>
    <cellStyle name="Moneda 2 5" xfId="23" xr:uid="{00000000-0005-0000-0000-000052000000}"/>
    <cellStyle name="Moneda 2 6" xfId="94" xr:uid="{00000000-0005-0000-0000-000053000000}"/>
    <cellStyle name="Moneda 2 7" xfId="161" xr:uid="{00000000-0005-0000-0000-000054000000}"/>
    <cellStyle name="Moneda 20" xfId="218" xr:uid="{00000000-0005-0000-0000-000055000000}"/>
    <cellStyle name="Moneda 3" xfId="24" xr:uid="{00000000-0005-0000-0000-000056000000}"/>
    <cellStyle name="Moneda 3 2" xfId="25" xr:uid="{00000000-0005-0000-0000-000057000000}"/>
    <cellStyle name="Moneda 3 2 2" xfId="26" xr:uid="{00000000-0005-0000-0000-000058000000}"/>
    <cellStyle name="Moneda 3 2 3" xfId="96" xr:uid="{00000000-0005-0000-0000-000059000000}"/>
    <cellStyle name="Moneda 3 3" xfId="27" xr:uid="{00000000-0005-0000-0000-00005A000000}"/>
    <cellStyle name="Moneda 3 4" xfId="95" xr:uid="{00000000-0005-0000-0000-00005B000000}"/>
    <cellStyle name="Moneda 4" xfId="28" xr:uid="{00000000-0005-0000-0000-00005C000000}"/>
    <cellStyle name="Moneda 4 2" xfId="29" xr:uid="{00000000-0005-0000-0000-00005D000000}"/>
    <cellStyle name="Moneda 4 3" xfId="97" xr:uid="{00000000-0005-0000-0000-00005E000000}"/>
    <cellStyle name="Moneda 4 4" xfId="163" xr:uid="{00000000-0005-0000-0000-00005F000000}"/>
    <cellStyle name="Moneda 5" xfId="58" xr:uid="{00000000-0005-0000-0000-000060000000}"/>
    <cellStyle name="Moneda 6" xfId="122" xr:uid="{00000000-0005-0000-0000-000061000000}"/>
    <cellStyle name="Moneda 7" xfId="125" xr:uid="{00000000-0005-0000-0000-000062000000}"/>
    <cellStyle name="Moneda 8" xfId="129" xr:uid="{00000000-0005-0000-0000-000063000000}"/>
    <cellStyle name="Moneda 9" xfId="136" xr:uid="{00000000-0005-0000-0000-000064000000}"/>
    <cellStyle name="Normal" xfId="0" builtinId="0"/>
    <cellStyle name="Normal 10" xfId="98" xr:uid="{00000000-0005-0000-0000-000066000000}"/>
    <cellStyle name="Normal 10 2" xfId="215" xr:uid="{00000000-0005-0000-0000-000067000000}"/>
    <cellStyle name="Normal 11" xfId="120" xr:uid="{00000000-0005-0000-0000-000068000000}"/>
    <cellStyle name="Normal 12" xfId="121" xr:uid="{00000000-0005-0000-0000-000069000000}"/>
    <cellStyle name="Normal 13" xfId="126" xr:uid="{00000000-0005-0000-0000-00006A000000}"/>
    <cellStyle name="Normal 14" xfId="127" xr:uid="{00000000-0005-0000-0000-00006B000000}"/>
    <cellStyle name="Normal 14 2" xfId="159" xr:uid="{00000000-0005-0000-0000-00006C000000}"/>
    <cellStyle name="Normal 14 3" xfId="167" xr:uid="{00000000-0005-0000-0000-00006D000000}"/>
    <cellStyle name="Normal 14 4" xfId="176" xr:uid="{00000000-0005-0000-0000-00006E000000}"/>
    <cellStyle name="Normal 14 5" xfId="202" xr:uid="{00000000-0005-0000-0000-00006F000000}"/>
    <cellStyle name="Normal 14 6" xfId="204" xr:uid="{00000000-0005-0000-0000-000070000000}"/>
    <cellStyle name="Normal 14 7" xfId="216" xr:uid="{00000000-0005-0000-0000-000071000000}"/>
    <cellStyle name="Normal 15" xfId="135" xr:uid="{00000000-0005-0000-0000-000072000000}"/>
    <cellStyle name="Normal 15 2" xfId="174" xr:uid="{00000000-0005-0000-0000-000073000000}"/>
    <cellStyle name="Normal 16" xfId="139" xr:uid="{00000000-0005-0000-0000-000074000000}"/>
    <cellStyle name="Normal 17" xfId="143" xr:uid="{00000000-0005-0000-0000-000075000000}"/>
    <cellStyle name="Normal 18" xfId="147" xr:uid="{00000000-0005-0000-0000-000076000000}"/>
    <cellStyle name="Normal 19" xfId="148" xr:uid="{00000000-0005-0000-0000-000077000000}"/>
    <cellStyle name="Normal 2" xfId="30" xr:uid="{00000000-0005-0000-0000-000078000000}"/>
    <cellStyle name="Normal 2 10" xfId="130" xr:uid="{00000000-0005-0000-0000-000079000000}"/>
    <cellStyle name="Normal 2 2" xfId="31" xr:uid="{00000000-0005-0000-0000-00007A000000}"/>
    <cellStyle name="Normal 2 2 10" xfId="131" xr:uid="{00000000-0005-0000-0000-00007B000000}"/>
    <cellStyle name="Normal 2 2 2" xfId="32" xr:uid="{00000000-0005-0000-0000-00007C000000}"/>
    <cellStyle name="Normal 2 2 3" xfId="100" xr:uid="{00000000-0005-0000-0000-00007D000000}"/>
    <cellStyle name="Normal 2 3" xfId="59" xr:uid="{00000000-0005-0000-0000-00007E000000}"/>
    <cellStyle name="Normal 2 4" xfId="60" xr:uid="{00000000-0005-0000-0000-00007F000000}"/>
    <cellStyle name="Normal 2 5" xfId="99" xr:uid="{00000000-0005-0000-0000-000080000000}"/>
    <cellStyle name="Normal 2 6" xfId="158" xr:uid="{00000000-0005-0000-0000-000081000000}"/>
    <cellStyle name="Normal 2 7" xfId="166" xr:uid="{00000000-0005-0000-0000-000082000000}"/>
    <cellStyle name="Normal 20" xfId="152" xr:uid="{00000000-0005-0000-0000-000083000000}"/>
    <cellStyle name="Normal 21" xfId="164" xr:uid="{00000000-0005-0000-0000-000084000000}"/>
    <cellStyle name="Normal 22" xfId="168" xr:uid="{00000000-0005-0000-0000-000085000000}"/>
    <cellStyle name="Normal 23" xfId="209" xr:uid="{00000000-0005-0000-0000-000086000000}"/>
    <cellStyle name="Normal 24" xfId="213" xr:uid="{00000000-0005-0000-0000-000087000000}"/>
    <cellStyle name="Normal 25" xfId="217" xr:uid="{00000000-0005-0000-0000-000088000000}"/>
    <cellStyle name="Normal 26" xfId="219" xr:uid="{3E2BEB5E-1BB7-4E19-9DC3-399A17FCB4E1}"/>
    <cellStyle name="Normal 26 2" xfId="220" xr:uid="{2ECB7AE5-4036-4203-878B-AAAEB3AB8427}"/>
    <cellStyle name="Normal 26 3" xfId="221" xr:uid="{B3E96559-3CD4-4986-A71D-4698C098B10A}"/>
    <cellStyle name="Normal 26 3 2" xfId="222" xr:uid="{6E86E9E7-B557-4DE6-A933-EDAD645C9EE3}"/>
    <cellStyle name="Normal 27" xfId="223" xr:uid="{B215D67E-DE9D-4949-8098-176DE84F8552}"/>
    <cellStyle name="Normal 3" xfId="33" xr:uid="{00000000-0005-0000-0000-000089000000}"/>
    <cellStyle name="Normal 3 2" xfId="34" xr:uid="{00000000-0005-0000-0000-00008A000000}"/>
    <cellStyle name="Normal 3 2 2" xfId="35" xr:uid="{00000000-0005-0000-0000-00008B000000}"/>
    <cellStyle name="Normal 3 2 2 2" xfId="103" xr:uid="{00000000-0005-0000-0000-00008C000000}"/>
    <cellStyle name="Normal 3 2 3" xfId="102" xr:uid="{00000000-0005-0000-0000-00008D000000}"/>
    <cellStyle name="Normal 3 3" xfId="36" xr:uid="{00000000-0005-0000-0000-00008E000000}"/>
    <cellStyle name="Normal 3 3 2" xfId="37" xr:uid="{00000000-0005-0000-0000-00008F000000}"/>
    <cellStyle name="Normal 3 3 2 2" xfId="105" xr:uid="{00000000-0005-0000-0000-000090000000}"/>
    <cellStyle name="Normal 3 3 3" xfId="104" xr:uid="{00000000-0005-0000-0000-000091000000}"/>
    <cellStyle name="Normal 3 4" xfId="38" xr:uid="{00000000-0005-0000-0000-000092000000}"/>
    <cellStyle name="Normal 3 4 2" xfId="39" xr:uid="{00000000-0005-0000-0000-000093000000}"/>
    <cellStyle name="Normal 3 4 2 2" xfId="107" xr:uid="{00000000-0005-0000-0000-000094000000}"/>
    <cellStyle name="Normal 3 4 3" xfId="106" xr:uid="{00000000-0005-0000-0000-000095000000}"/>
    <cellStyle name="Normal 3 5" xfId="40" xr:uid="{00000000-0005-0000-0000-000096000000}"/>
    <cellStyle name="Normal 3 5 2" xfId="108" xr:uid="{00000000-0005-0000-0000-000097000000}"/>
    <cellStyle name="Normal 3 6" xfId="101" xr:uid="{00000000-0005-0000-0000-000098000000}"/>
    <cellStyle name="Normal 4" xfId="41" xr:uid="{00000000-0005-0000-0000-000099000000}"/>
    <cellStyle name="Normal 4 2" xfId="42" xr:uid="{00000000-0005-0000-0000-00009A000000}"/>
    <cellStyle name="Normal 4 2 2" xfId="43" xr:uid="{00000000-0005-0000-0000-00009B000000}"/>
    <cellStyle name="Normal 4 2 2 2" xfId="111" xr:uid="{00000000-0005-0000-0000-00009C000000}"/>
    <cellStyle name="Normal 4 2 3" xfId="110" xr:uid="{00000000-0005-0000-0000-00009D000000}"/>
    <cellStyle name="Normal 4 3" xfId="44" xr:uid="{00000000-0005-0000-0000-00009E000000}"/>
    <cellStyle name="Normal 4 3 2" xfId="45" xr:uid="{00000000-0005-0000-0000-00009F000000}"/>
    <cellStyle name="Normal 4 3 2 2" xfId="113" xr:uid="{00000000-0005-0000-0000-0000A0000000}"/>
    <cellStyle name="Normal 4 3 3" xfId="112" xr:uid="{00000000-0005-0000-0000-0000A1000000}"/>
    <cellStyle name="Normal 4 4" xfId="46" xr:uid="{00000000-0005-0000-0000-0000A2000000}"/>
    <cellStyle name="Normal 4 4 2" xfId="47" xr:uid="{00000000-0005-0000-0000-0000A3000000}"/>
    <cellStyle name="Normal 4 4 2 2" xfId="115" xr:uid="{00000000-0005-0000-0000-0000A4000000}"/>
    <cellStyle name="Normal 4 4 3" xfId="114" xr:uid="{00000000-0005-0000-0000-0000A5000000}"/>
    <cellStyle name="Normal 4 5" xfId="48" xr:uid="{00000000-0005-0000-0000-0000A6000000}"/>
    <cellStyle name="Normal 4 5 2" xfId="116" xr:uid="{00000000-0005-0000-0000-0000A7000000}"/>
    <cellStyle name="Normal 4 6" xfId="109" xr:uid="{00000000-0005-0000-0000-0000A8000000}"/>
    <cellStyle name="Normal 4 7" xfId="160" xr:uid="{00000000-0005-0000-0000-0000A9000000}"/>
    <cellStyle name="Normal 5" xfId="52" xr:uid="{00000000-0005-0000-0000-0000AA000000}"/>
    <cellStyle name="Normal 5 2" xfId="117" xr:uid="{00000000-0005-0000-0000-0000AB000000}"/>
    <cellStyle name="Normal 6" xfId="61" xr:uid="{00000000-0005-0000-0000-0000AC000000}"/>
    <cellStyle name="Normal 7" xfId="62" xr:uid="{00000000-0005-0000-0000-0000AD000000}"/>
    <cellStyle name="Normal 7 10" xfId="63" xr:uid="{00000000-0005-0000-0000-0000AE000000}"/>
    <cellStyle name="Normal 7 11" xfId="64" xr:uid="{00000000-0005-0000-0000-0000AF000000}"/>
    <cellStyle name="Normal 7 12" xfId="65" xr:uid="{00000000-0005-0000-0000-0000B0000000}"/>
    <cellStyle name="Normal 7 13" xfId="66" xr:uid="{00000000-0005-0000-0000-0000B1000000}"/>
    <cellStyle name="Normal 7 14" xfId="67" xr:uid="{00000000-0005-0000-0000-0000B2000000}"/>
    <cellStyle name="Normal 7 15" xfId="68" xr:uid="{00000000-0005-0000-0000-0000B3000000}"/>
    <cellStyle name="Normal 7 16" xfId="69" xr:uid="{00000000-0005-0000-0000-0000B4000000}"/>
    <cellStyle name="Normal 7 17" xfId="70" xr:uid="{00000000-0005-0000-0000-0000B5000000}"/>
    <cellStyle name="Normal 7 18" xfId="71" xr:uid="{00000000-0005-0000-0000-0000B6000000}"/>
    <cellStyle name="Normal 7 19" xfId="72" xr:uid="{00000000-0005-0000-0000-0000B7000000}"/>
    <cellStyle name="Normal 7 2" xfId="73" xr:uid="{00000000-0005-0000-0000-0000B8000000}"/>
    <cellStyle name="Normal 7 20" xfId="74" xr:uid="{00000000-0005-0000-0000-0000B9000000}"/>
    <cellStyle name="Normal 7 21" xfId="75" xr:uid="{00000000-0005-0000-0000-0000BA000000}"/>
    <cellStyle name="Normal 7 22" xfId="76" xr:uid="{00000000-0005-0000-0000-0000BB000000}"/>
    <cellStyle name="Normal 7 3" xfId="77" xr:uid="{00000000-0005-0000-0000-0000BC000000}"/>
    <cellStyle name="Normal 7 4" xfId="78" xr:uid="{00000000-0005-0000-0000-0000BD000000}"/>
    <cellStyle name="Normal 7 5" xfId="79" xr:uid="{00000000-0005-0000-0000-0000BE000000}"/>
    <cellStyle name="Normal 7 6" xfId="80" xr:uid="{00000000-0005-0000-0000-0000BF000000}"/>
    <cellStyle name="Normal 7 7" xfId="81" xr:uid="{00000000-0005-0000-0000-0000C0000000}"/>
    <cellStyle name="Normal 7 8" xfId="82" xr:uid="{00000000-0005-0000-0000-0000C1000000}"/>
    <cellStyle name="Normal 7 9" xfId="83" xr:uid="{00000000-0005-0000-0000-0000C2000000}"/>
    <cellStyle name="Normal 8" xfId="84" xr:uid="{00000000-0005-0000-0000-0000C3000000}"/>
    <cellStyle name="Normal 9" xfId="88" xr:uid="{00000000-0005-0000-0000-0000C4000000}"/>
    <cellStyle name="Normal 9 2" xfId="118" xr:uid="{00000000-0005-0000-0000-0000C5000000}"/>
    <cellStyle name="Numeric" xfId="179" xr:uid="{00000000-0005-0000-0000-0000C6000000}"/>
    <cellStyle name="Numeric 2" xfId="203" xr:uid="{00000000-0005-0000-0000-0000C7000000}"/>
    <cellStyle name="NumericWithBorder" xfId="199" xr:uid="{00000000-0005-0000-0000-0000C8000000}"/>
    <cellStyle name="Percent" xfId="181" xr:uid="{00000000-0005-0000-0000-0000C9000000}"/>
    <cellStyle name="Porcentaje" xfId="49" builtinId="5"/>
    <cellStyle name="Porcentaje 10" xfId="212" xr:uid="{00000000-0005-0000-0000-0000CB000000}"/>
    <cellStyle name="Porcentaje 2" xfId="124" xr:uid="{00000000-0005-0000-0000-0000CC000000}"/>
    <cellStyle name="Porcentaje 3" xfId="138" xr:uid="{00000000-0005-0000-0000-0000CD000000}"/>
    <cellStyle name="Porcentaje 4" xfId="142" xr:uid="{00000000-0005-0000-0000-0000CE000000}"/>
    <cellStyle name="Porcentaje 5" xfId="146" xr:uid="{00000000-0005-0000-0000-0000CF000000}"/>
    <cellStyle name="Porcentaje 6" xfId="151" xr:uid="{00000000-0005-0000-0000-0000D0000000}"/>
    <cellStyle name="Porcentaje 7" xfId="155" xr:uid="{00000000-0005-0000-0000-0000D1000000}"/>
    <cellStyle name="Porcentaje 8" xfId="171" xr:uid="{00000000-0005-0000-0000-0000D2000000}"/>
    <cellStyle name="Porcentaje 9" xfId="208" xr:uid="{00000000-0005-0000-0000-0000D3000000}"/>
    <cellStyle name="Porcentual 2" xfId="50" xr:uid="{00000000-0005-0000-0000-0000D4000000}"/>
    <cellStyle name="Porcentual 2 10" xfId="133" xr:uid="{00000000-0005-0000-0000-0000D5000000}"/>
    <cellStyle name="Porcentual 2 2" xfId="51" xr:uid="{00000000-0005-0000-0000-0000D6000000}"/>
    <cellStyle name="Porcentual 2 3" xfId="85" xr:uid="{00000000-0005-0000-0000-0000D7000000}"/>
    <cellStyle name="Porcentual 2 4" xfId="86" xr:uid="{00000000-0005-0000-0000-0000D8000000}"/>
    <cellStyle name="Porcentual 2 5" xfId="119" xr:uid="{00000000-0005-0000-0000-0000D9000000}"/>
    <cellStyle name="Porcentual 3" xfId="87" xr:uid="{00000000-0005-0000-0000-0000DA000000}"/>
  </cellStyles>
  <dxfs count="30">
    <dxf>
      <fill>
        <patternFill>
          <bgColor theme="9" tint="0.59996337778862885"/>
        </patternFill>
      </fill>
    </dxf>
    <dxf>
      <fill>
        <patternFill>
          <bgColor theme="9" tint="0.59996337778862885"/>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ill>
        <patternFill>
          <bgColor rgb="FFFFC7CE"/>
        </patternFill>
      </fill>
    </dxf>
    <dxf>
      <font>
        <color auto="1"/>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FF99FF"/>
      <color rgb="FFFFCCFF"/>
      <color rgb="FFCCFFFF"/>
      <color rgb="FFFFFF99"/>
      <color rgb="FFFFFFCC"/>
      <color rgb="FFCC66FF"/>
      <color rgb="FF0000FF"/>
      <color rgb="FF66FF66"/>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2.xml"/><Relationship Id="rId34"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pivotCacheDefinition" Target="pivotCache/pivotCacheDefinition1.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styles" Target="styles.xml"/><Relationship Id="rId30"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2</xdr:col>
      <xdr:colOff>366395</xdr:colOff>
      <xdr:row>230</xdr:row>
      <xdr:rowOff>156210</xdr:rowOff>
    </xdr:from>
    <xdr:ext cx="2332355" cy="0"/>
    <xdr:sp macro="" textlink="">
      <xdr:nvSpPr>
        <xdr:cNvPr id="2" name="Shape 9">
          <a:extLst>
            <a:ext uri="{FF2B5EF4-FFF2-40B4-BE49-F238E27FC236}">
              <a16:creationId xmlns:a16="http://schemas.microsoft.com/office/drawing/2014/main" id="{2B8E0FA4-8F0C-4701-BEDE-C6D4514B5CC7}"/>
            </a:ext>
          </a:extLst>
        </xdr:cNvPr>
        <xdr:cNvSpPr/>
      </xdr:nvSpPr>
      <xdr:spPr>
        <a:xfrm>
          <a:off x="1861820" y="46152435"/>
          <a:ext cx="2332355" cy="0"/>
        </a:xfrm>
        <a:custGeom>
          <a:avLst/>
          <a:gdLst/>
          <a:ahLst/>
          <a:cxnLst/>
          <a:rect l="0" t="0" r="0" b="0"/>
          <a:pathLst>
            <a:path w="2332355">
              <a:moveTo>
                <a:pt x="0" y="0"/>
              </a:moveTo>
              <a:lnTo>
                <a:pt x="2332184" y="0"/>
              </a:lnTo>
            </a:path>
          </a:pathLst>
        </a:custGeom>
        <a:ln w="11325">
          <a:solidFill>
            <a:srgbClr val="000000"/>
          </a:solidFill>
        </a:ln>
      </xdr:spPr>
    </xdr:sp>
    <xdr:clientData/>
  </xdr:oneCellAnchor>
  <xdr:oneCellAnchor>
    <xdr:from>
      <xdr:col>2</xdr:col>
      <xdr:colOff>844359</xdr:colOff>
      <xdr:row>226</xdr:row>
      <xdr:rowOff>67523</xdr:rowOff>
    </xdr:from>
    <xdr:ext cx="1444396" cy="1086192"/>
    <xdr:pic>
      <xdr:nvPicPr>
        <xdr:cNvPr id="3" name="image2.png">
          <a:extLst>
            <a:ext uri="{FF2B5EF4-FFF2-40B4-BE49-F238E27FC236}">
              <a16:creationId xmlns:a16="http://schemas.microsoft.com/office/drawing/2014/main" id="{4EE613A5-8D4C-4605-AFF7-F4B1CDC42F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39784" y="45311273"/>
          <a:ext cx="1444396" cy="108619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16</xdr:row>
      <xdr:rowOff>19050</xdr:rowOff>
    </xdr:from>
    <xdr:to>
      <xdr:col>2</xdr:col>
      <xdr:colOff>152400</xdr:colOff>
      <xdr:row>18</xdr:row>
      <xdr:rowOff>48220</xdr:rowOff>
    </xdr:to>
    <xdr:pic>
      <xdr:nvPicPr>
        <xdr:cNvPr id="4" name="Imagen 2">
          <a:extLst>
            <a:ext uri="{FF2B5EF4-FFF2-40B4-BE49-F238E27FC236}">
              <a16:creationId xmlns:a16="http://schemas.microsoft.com/office/drawing/2014/main" id="{DD70EBE3-7668-43F5-BB9A-52D413903EFD}"/>
            </a:ext>
          </a:extLst>
        </xdr:cNvPr>
        <xdr:cNvPicPr>
          <a:picLocks noChangeAspect="1"/>
        </xdr:cNvPicPr>
      </xdr:nvPicPr>
      <xdr:blipFill>
        <a:blip xmlns:r="http://schemas.openxmlformats.org/officeDocument/2006/relationships" r:embed="rId1">
          <a:alphaModFix amt="53000"/>
        </a:blip>
        <a:stretch>
          <a:fillRect/>
        </a:stretch>
      </xdr:blipFill>
      <xdr:spPr>
        <a:xfrm>
          <a:off x="447675" y="4457700"/>
          <a:ext cx="581025" cy="619720"/>
        </a:xfrm>
        <a:prstGeom prst="rect">
          <a:avLst/>
        </a:prstGeom>
      </xdr:spPr>
    </xdr:pic>
    <xdr:clientData/>
  </xdr:twoCellAnchor>
  <xdr:twoCellAnchor editAs="oneCell">
    <xdr:from>
      <xdr:col>4</xdr:col>
      <xdr:colOff>9525</xdr:colOff>
      <xdr:row>16</xdr:row>
      <xdr:rowOff>57150</xdr:rowOff>
    </xdr:from>
    <xdr:to>
      <xdr:col>5</xdr:col>
      <xdr:colOff>1104613</xdr:colOff>
      <xdr:row>17</xdr:row>
      <xdr:rowOff>47569</xdr:rowOff>
    </xdr:to>
    <xdr:pic>
      <xdr:nvPicPr>
        <xdr:cNvPr id="2" name="Imagen 1">
          <a:extLst>
            <a:ext uri="{FF2B5EF4-FFF2-40B4-BE49-F238E27FC236}">
              <a16:creationId xmlns:a16="http://schemas.microsoft.com/office/drawing/2014/main" id="{9065EC94-8B2C-30EA-AE87-62B1BAE8ADA2}"/>
            </a:ext>
          </a:extLst>
        </xdr:cNvPr>
        <xdr:cNvPicPr>
          <a:picLocks noChangeAspect="1"/>
        </xdr:cNvPicPr>
      </xdr:nvPicPr>
      <xdr:blipFill>
        <a:blip xmlns:r="http://schemas.openxmlformats.org/officeDocument/2006/relationships" r:embed="rId2"/>
        <a:stretch>
          <a:fillRect/>
        </a:stretch>
      </xdr:blipFill>
      <xdr:spPr>
        <a:xfrm>
          <a:off x="4371975" y="6257925"/>
          <a:ext cx="2295238" cy="4476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cuments%20and%20Settings\jortega\Configuraci&#243;n%20local\Archivos%20temporales%20de%20Internet\Content.Outlook\NA01D6XF\ULTIMO%20ENVIADO%20CONSULTORIA%20%202010-08-23\01%20Presupuesto\GP-357%20-%20Presupuesto%20Yopal%20V9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ortatil1/C/Documents%20and%20Settings/Milenio/Mis%20documentos/EDIFICIO%20PLAZA%20EL%20BOSQUE/Unitarios%20Plaza%20el%20Bosque%2019-8-03/PRESUPUESTO/PRESUPUESTO%20GENERAL%20LE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ortatil1/C/Documents%20and%20Settings/Milenio/Mis%20documentos/EDIFICIO%20PLAZA%20EL%20BOSQUE/Unitarios%20Plaza%20el%20Bosque%2019-8-03/PRESUPUESTO/MATERI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Portatil1/C/Documents%20and%20Settings/Milenio/Mis%20documentos/EDIFICIO%20PLAZA%20EL%20BOSQUE/Unitarios%20Plaza%20el%20Bosque%2019-8-03/PRESUPUESTO/EQUIP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Ecabarca\Oficina\Fonade\A&#241;o%202009\Frank%20L&#243;pez%20Jimenez\Folio%203527-2009%20Proceso%20Compra%20Carpas\CronogramasSubastaInvers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Portatil1/C/Documents%20and%20Settings/Milenio/Mis%20documentos/EDIFICIO%20PLAZA%20EL%20BOSQUE/Unitarios%20Plaza%20el%20Bosque%2019-8-03/PRESUPUESTO/MANOBR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ocuments%20and%20Settings\rbermude\Configuraci&#243;n%20local\Archivos%20temporales%20de%20Internet\Content.Outlook\YG5UEJV7\rbermude\Oficina\1-LP%20-%20LICITACION%20PUBLICA\LP%20023-2011\APERTURA%20DE%20SOBRES%20LP%20023-201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Datos"/>
      <sheetName val="PRESUPUESTOS-REV1"/>
      <sheetName val="PU (2)"/>
      <sheetName val="PESOS"/>
      <sheetName val="G&amp;G"/>
      <sheetName val="COSTOS UNITARIOS"/>
      <sheetName val="CA-2909"/>
      <sheetName val="TRAYECTO 1"/>
      <sheetName val="CABG"/>
      <sheetName val=""/>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LORES"/>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LISTA"/>
    </sheetNames>
    <sheetDataSet>
      <sheetData sheetId="0"/>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ryan Alberto Salas Ramirez" refreshedDate="45548.473272916664" createdVersion="8" refreshedVersion="8" minRefreshableVersion="3" recordCount="219" xr:uid="{84A53763-5886-4B02-B6E0-B4FBB256146C}">
  <cacheSource type="worksheet">
    <worksheetSource ref="A10:F229" sheet="Relación Siniestros"/>
  </cacheSource>
  <cacheFields count="9">
    <cacheField name="Siniestro" numFmtId="1">
      <sharedItems containsSemiMixedTypes="0" containsString="0" containsNumber="1" containsInteger="1" minValue="32811" maxValue="34766"/>
    </cacheField>
    <cacheField name="Fecha inicio de la póliza" numFmtId="192">
      <sharedItems containsSemiMixedTypes="0" containsNonDate="0" containsDate="1" containsString="0" minDate="2016-12-31T00:00:00" maxDate="2017-01-02T00:00:00"/>
    </cacheField>
    <cacheField name="Fecha Terminación de la póliza" numFmtId="192">
      <sharedItems containsSemiMixedTypes="0" containsNonDate="0" containsDate="1" containsString="0" minDate="2018-10-07T00:00:00" maxDate="2018-10-08T00:00:00"/>
    </cacheField>
    <cacheField name="Valor Indemnizado o Pagado ($)" numFmtId="193">
      <sharedItems containsSemiMixedTypes="0" containsString="0" containsNumber="1" minValue="195000" maxValue="335934060"/>
    </cacheField>
    <cacheField name="Valor según participacion de Proseguros 20%" numFmtId="193">
      <sharedItems containsSemiMixedTypes="0" containsString="0" containsNumber="1" minValue="39000" maxValue="67186812"/>
    </cacheField>
    <cacheField name="Fecha de Pago de siniestro" numFmtId="192">
      <sharedItems containsSemiMixedTypes="0" containsNonDate="0" containsDate="1" containsString="0" minDate="2017-04-07T00:00:00" maxDate="2020-08-07T00:00:00" count="125">
        <d v="2017-05-04T00:00:00"/>
        <d v="2017-04-07T00:00:00"/>
        <d v="2017-06-02T00:00:00"/>
        <d v="2017-06-14T00:00:00"/>
        <d v="2017-07-19T00:00:00"/>
        <d v="2017-08-16T00:00:00"/>
        <d v="2017-10-10T00:00:00"/>
        <d v="2017-09-26T00:00:00"/>
        <d v="2017-07-05T00:00:00"/>
        <d v="2017-07-12T00:00:00"/>
        <d v="2017-07-24T00:00:00"/>
        <d v="2017-07-28T00:00:00"/>
        <d v="2017-09-20T00:00:00"/>
        <d v="2017-12-05T00:00:00"/>
        <d v="2017-09-27T00:00:00"/>
        <d v="2017-10-20T00:00:00"/>
        <d v="2017-10-03T00:00:00"/>
        <d v="2017-10-13T00:00:00"/>
        <d v="2017-10-05T00:00:00"/>
        <d v="2017-10-17T00:00:00"/>
        <d v="2018-01-11T00:00:00"/>
        <d v="2017-11-21T00:00:00"/>
        <d v="2017-11-09T00:00:00"/>
        <d v="2018-01-02T00:00:00"/>
        <d v="2017-12-15T00:00:00"/>
        <d v="2018-03-07T00:00:00"/>
        <d v="2018-04-16T00:00:00"/>
        <d v="2018-03-23T00:00:00"/>
        <d v="2018-02-12T00:00:00"/>
        <d v="2018-01-30T00:00:00"/>
        <d v="2018-03-13T00:00:00"/>
        <d v="2019-02-07T00:00:00"/>
        <d v="2018-03-26T00:00:00"/>
        <d v="2018-04-17T00:00:00"/>
        <d v="2018-03-02T00:00:00"/>
        <d v="2018-06-12T00:00:00"/>
        <d v="2018-04-24T00:00:00"/>
        <d v="2018-03-14T00:00:00"/>
        <d v="2018-05-04T00:00:00"/>
        <d v="2018-04-20T00:00:00"/>
        <d v="2018-05-07T00:00:00"/>
        <d v="2018-06-07T00:00:00"/>
        <d v="2018-08-17T00:00:00"/>
        <d v="2018-05-11T00:00:00"/>
        <d v="2018-05-29T00:00:00"/>
        <d v="2018-08-13T00:00:00"/>
        <d v="2018-07-13T00:00:00"/>
        <d v="2018-07-17T00:00:00"/>
        <d v="2018-06-15T00:00:00"/>
        <d v="2018-06-19T00:00:00"/>
        <d v="2018-10-19T00:00:00"/>
        <d v="2018-09-12T00:00:00"/>
        <d v="2018-07-16T00:00:00"/>
        <d v="2018-09-20T00:00:00"/>
        <d v="2018-06-21T00:00:00"/>
        <d v="2018-10-03T00:00:00"/>
        <d v="2018-08-31T00:00:00"/>
        <d v="2018-11-22T00:00:00"/>
        <d v="2018-08-16T00:00:00"/>
        <d v="2018-08-21T00:00:00"/>
        <d v="2020-03-20T00:00:00"/>
        <d v="2018-09-19T00:00:00"/>
        <d v="2018-10-20T00:00:00"/>
        <d v="2018-09-07T00:00:00"/>
        <d v="2018-12-06T00:00:00"/>
        <d v="2019-12-05T00:00:00"/>
        <d v="2018-10-02T00:00:00"/>
        <d v="2020-06-19T00:00:00"/>
        <d v="2018-10-22T00:00:00"/>
        <d v="2019-12-20T00:00:00"/>
        <d v="2018-10-31T00:00:00"/>
        <d v="2020-08-06T00:00:00"/>
        <d v="2018-09-26T00:00:00"/>
        <d v="2018-11-07T00:00:00"/>
        <d v="2018-11-14T00:00:00"/>
        <d v="2018-11-21T00:00:00"/>
        <d v="2018-11-28T00:00:00"/>
        <d v="2018-11-19T00:00:00"/>
        <d v="2018-12-12T00:00:00"/>
        <d v="2018-11-20T00:00:00"/>
        <d v="2018-11-29T00:00:00"/>
        <d v="2018-12-04T00:00:00"/>
        <d v="2019-06-26T00:00:00"/>
        <d v="2018-12-05T00:00:00"/>
        <d v="2019-01-02T00:00:00"/>
        <d v="2018-12-21T00:00:00"/>
        <d v="2018-12-19T00:00:00"/>
        <d v="2019-11-21T00:00:00"/>
        <d v="2019-01-04T00:00:00"/>
        <d v="2018-12-27T00:00:00"/>
        <d v="2019-01-08T00:00:00"/>
        <d v="2019-03-14T00:00:00"/>
        <d v="2019-02-27T00:00:00"/>
        <d v="2019-09-30T00:00:00"/>
        <d v="2019-02-19T00:00:00"/>
        <d v="2019-03-13T00:00:00"/>
        <d v="2019-03-19T00:00:00"/>
        <d v="2019-02-05T00:00:00"/>
        <d v="2019-05-13T00:00:00"/>
        <d v="2019-05-30T00:00:00"/>
        <d v="2019-03-28T00:00:00"/>
        <d v="2019-04-24T00:00:00"/>
        <d v="2019-04-30T00:00:00"/>
        <d v="2019-07-24T00:00:00"/>
        <d v="2019-04-08T00:00:00"/>
        <d v="2019-04-23T00:00:00"/>
        <d v="2019-04-15T00:00:00"/>
        <d v="2019-09-10T00:00:00"/>
        <d v="2019-10-03T00:00:00"/>
        <d v="2019-06-17T00:00:00"/>
        <d v="2019-05-06T00:00:00"/>
        <d v="2019-03-27T00:00:00"/>
        <d v="2019-05-03T00:00:00"/>
        <d v="2019-08-16T00:00:00"/>
        <d v="2019-11-27T00:00:00"/>
        <d v="2019-07-11T00:00:00"/>
        <d v="2019-11-18T00:00:00"/>
        <d v="2019-12-19T00:00:00"/>
        <d v="2019-09-19T00:00:00"/>
        <d v="2020-06-11T00:00:00"/>
        <d v="2020-01-14T00:00:00"/>
        <d v="2019-12-23T00:00:00"/>
        <d v="2020-03-25T00:00:00"/>
        <d v="2020-03-17T00:00:00"/>
        <d v="2020-06-10T00:00:00"/>
      </sharedItems>
      <fieldGroup par="8"/>
    </cacheField>
    <cacheField name="Meses (Fecha de Pago de siniestro)" numFmtId="0" databaseField="0">
      <fieldGroup base="5">
        <rangePr groupBy="months" startDate="2017-04-07T00:00:00" endDate="2020-08-07T00:00:00"/>
        <groupItems count="14">
          <s v="&lt;7/04/2017"/>
          <s v="ene"/>
          <s v="feb"/>
          <s v="mar"/>
          <s v="abr"/>
          <s v="may"/>
          <s v="jun"/>
          <s v="jul"/>
          <s v="ago"/>
          <s v="sep"/>
          <s v="oct"/>
          <s v="nov"/>
          <s v="dic"/>
          <s v="&gt;7/08/2020"/>
        </groupItems>
      </fieldGroup>
    </cacheField>
    <cacheField name="Trimestres (Fecha de Pago de siniestro)" numFmtId="0" databaseField="0">
      <fieldGroup base="5">
        <rangePr groupBy="quarters" startDate="2017-04-07T00:00:00" endDate="2020-08-07T00:00:00"/>
        <groupItems count="6">
          <s v="&lt;7/04/2017"/>
          <s v="Trim.1"/>
          <s v="Trim.2"/>
          <s v="Trim.3"/>
          <s v="Trim.4"/>
          <s v="&gt;7/08/2020"/>
        </groupItems>
      </fieldGroup>
    </cacheField>
    <cacheField name="Años (Fecha de Pago de siniestro)" numFmtId="0" databaseField="0">
      <fieldGroup base="5">
        <rangePr groupBy="years" startDate="2017-04-07T00:00:00" endDate="2020-08-07T00:00:00"/>
        <groupItems count="6">
          <s v="&lt;7/04/2017"/>
          <s v="2017"/>
          <s v="2018"/>
          <s v="2019"/>
          <s v="2020"/>
          <s v="&gt;7/08/2020"/>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19">
  <r>
    <n v="32811"/>
    <d v="2016-12-31T00:00:00"/>
    <d v="2018-10-07T00:00:00"/>
    <n v="62705945"/>
    <n v="12541189"/>
    <x v="0"/>
  </r>
  <r>
    <n v="32829"/>
    <d v="2016-12-31T00:00:00"/>
    <d v="2018-10-07T00:00:00"/>
    <n v="62705944"/>
    <n v="12541188.800000001"/>
    <x v="1"/>
  </r>
  <r>
    <n v="32830"/>
    <d v="2016-12-31T00:00:00"/>
    <d v="2018-10-07T00:00:00"/>
    <n v="62705944"/>
    <n v="12541188.800000001"/>
    <x v="2"/>
  </r>
  <r>
    <n v="32843"/>
    <d v="2016-12-31T00:00:00"/>
    <d v="2018-10-07T00:00:00"/>
    <n v="62705944"/>
    <n v="12541188.800000001"/>
    <x v="3"/>
  </r>
  <r>
    <n v="32877"/>
    <d v="2016-12-31T00:00:00"/>
    <d v="2018-10-07T00:00:00"/>
    <n v="62705945"/>
    <n v="12541189"/>
    <x v="4"/>
  </r>
  <r>
    <n v="32878"/>
    <d v="2016-12-31T00:00:00"/>
    <d v="2018-10-07T00:00:00"/>
    <n v="62705945"/>
    <n v="12541189"/>
    <x v="5"/>
  </r>
  <r>
    <n v="32893"/>
    <d v="2016-12-31T00:00:00"/>
    <d v="2018-10-07T00:00:00"/>
    <n v="62705445"/>
    <n v="12541089"/>
    <x v="6"/>
  </r>
  <r>
    <n v="32896"/>
    <d v="2016-12-31T00:00:00"/>
    <d v="2018-10-07T00:00:00"/>
    <n v="62705945"/>
    <n v="12541189"/>
    <x v="7"/>
  </r>
  <r>
    <n v="32915"/>
    <d v="2016-12-31T00:00:00"/>
    <d v="2018-10-07T00:00:00"/>
    <n v="62705945"/>
    <n v="12541189"/>
    <x v="8"/>
  </r>
  <r>
    <n v="32916"/>
    <d v="2016-12-31T00:00:00"/>
    <d v="2018-10-07T00:00:00"/>
    <n v="36885850"/>
    <n v="7377170"/>
    <x v="9"/>
  </r>
  <r>
    <n v="32917"/>
    <d v="2016-12-31T00:00:00"/>
    <d v="2018-10-07T00:00:00"/>
    <n v="62705945"/>
    <n v="12541189"/>
    <x v="10"/>
  </r>
  <r>
    <n v="32936"/>
    <d v="2016-12-31T00:00:00"/>
    <d v="2018-10-07T00:00:00"/>
    <n v="62705944"/>
    <n v="12541188.800000001"/>
    <x v="11"/>
  </r>
  <r>
    <n v="32971"/>
    <d v="2016-12-31T00:00:00"/>
    <d v="2018-10-07T00:00:00"/>
    <n v="36885850"/>
    <n v="7377170"/>
    <x v="12"/>
  </r>
  <r>
    <n v="32975"/>
    <d v="2016-12-31T00:00:00"/>
    <d v="2018-10-07T00:00:00"/>
    <n v="36885850"/>
    <n v="7377170"/>
    <x v="5"/>
  </r>
  <r>
    <n v="32976"/>
    <d v="2016-12-31T00:00:00"/>
    <d v="2018-10-07T00:00:00"/>
    <n v="317218310"/>
    <n v="63443662"/>
    <x v="7"/>
  </r>
  <r>
    <n v="32998"/>
    <d v="2016-12-31T00:00:00"/>
    <d v="2018-10-07T00:00:00"/>
    <n v="195000"/>
    <n v="39000"/>
    <x v="13"/>
  </r>
  <r>
    <n v="32999"/>
    <d v="2016-12-31T00:00:00"/>
    <d v="2018-10-07T00:00:00"/>
    <n v="62705945"/>
    <n v="12541189"/>
    <x v="6"/>
  </r>
  <r>
    <n v="33001"/>
    <d v="2016-12-31T00:00:00"/>
    <d v="2018-10-07T00:00:00"/>
    <n v="36885850"/>
    <n v="7377170"/>
    <x v="14"/>
  </r>
  <r>
    <n v="33012"/>
    <d v="2016-12-31T00:00:00"/>
    <d v="2018-10-07T00:00:00"/>
    <n v="62705644"/>
    <n v="12541128.800000001"/>
    <x v="15"/>
  </r>
  <r>
    <n v="33014"/>
    <d v="2016-12-31T00:00:00"/>
    <d v="2018-10-07T00:00:00"/>
    <n v="62705944"/>
    <n v="12541188.800000001"/>
    <x v="16"/>
  </r>
  <r>
    <n v="33027"/>
    <d v="2016-12-31T00:00:00"/>
    <d v="2018-10-07T00:00:00"/>
    <n v="36885850"/>
    <n v="7377170"/>
    <x v="17"/>
  </r>
  <r>
    <n v="33033"/>
    <d v="2016-12-31T00:00:00"/>
    <d v="2018-10-07T00:00:00"/>
    <n v="62705945"/>
    <n v="12541189"/>
    <x v="17"/>
  </r>
  <r>
    <n v="33034"/>
    <d v="2016-12-31T00:00:00"/>
    <d v="2018-10-07T00:00:00"/>
    <n v="36885850"/>
    <n v="7377170"/>
    <x v="18"/>
  </r>
  <r>
    <n v="33035"/>
    <d v="2016-12-31T00:00:00"/>
    <d v="2018-10-07T00:00:00"/>
    <n v="36885850"/>
    <n v="7377170"/>
    <x v="19"/>
  </r>
  <r>
    <n v="33037"/>
    <d v="2016-12-31T00:00:00"/>
    <d v="2018-10-07T00:00:00"/>
    <n v="36885850"/>
    <n v="7377170"/>
    <x v="17"/>
  </r>
  <r>
    <n v="33038"/>
    <d v="2016-12-31T00:00:00"/>
    <d v="2018-10-07T00:00:00"/>
    <n v="36885850"/>
    <n v="7377170"/>
    <x v="13"/>
  </r>
  <r>
    <n v="33067"/>
    <d v="2016-12-31T00:00:00"/>
    <d v="2018-10-07T00:00:00"/>
    <n v="62705943"/>
    <n v="12541188.6"/>
    <x v="20"/>
  </r>
  <r>
    <n v="33073"/>
    <d v="2016-12-31T00:00:00"/>
    <d v="2018-10-07T00:00:00"/>
    <n v="36885850"/>
    <n v="7377170"/>
    <x v="21"/>
  </r>
  <r>
    <n v="33080"/>
    <d v="2016-12-31T00:00:00"/>
    <d v="2018-10-07T00:00:00"/>
    <n v="62705945"/>
    <n v="12541189"/>
    <x v="22"/>
  </r>
  <r>
    <n v="33081"/>
    <d v="2016-12-31T00:00:00"/>
    <d v="2018-10-07T00:00:00"/>
    <n v="62705945"/>
    <n v="12541189"/>
    <x v="23"/>
  </r>
  <r>
    <n v="33104"/>
    <d v="2016-12-31T00:00:00"/>
    <d v="2018-10-07T00:00:00"/>
    <n v="62705945"/>
    <n v="12541189"/>
    <x v="24"/>
  </r>
  <r>
    <n v="33105"/>
    <d v="2016-12-31T00:00:00"/>
    <d v="2018-10-07T00:00:00"/>
    <n v="62705945"/>
    <n v="12541189"/>
    <x v="24"/>
  </r>
  <r>
    <n v="33106"/>
    <d v="2016-12-31T00:00:00"/>
    <d v="2018-10-07T00:00:00"/>
    <n v="62705945"/>
    <n v="12541189"/>
    <x v="24"/>
  </r>
  <r>
    <n v="33117"/>
    <d v="2016-12-31T00:00:00"/>
    <d v="2018-10-07T00:00:00"/>
    <n v="62705945"/>
    <n v="12541189"/>
    <x v="23"/>
  </r>
  <r>
    <n v="33126"/>
    <d v="2016-12-31T00:00:00"/>
    <d v="2018-10-07T00:00:00"/>
    <n v="36885850"/>
    <n v="7377170"/>
    <x v="23"/>
  </r>
  <r>
    <n v="33135"/>
    <d v="2016-12-31T00:00:00"/>
    <d v="2018-10-07T00:00:00"/>
    <n v="37080850"/>
    <n v="7416170"/>
    <x v="23"/>
  </r>
  <r>
    <n v="33153"/>
    <d v="2016-12-31T00:00:00"/>
    <d v="2018-10-07T00:00:00"/>
    <n v="62705945"/>
    <n v="12541189"/>
    <x v="25"/>
  </r>
  <r>
    <n v="33156"/>
    <d v="2016-12-31T00:00:00"/>
    <d v="2018-10-07T00:00:00"/>
    <n v="37080850"/>
    <n v="7416170"/>
    <x v="26"/>
  </r>
  <r>
    <n v="33158"/>
    <d v="2016-12-31T00:00:00"/>
    <d v="2018-10-07T00:00:00"/>
    <n v="62705945"/>
    <n v="12541189"/>
    <x v="27"/>
  </r>
  <r>
    <n v="33161"/>
    <d v="2016-12-31T00:00:00"/>
    <d v="2018-10-07T00:00:00"/>
    <n v="62705944"/>
    <n v="12541188.800000001"/>
    <x v="28"/>
  </r>
  <r>
    <n v="33164"/>
    <d v="2017-01-01T00:00:00"/>
    <d v="2018-10-07T00:00:00"/>
    <n v="317218310"/>
    <n v="63443662"/>
    <x v="23"/>
  </r>
  <r>
    <n v="33165"/>
    <d v="2017-01-01T00:00:00"/>
    <d v="2018-10-07T00:00:00"/>
    <n v="36885850"/>
    <n v="7377170"/>
    <x v="29"/>
  </r>
  <r>
    <n v="33166"/>
    <d v="2017-01-01T00:00:00"/>
    <d v="2018-10-07T00:00:00"/>
    <n v="317218310"/>
    <n v="63443662"/>
    <x v="23"/>
  </r>
  <r>
    <n v="33185"/>
    <d v="2017-01-01T00:00:00"/>
    <d v="2018-10-07T00:00:00"/>
    <n v="36885850"/>
    <n v="7377170"/>
    <x v="26"/>
  </r>
  <r>
    <n v="33187"/>
    <d v="2017-01-01T00:00:00"/>
    <d v="2018-10-07T00:00:00"/>
    <n v="317218310"/>
    <n v="63443662"/>
    <x v="29"/>
  </r>
  <r>
    <n v="33197"/>
    <d v="2017-01-01T00:00:00"/>
    <d v="2018-10-07T00:00:00"/>
    <n v="37080850"/>
    <n v="7416170"/>
    <x v="30"/>
  </r>
  <r>
    <n v="33200"/>
    <d v="2017-01-01T00:00:00"/>
    <d v="2018-10-07T00:00:00"/>
    <n v="62705945"/>
    <n v="12541189"/>
    <x v="31"/>
  </r>
  <r>
    <n v="33201"/>
    <d v="2017-01-01T00:00:00"/>
    <d v="2018-10-07T00:00:00"/>
    <n v="62705945"/>
    <n v="12541189"/>
    <x v="32"/>
  </r>
  <r>
    <n v="33203"/>
    <d v="2017-01-01T00:00:00"/>
    <d v="2018-10-07T00:00:00"/>
    <n v="62705945"/>
    <n v="12541189"/>
    <x v="25"/>
  </r>
  <r>
    <n v="33205"/>
    <d v="2017-01-01T00:00:00"/>
    <d v="2018-10-07T00:00:00"/>
    <n v="62705945"/>
    <n v="12541189"/>
    <x v="33"/>
  </r>
  <r>
    <n v="33238"/>
    <d v="2017-01-01T00:00:00"/>
    <d v="2018-10-07T00:00:00"/>
    <n v="66405570"/>
    <n v="13281114"/>
    <x v="34"/>
  </r>
  <r>
    <n v="33242"/>
    <d v="2017-01-01T00:00:00"/>
    <d v="2018-10-07T00:00:00"/>
    <n v="36885850"/>
    <n v="7377170"/>
    <x v="25"/>
  </r>
  <r>
    <n v="33243"/>
    <d v="2017-01-01T00:00:00"/>
    <d v="2018-10-07T00:00:00"/>
    <n v="37080850"/>
    <n v="7416170"/>
    <x v="35"/>
  </r>
  <r>
    <n v="33252"/>
    <d v="2017-01-01T00:00:00"/>
    <d v="2018-10-07T00:00:00"/>
    <n v="317218310"/>
    <n v="63443662"/>
    <x v="36"/>
  </r>
  <r>
    <n v="33253"/>
    <d v="2017-01-01T00:00:00"/>
    <d v="2018-10-07T00:00:00"/>
    <n v="36885850"/>
    <n v="7377170"/>
    <x v="37"/>
  </r>
  <r>
    <n v="33254"/>
    <d v="2017-01-01T00:00:00"/>
    <d v="2018-10-07T00:00:00"/>
    <n v="36885850"/>
    <n v="7377170"/>
    <x v="37"/>
  </r>
  <r>
    <n v="33255"/>
    <d v="2017-01-01T00:00:00"/>
    <d v="2018-10-07T00:00:00"/>
    <n v="62705944"/>
    <n v="12541188.800000001"/>
    <x v="26"/>
  </r>
  <r>
    <n v="33258"/>
    <d v="2017-01-01T00:00:00"/>
    <d v="2018-10-07T00:00:00"/>
    <n v="36885850"/>
    <n v="7377170"/>
    <x v="38"/>
  </r>
  <r>
    <n v="33261"/>
    <d v="2017-01-01T00:00:00"/>
    <d v="2018-10-07T00:00:00"/>
    <n v="62705945"/>
    <n v="12541189"/>
    <x v="39"/>
  </r>
  <r>
    <n v="33266"/>
    <d v="2017-01-01T00:00:00"/>
    <d v="2018-10-07T00:00:00"/>
    <n v="62705945"/>
    <n v="12541189"/>
    <x v="40"/>
  </r>
  <r>
    <n v="33282"/>
    <d v="2017-01-01T00:00:00"/>
    <d v="2018-10-07T00:00:00"/>
    <n v="37080850"/>
    <n v="7416170"/>
    <x v="35"/>
  </r>
  <r>
    <n v="33287"/>
    <d v="2017-01-01T00:00:00"/>
    <d v="2018-10-07T00:00:00"/>
    <n v="62705945"/>
    <n v="12541189"/>
    <x v="40"/>
  </r>
  <r>
    <n v="33288"/>
    <d v="2017-01-01T00:00:00"/>
    <d v="2018-10-07T00:00:00"/>
    <n v="36885850"/>
    <n v="7377170"/>
    <x v="41"/>
  </r>
  <r>
    <n v="33289"/>
    <d v="2017-01-01T00:00:00"/>
    <d v="2018-10-07T00:00:00"/>
    <n v="62705945"/>
    <n v="12541189"/>
    <x v="42"/>
  </r>
  <r>
    <n v="33292"/>
    <d v="2017-01-01T00:00:00"/>
    <d v="2018-10-07T00:00:00"/>
    <n v="66405570"/>
    <n v="13281114"/>
    <x v="43"/>
  </r>
  <r>
    <n v="33293"/>
    <d v="2017-01-01T00:00:00"/>
    <d v="2018-10-07T00:00:00"/>
    <n v="37080850"/>
    <n v="7416170"/>
    <x v="35"/>
  </r>
  <r>
    <n v="33294"/>
    <d v="2017-01-01T00:00:00"/>
    <d v="2018-10-07T00:00:00"/>
    <n v="66405570"/>
    <n v="13281114"/>
    <x v="44"/>
  </r>
  <r>
    <n v="33295"/>
    <d v="2017-01-01T00:00:00"/>
    <d v="2018-10-07T00:00:00"/>
    <n v="66405570"/>
    <n v="13281114"/>
    <x v="45"/>
  </r>
  <r>
    <n v="33296"/>
    <d v="2017-01-01T00:00:00"/>
    <d v="2018-10-07T00:00:00"/>
    <n v="37080850"/>
    <n v="7416170"/>
    <x v="46"/>
  </r>
  <r>
    <n v="33307"/>
    <d v="2017-01-01T00:00:00"/>
    <d v="2018-10-07T00:00:00"/>
    <n v="66405570"/>
    <n v="13281114"/>
    <x v="47"/>
  </r>
  <r>
    <n v="33351"/>
    <d v="2017-01-01T00:00:00"/>
    <d v="2018-10-07T00:00:00"/>
    <n v="66405570"/>
    <n v="13281114"/>
    <x v="48"/>
  </r>
  <r>
    <n v="33353"/>
    <d v="2017-01-01T00:00:00"/>
    <d v="2018-10-07T00:00:00"/>
    <n v="66405570"/>
    <n v="13281114"/>
    <x v="47"/>
  </r>
  <r>
    <n v="33354"/>
    <d v="2017-01-01T00:00:00"/>
    <d v="2018-10-07T00:00:00"/>
    <n v="36885850"/>
    <n v="7377170"/>
    <x v="41"/>
  </r>
  <r>
    <n v="33367"/>
    <d v="2017-01-01T00:00:00"/>
    <d v="2018-10-07T00:00:00"/>
    <n v="39062100"/>
    <n v="7812420"/>
    <x v="47"/>
  </r>
  <r>
    <n v="33368"/>
    <d v="2017-01-01T00:00:00"/>
    <d v="2018-10-07T00:00:00"/>
    <n v="66405570"/>
    <n v="13281114"/>
    <x v="49"/>
  </r>
  <r>
    <n v="33371"/>
    <d v="2017-01-01T00:00:00"/>
    <d v="2018-10-07T00:00:00"/>
    <n v="66405570"/>
    <n v="13281114"/>
    <x v="47"/>
  </r>
  <r>
    <n v="33375"/>
    <d v="2017-01-01T00:00:00"/>
    <d v="2018-10-07T00:00:00"/>
    <n v="66405570"/>
    <n v="13281114"/>
    <x v="50"/>
  </r>
  <r>
    <n v="33376"/>
    <d v="2017-01-01T00:00:00"/>
    <d v="2018-10-07T00:00:00"/>
    <n v="39062100"/>
    <n v="7812420"/>
    <x v="51"/>
  </r>
  <r>
    <n v="33382"/>
    <d v="2017-01-01T00:00:00"/>
    <d v="2018-10-07T00:00:00"/>
    <n v="66405570"/>
    <n v="13281114"/>
    <x v="52"/>
  </r>
  <r>
    <n v="33383"/>
    <d v="2017-01-01T00:00:00"/>
    <d v="2018-10-07T00:00:00"/>
    <n v="66405570"/>
    <n v="13281114"/>
    <x v="53"/>
  </r>
  <r>
    <n v="33384"/>
    <d v="2017-01-01T00:00:00"/>
    <d v="2018-10-07T00:00:00"/>
    <n v="66405570"/>
    <n v="13281114"/>
    <x v="54"/>
  </r>
  <r>
    <n v="33385"/>
    <d v="2017-01-01T00:00:00"/>
    <d v="2018-10-07T00:00:00"/>
    <n v="66405569"/>
    <n v="13281113.800000001"/>
    <x v="55"/>
  </r>
  <r>
    <n v="33386"/>
    <d v="2017-01-01T00:00:00"/>
    <d v="2018-10-07T00:00:00"/>
    <n v="37080850"/>
    <n v="7416170"/>
    <x v="56"/>
  </r>
  <r>
    <n v="33412"/>
    <d v="2017-01-01T00:00:00"/>
    <d v="2018-10-07T00:00:00"/>
    <n v="66405571"/>
    <n v="13281114.199999999"/>
    <x v="47"/>
  </r>
  <r>
    <n v="33416"/>
    <d v="2017-01-01T00:00:00"/>
    <d v="2018-10-07T00:00:00"/>
    <n v="66405570"/>
    <n v="13281114"/>
    <x v="57"/>
  </r>
  <r>
    <n v="33428"/>
    <d v="2017-01-01T00:00:00"/>
    <d v="2018-10-07T00:00:00"/>
    <n v="66405570"/>
    <n v="13281114"/>
    <x v="58"/>
  </r>
  <r>
    <n v="33435"/>
    <d v="2017-01-01T00:00:00"/>
    <d v="2018-10-07T00:00:00"/>
    <n v="39257100"/>
    <n v="7851420"/>
    <x v="59"/>
  </r>
  <r>
    <n v="33445"/>
    <d v="2017-01-01T00:00:00"/>
    <d v="2018-10-07T00:00:00"/>
    <n v="66405570"/>
    <n v="13281114"/>
    <x v="59"/>
  </r>
  <r>
    <n v="33449"/>
    <d v="2017-01-01T00:00:00"/>
    <d v="2018-10-07T00:00:00"/>
    <n v="39257100"/>
    <n v="7851420"/>
    <x v="51"/>
  </r>
  <r>
    <n v="33450"/>
    <d v="2017-01-01T00:00:00"/>
    <d v="2018-10-07T00:00:00"/>
    <n v="195000"/>
    <n v="39000"/>
    <x v="60"/>
  </r>
  <r>
    <n v="33451"/>
    <d v="2017-01-01T00:00:00"/>
    <d v="2018-10-07T00:00:00"/>
    <n v="66405570"/>
    <n v="13281114"/>
    <x v="61"/>
  </r>
  <r>
    <n v="33453"/>
    <d v="2017-01-01T00:00:00"/>
    <d v="2018-10-07T00:00:00"/>
    <n v="62705944"/>
    <n v="12541188.800000001"/>
    <x v="62"/>
  </r>
  <r>
    <n v="33457"/>
    <d v="2017-01-01T00:00:00"/>
    <d v="2018-10-07T00:00:00"/>
    <n v="39062100"/>
    <n v="7812420"/>
    <x v="51"/>
  </r>
  <r>
    <n v="33458"/>
    <d v="2017-01-01T00:00:00"/>
    <d v="2018-10-07T00:00:00"/>
    <n v="36885850"/>
    <n v="7377170"/>
    <x v="51"/>
  </r>
  <r>
    <n v="33459"/>
    <d v="2017-01-01T00:00:00"/>
    <d v="2018-10-07T00:00:00"/>
    <n v="66405570"/>
    <n v="13281114"/>
    <x v="63"/>
  </r>
  <r>
    <n v="33460"/>
    <d v="2017-01-01T00:00:00"/>
    <d v="2018-10-07T00:00:00"/>
    <n v="36885850"/>
    <n v="7377170"/>
    <x v="64"/>
  </r>
  <r>
    <n v="33461"/>
    <d v="2017-01-01T00:00:00"/>
    <d v="2018-10-07T00:00:00"/>
    <n v="62705944.5"/>
    <n v="12541188.9"/>
    <x v="65"/>
  </r>
  <r>
    <n v="33464"/>
    <d v="2017-01-01T00:00:00"/>
    <d v="2018-10-07T00:00:00"/>
    <n v="66405570"/>
    <n v="13281114"/>
    <x v="66"/>
  </r>
  <r>
    <n v="33465"/>
    <d v="2017-01-01T00:00:00"/>
    <d v="2018-10-07T00:00:00"/>
    <n v="37080850"/>
    <n v="7416170"/>
    <x v="67"/>
  </r>
  <r>
    <n v="33469"/>
    <d v="2017-01-01T00:00:00"/>
    <d v="2018-10-07T00:00:00"/>
    <n v="39062100"/>
    <n v="7812420"/>
    <x v="68"/>
  </r>
  <r>
    <n v="33470"/>
    <d v="2017-01-01T00:00:00"/>
    <d v="2018-10-07T00:00:00"/>
    <n v="36885850"/>
    <n v="7377170"/>
    <x v="61"/>
  </r>
  <r>
    <n v="33484"/>
    <d v="2017-01-01T00:00:00"/>
    <d v="2018-10-07T00:00:00"/>
    <n v="66405570"/>
    <n v="13281114"/>
    <x v="69"/>
  </r>
  <r>
    <n v="33485"/>
    <d v="2017-01-01T00:00:00"/>
    <d v="2018-10-07T00:00:00"/>
    <n v="36885850"/>
    <n v="7377170"/>
    <x v="53"/>
  </r>
  <r>
    <n v="33486"/>
    <d v="2017-01-01T00:00:00"/>
    <d v="2018-10-07T00:00:00"/>
    <n v="36885850"/>
    <n v="7377170"/>
    <x v="51"/>
  </r>
  <r>
    <n v="33487"/>
    <d v="2017-01-01T00:00:00"/>
    <d v="2018-10-07T00:00:00"/>
    <n v="39062100"/>
    <n v="7812420"/>
    <x v="70"/>
  </r>
  <r>
    <n v="33488"/>
    <d v="2017-01-01T00:00:00"/>
    <d v="2018-10-07T00:00:00"/>
    <n v="39062100"/>
    <n v="7812420"/>
    <x v="51"/>
  </r>
  <r>
    <n v="33492"/>
    <d v="2017-01-01T00:00:00"/>
    <d v="2018-10-07T00:00:00"/>
    <n v="39257100"/>
    <n v="7851420"/>
    <x v="71"/>
  </r>
  <r>
    <n v="33493"/>
    <d v="2017-01-01T00:00:00"/>
    <d v="2018-10-07T00:00:00"/>
    <n v="39257100"/>
    <n v="7851420"/>
    <x v="72"/>
  </r>
  <r>
    <n v="33496"/>
    <d v="2017-01-01T00:00:00"/>
    <d v="2018-10-07T00:00:00"/>
    <n v="39257100"/>
    <n v="7851420"/>
    <x v="66"/>
  </r>
  <r>
    <n v="33497"/>
    <d v="2017-01-01T00:00:00"/>
    <d v="2018-10-07T00:00:00"/>
    <n v="66405570"/>
    <n v="13281114"/>
    <x v="73"/>
  </r>
  <r>
    <n v="33499"/>
    <d v="2017-01-01T00:00:00"/>
    <d v="2018-10-07T00:00:00"/>
    <n v="39062100"/>
    <n v="7812420"/>
    <x v="61"/>
  </r>
  <r>
    <n v="33500"/>
    <d v="2017-01-01T00:00:00"/>
    <d v="2018-10-07T00:00:00"/>
    <n v="37080850"/>
    <n v="7416170"/>
    <x v="74"/>
  </r>
  <r>
    <n v="33502"/>
    <d v="2017-01-01T00:00:00"/>
    <d v="2018-10-07T00:00:00"/>
    <n v="66405569"/>
    <n v="13281113.800000001"/>
    <x v="70"/>
  </r>
  <r>
    <n v="33505"/>
    <d v="2017-01-01T00:00:00"/>
    <d v="2018-10-07T00:00:00"/>
    <n v="39062100"/>
    <n v="7812420"/>
    <x v="61"/>
  </r>
  <r>
    <n v="33511"/>
    <d v="2017-01-01T00:00:00"/>
    <d v="2018-10-07T00:00:00"/>
    <n v="66405570"/>
    <n v="13281114"/>
    <x v="75"/>
  </r>
  <r>
    <n v="33512"/>
    <d v="2017-01-01T00:00:00"/>
    <d v="2018-10-07T00:00:00"/>
    <n v="36885850"/>
    <n v="7377170"/>
    <x v="53"/>
  </r>
  <r>
    <n v="33526"/>
    <d v="2017-01-01T00:00:00"/>
    <d v="2018-10-07T00:00:00"/>
    <n v="36885850"/>
    <n v="7377170"/>
    <x v="68"/>
  </r>
  <r>
    <n v="33529"/>
    <d v="2017-01-01T00:00:00"/>
    <d v="2018-10-07T00:00:00"/>
    <n v="36885850"/>
    <n v="7377170"/>
    <x v="51"/>
  </r>
  <r>
    <n v="33536"/>
    <d v="2017-01-01T00:00:00"/>
    <d v="2018-10-07T00:00:00"/>
    <n v="39062100"/>
    <n v="7812420"/>
    <x v="76"/>
  </r>
  <r>
    <n v="33537"/>
    <d v="2017-01-01T00:00:00"/>
    <d v="2018-10-07T00:00:00"/>
    <n v="39062100"/>
    <n v="7812420"/>
    <x v="70"/>
  </r>
  <r>
    <n v="33544"/>
    <d v="2017-01-01T00:00:00"/>
    <d v="2018-10-07T00:00:00"/>
    <n v="66405570"/>
    <n v="13281114"/>
    <x v="70"/>
  </r>
  <r>
    <n v="33548"/>
    <d v="2017-01-01T00:00:00"/>
    <d v="2018-10-07T00:00:00"/>
    <n v="36885850"/>
    <n v="7377170"/>
    <x v="70"/>
  </r>
  <r>
    <n v="33550"/>
    <d v="2017-01-01T00:00:00"/>
    <d v="2018-10-07T00:00:00"/>
    <n v="37080850"/>
    <n v="7416170"/>
    <x v="70"/>
  </r>
  <r>
    <n v="33551"/>
    <d v="2017-01-01T00:00:00"/>
    <d v="2018-10-07T00:00:00"/>
    <n v="195000"/>
    <n v="39000"/>
    <x v="77"/>
  </r>
  <r>
    <n v="33552"/>
    <d v="2017-01-01T00:00:00"/>
    <d v="2018-10-07T00:00:00"/>
    <n v="195000"/>
    <n v="39000"/>
    <x v="78"/>
  </r>
  <r>
    <n v="33553"/>
    <d v="2017-01-01T00:00:00"/>
    <d v="2018-10-07T00:00:00"/>
    <n v="39062100"/>
    <n v="7812420"/>
    <x v="64"/>
  </r>
  <r>
    <n v="33558"/>
    <d v="2017-01-01T00:00:00"/>
    <d v="2018-10-07T00:00:00"/>
    <n v="39062100"/>
    <n v="7812420"/>
    <x v="79"/>
  </r>
  <r>
    <n v="33559"/>
    <d v="2017-01-01T00:00:00"/>
    <d v="2018-10-07T00:00:00"/>
    <n v="195000"/>
    <n v="39000"/>
    <x v="77"/>
  </r>
  <r>
    <n v="33560"/>
    <d v="2017-01-01T00:00:00"/>
    <d v="2018-10-07T00:00:00"/>
    <n v="39062100"/>
    <n v="7812420"/>
    <x v="70"/>
  </r>
  <r>
    <n v="33561"/>
    <d v="2017-01-01T00:00:00"/>
    <d v="2018-10-07T00:00:00"/>
    <n v="39257100"/>
    <n v="7851420"/>
    <x v="70"/>
  </r>
  <r>
    <n v="33563"/>
    <d v="2017-01-01T00:00:00"/>
    <d v="2018-10-07T00:00:00"/>
    <n v="39062100"/>
    <n v="7812420"/>
    <x v="70"/>
  </r>
  <r>
    <n v="33564"/>
    <d v="2017-01-01T00:00:00"/>
    <d v="2018-10-07T00:00:00"/>
    <n v="36885850"/>
    <n v="7377170"/>
    <x v="70"/>
  </r>
  <r>
    <n v="33565"/>
    <d v="2017-01-01T00:00:00"/>
    <d v="2018-10-07T00:00:00"/>
    <n v="39062100"/>
    <n v="7812420"/>
    <x v="80"/>
  </r>
  <r>
    <n v="33581"/>
    <d v="2017-01-01T00:00:00"/>
    <d v="2018-10-07T00:00:00"/>
    <n v="66405570"/>
    <n v="13281114"/>
    <x v="81"/>
  </r>
  <r>
    <n v="33583"/>
    <d v="2017-01-01T00:00:00"/>
    <d v="2018-10-07T00:00:00"/>
    <n v="62705944"/>
    <n v="12541188.800000001"/>
    <x v="82"/>
  </r>
  <r>
    <n v="33589"/>
    <d v="2017-01-01T00:00:00"/>
    <d v="2018-10-07T00:00:00"/>
    <n v="39062100"/>
    <n v="7812420"/>
    <x v="76"/>
  </r>
  <r>
    <n v="33592"/>
    <d v="2017-01-01T00:00:00"/>
    <d v="2018-10-07T00:00:00"/>
    <n v="36885850"/>
    <n v="7377170"/>
    <x v="83"/>
  </r>
  <r>
    <n v="33594"/>
    <d v="2017-01-01T00:00:00"/>
    <d v="2018-10-07T00:00:00"/>
    <n v="39257100"/>
    <n v="7851420"/>
    <x v="57"/>
  </r>
  <r>
    <n v="33597"/>
    <d v="2017-01-01T00:00:00"/>
    <d v="2018-10-07T00:00:00"/>
    <n v="39062100"/>
    <n v="7812420"/>
    <x v="57"/>
  </r>
  <r>
    <n v="33598"/>
    <d v="2017-01-01T00:00:00"/>
    <d v="2018-10-07T00:00:00"/>
    <n v="39062100"/>
    <n v="7812420"/>
    <x v="57"/>
  </r>
  <r>
    <n v="33599"/>
    <d v="2017-01-01T00:00:00"/>
    <d v="2018-10-07T00:00:00"/>
    <n v="39062100"/>
    <n v="7812420"/>
    <x v="70"/>
  </r>
  <r>
    <n v="33600"/>
    <d v="2017-01-01T00:00:00"/>
    <d v="2018-10-07T00:00:00"/>
    <n v="39062100"/>
    <n v="7812420"/>
    <x v="57"/>
  </r>
  <r>
    <n v="33601"/>
    <d v="2017-01-01T00:00:00"/>
    <d v="2018-10-07T00:00:00"/>
    <n v="39062100"/>
    <n v="7812420"/>
    <x v="57"/>
  </r>
  <r>
    <n v="33602"/>
    <d v="2017-01-01T00:00:00"/>
    <d v="2018-10-07T00:00:00"/>
    <n v="195000"/>
    <n v="39000"/>
    <x v="78"/>
  </r>
  <r>
    <n v="33603"/>
    <d v="2017-01-01T00:00:00"/>
    <d v="2018-10-07T00:00:00"/>
    <n v="66405570"/>
    <n v="13281114"/>
    <x v="80"/>
  </r>
  <r>
    <n v="33606"/>
    <d v="2017-01-01T00:00:00"/>
    <d v="2018-10-07T00:00:00"/>
    <n v="66405570"/>
    <n v="13281114"/>
    <x v="80"/>
  </r>
  <r>
    <n v="33620"/>
    <d v="2017-01-01T00:00:00"/>
    <d v="2018-10-07T00:00:00"/>
    <n v="39062100"/>
    <n v="7812420"/>
    <x v="76"/>
  </r>
  <r>
    <n v="33622"/>
    <d v="2017-01-01T00:00:00"/>
    <d v="2018-10-07T00:00:00"/>
    <n v="39062100"/>
    <n v="7812420"/>
    <x v="80"/>
  </r>
  <r>
    <n v="33623"/>
    <d v="2017-01-01T00:00:00"/>
    <d v="2018-10-07T00:00:00"/>
    <n v="195000"/>
    <n v="39000"/>
    <x v="84"/>
  </r>
  <r>
    <n v="33633"/>
    <d v="2017-01-01T00:00:00"/>
    <d v="2018-10-07T00:00:00"/>
    <n v="195000"/>
    <n v="39000"/>
    <x v="78"/>
  </r>
  <r>
    <n v="33640"/>
    <d v="2017-01-01T00:00:00"/>
    <d v="2018-10-07T00:00:00"/>
    <n v="36885850"/>
    <n v="7377170"/>
    <x v="85"/>
  </r>
  <r>
    <n v="33641"/>
    <d v="2017-01-01T00:00:00"/>
    <d v="2018-10-07T00:00:00"/>
    <n v="195000"/>
    <n v="39000"/>
    <x v="86"/>
  </r>
  <r>
    <n v="33642"/>
    <d v="2017-01-01T00:00:00"/>
    <d v="2018-10-07T00:00:00"/>
    <n v="39062100"/>
    <n v="7812420"/>
    <x v="85"/>
  </r>
  <r>
    <n v="33646"/>
    <d v="2017-01-01T00:00:00"/>
    <d v="2018-10-07T00:00:00"/>
    <n v="66392288"/>
    <n v="13278457.6"/>
    <x v="87"/>
  </r>
  <r>
    <n v="33647"/>
    <d v="2017-01-01T00:00:00"/>
    <d v="2018-10-07T00:00:00"/>
    <n v="39062100"/>
    <n v="7812420"/>
    <x v="88"/>
  </r>
  <r>
    <n v="33648"/>
    <d v="2017-01-01T00:00:00"/>
    <d v="2018-10-07T00:00:00"/>
    <n v="39062100"/>
    <n v="7812420"/>
    <x v="84"/>
  </r>
  <r>
    <n v="33649"/>
    <d v="2017-01-01T00:00:00"/>
    <d v="2018-10-07T00:00:00"/>
    <n v="39062100"/>
    <n v="7812420"/>
    <x v="89"/>
  </r>
  <r>
    <n v="33662"/>
    <d v="2017-01-01T00:00:00"/>
    <d v="2018-10-07T00:00:00"/>
    <n v="39062100"/>
    <n v="7812420"/>
    <x v="85"/>
  </r>
  <r>
    <n v="33664"/>
    <d v="2017-01-01T00:00:00"/>
    <d v="2018-10-07T00:00:00"/>
    <n v="36885850"/>
    <n v="7377170"/>
    <x v="84"/>
  </r>
  <r>
    <n v="33665"/>
    <d v="2017-01-01T00:00:00"/>
    <d v="2018-10-07T00:00:00"/>
    <n v="335900466"/>
    <n v="67180093.200000003"/>
    <x v="90"/>
  </r>
  <r>
    <n v="33666"/>
    <d v="2017-01-01T00:00:00"/>
    <d v="2018-10-07T00:00:00"/>
    <n v="39062100"/>
    <n v="7812420"/>
    <x v="90"/>
  </r>
  <r>
    <n v="33667"/>
    <d v="2017-01-01T00:00:00"/>
    <d v="2018-10-07T00:00:00"/>
    <n v="66405569"/>
    <n v="13281113.800000001"/>
    <x v="91"/>
  </r>
  <r>
    <n v="33668"/>
    <d v="2017-01-01T00:00:00"/>
    <d v="2018-10-07T00:00:00"/>
    <n v="66405570"/>
    <n v="13281114"/>
    <x v="90"/>
  </r>
  <r>
    <n v="33669"/>
    <d v="2017-01-01T00:00:00"/>
    <d v="2018-10-07T00:00:00"/>
    <n v="39062100"/>
    <n v="7812420"/>
    <x v="85"/>
  </r>
  <r>
    <n v="33677"/>
    <d v="2017-01-01T00:00:00"/>
    <d v="2018-10-07T00:00:00"/>
    <n v="66405570"/>
    <n v="13281114"/>
    <x v="84"/>
  </r>
  <r>
    <n v="33680"/>
    <d v="2017-01-01T00:00:00"/>
    <d v="2018-10-07T00:00:00"/>
    <n v="36885850"/>
    <n v="7377170"/>
    <x v="90"/>
  </r>
  <r>
    <n v="33684"/>
    <d v="2017-01-01T00:00:00"/>
    <d v="2018-10-07T00:00:00"/>
    <n v="39062100"/>
    <n v="7812420"/>
    <x v="84"/>
  </r>
  <r>
    <n v="33691"/>
    <d v="2017-01-01T00:00:00"/>
    <d v="2018-10-07T00:00:00"/>
    <n v="39062100"/>
    <n v="7812420"/>
    <x v="92"/>
  </r>
  <r>
    <n v="33692"/>
    <d v="2017-01-01T00:00:00"/>
    <d v="2018-10-07T00:00:00"/>
    <n v="62705945"/>
    <n v="12541189"/>
    <x v="93"/>
  </r>
  <r>
    <n v="33693"/>
    <d v="2017-01-01T00:00:00"/>
    <d v="2018-10-07T00:00:00"/>
    <n v="39062100"/>
    <n v="7812420"/>
    <x v="94"/>
  </r>
  <r>
    <n v="33695"/>
    <d v="2017-01-01T00:00:00"/>
    <d v="2018-10-07T00:00:00"/>
    <n v="39062100"/>
    <n v="7812420"/>
    <x v="84"/>
  </r>
  <r>
    <n v="33697"/>
    <d v="2017-01-01T00:00:00"/>
    <d v="2018-10-07T00:00:00"/>
    <n v="39062100"/>
    <n v="7812420"/>
    <x v="95"/>
  </r>
  <r>
    <n v="33698"/>
    <d v="2017-01-01T00:00:00"/>
    <d v="2018-10-07T00:00:00"/>
    <n v="335934060"/>
    <n v="67186812"/>
    <x v="96"/>
  </r>
  <r>
    <n v="33700"/>
    <d v="2017-01-01T00:00:00"/>
    <d v="2018-10-07T00:00:00"/>
    <n v="39062100"/>
    <n v="7812420"/>
    <x v="97"/>
  </r>
  <r>
    <n v="33701"/>
    <d v="2017-01-01T00:00:00"/>
    <d v="2018-10-07T00:00:00"/>
    <n v="195000"/>
    <n v="39000"/>
    <x v="84"/>
  </r>
  <r>
    <n v="33711"/>
    <d v="2017-01-01T00:00:00"/>
    <d v="2018-10-07T00:00:00"/>
    <n v="39062100"/>
    <n v="7812420"/>
    <x v="94"/>
  </r>
  <r>
    <n v="33713"/>
    <d v="2017-01-01T00:00:00"/>
    <d v="2018-10-07T00:00:00"/>
    <n v="39062100"/>
    <n v="7812420"/>
    <x v="95"/>
  </r>
  <r>
    <n v="33714"/>
    <d v="2017-01-01T00:00:00"/>
    <d v="2018-10-07T00:00:00"/>
    <n v="66405569"/>
    <n v="13281113.800000001"/>
    <x v="98"/>
  </r>
  <r>
    <n v="33729"/>
    <d v="2017-01-01T00:00:00"/>
    <d v="2018-10-07T00:00:00"/>
    <n v="66405570"/>
    <n v="13281114"/>
    <x v="99"/>
  </r>
  <r>
    <n v="33730"/>
    <d v="2017-01-01T00:00:00"/>
    <d v="2018-10-07T00:00:00"/>
    <n v="39062100"/>
    <n v="7812420"/>
    <x v="91"/>
  </r>
  <r>
    <n v="33731"/>
    <d v="2017-01-01T00:00:00"/>
    <d v="2018-10-07T00:00:00"/>
    <n v="39062100"/>
    <n v="7812420"/>
    <x v="100"/>
  </r>
  <r>
    <n v="33732"/>
    <d v="2017-01-01T00:00:00"/>
    <d v="2018-10-07T00:00:00"/>
    <n v="66405570"/>
    <n v="13281114"/>
    <x v="101"/>
  </r>
  <r>
    <n v="33733"/>
    <d v="2017-01-01T00:00:00"/>
    <d v="2018-10-07T00:00:00"/>
    <n v="39062100"/>
    <n v="7812420"/>
    <x v="96"/>
  </r>
  <r>
    <n v="33804"/>
    <d v="2017-01-01T00:00:00"/>
    <d v="2018-10-07T00:00:00"/>
    <n v="39062100"/>
    <n v="7812420"/>
    <x v="100"/>
  </r>
  <r>
    <n v="33805"/>
    <d v="2017-01-01T00:00:00"/>
    <d v="2018-10-07T00:00:00"/>
    <n v="66405569"/>
    <n v="13281113.800000001"/>
    <x v="102"/>
  </r>
  <r>
    <n v="33815"/>
    <d v="2017-01-01T00:00:00"/>
    <d v="2018-10-07T00:00:00"/>
    <n v="39062100"/>
    <n v="7812420"/>
    <x v="103"/>
  </r>
  <r>
    <n v="33818"/>
    <d v="2017-01-01T00:00:00"/>
    <d v="2018-10-07T00:00:00"/>
    <n v="39062100"/>
    <n v="7812420"/>
    <x v="104"/>
  </r>
  <r>
    <n v="33820"/>
    <d v="2017-01-01T00:00:00"/>
    <d v="2018-10-07T00:00:00"/>
    <n v="66405568"/>
    <n v="13281113.6"/>
    <x v="105"/>
  </r>
  <r>
    <n v="33821"/>
    <d v="2017-01-01T00:00:00"/>
    <d v="2018-10-07T00:00:00"/>
    <n v="195000"/>
    <n v="39000"/>
    <x v="106"/>
  </r>
  <r>
    <n v="33824"/>
    <d v="2017-01-01T00:00:00"/>
    <d v="2018-10-07T00:00:00"/>
    <n v="39257100"/>
    <n v="7851420"/>
    <x v="104"/>
  </r>
  <r>
    <n v="33836"/>
    <d v="2017-01-01T00:00:00"/>
    <d v="2018-10-07T00:00:00"/>
    <n v="36885850"/>
    <n v="7377170"/>
    <x v="104"/>
  </r>
  <r>
    <n v="33837"/>
    <d v="2017-01-01T00:00:00"/>
    <d v="2018-10-07T00:00:00"/>
    <n v="66405570"/>
    <n v="13281114"/>
    <x v="107"/>
  </r>
  <r>
    <n v="33838"/>
    <d v="2017-01-01T00:00:00"/>
    <d v="2018-10-07T00:00:00"/>
    <n v="36885850"/>
    <n v="7377170"/>
    <x v="108"/>
  </r>
  <r>
    <n v="33866"/>
    <d v="2017-01-01T00:00:00"/>
    <d v="2018-10-07T00:00:00"/>
    <n v="195000"/>
    <n v="39000"/>
    <x v="109"/>
  </r>
  <r>
    <n v="33867"/>
    <d v="2017-01-01T00:00:00"/>
    <d v="2018-10-07T00:00:00"/>
    <n v="39257100"/>
    <n v="7851420"/>
    <x v="109"/>
  </r>
  <r>
    <n v="33878"/>
    <d v="2017-01-01T00:00:00"/>
    <d v="2018-10-07T00:00:00"/>
    <n v="39062100"/>
    <n v="7812420"/>
    <x v="110"/>
  </r>
  <r>
    <n v="33910"/>
    <d v="2017-01-01T00:00:00"/>
    <d v="2018-10-07T00:00:00"/>
    <n v="39062100"/>
    <n v="7812420"/>
    <x v="99"/>
  </r>
  <r>
    <n v="33913"/>
    <d v="2017-01-01T00:00:00"/>
    <d v="2018-10-07T00:00:00"/>
    <n v="36885850"/>
    <n v="7377170"/>
    <x v="111"/>
  </r>
  <r>
    <n v="33916"/>
    <d v="2017-01-01T00:00:00"/>
    <d v="2018-10-07T00:00:00"/>
    <n v="39062100"/>
    <n v="7812420"/>
    <x v="112"/>
  </r>
  <r>
    <n v="33948"/>
    <d v="2017-01-01T00:00:00"/>
    <d v="2018-10-07T00:00:00"/>
    <n v="195000"/>
    <n v="39000"/>
    <x v="109"/>
  </r>
  <r>
    <n v="33966"/>
    <d v="2017-01-01T00:00:00"/>
    <d v="2018-10-07T00:00:00"/>
    <n v="39062100"/>
    <n v="7812420"/>
    <x v="98"/>
  </r>
  <r>
    <n v="33995"/>
    <d v="2017-01-01T00:00:00"/>
    <d v="2018-10-07T00:00:00"/>
    <n v="39062100"/>
    <n v="7812420"/>
    <x v="113"/>
  </r>
  <r>
    <n v="33997"/>
    <d v="2017-01-01T00:00:00"/>
    <d v="2018-10-07T00:00:00"/>
    <n v="39257100"/>
    <n v="7851420"/>
    <x v="114"/>
  </r>
  <r>
    <n v="34049"/>
    <d v="2017-01-01T00:00:00"/>
    <d v="2018-10-07T00:00:00"/>
    <n v="37080850"/>
    <n v="7416170"/>
    <x v="109"/>
  </r>
  <r>
    <n v="34071"/>
    <d v="2017-01-01T00:00:00"/>
    <d v="2018-10-07T00:00:00"/>
    <n v="39062100"/>
    <n v="7812420"/>
    <x v="115"/>
  </r>
  <r>
    <n v="34098"/>
    <d v="2017-01-01T00:00:00"/>
    <d v="2018-10-07T00:00:00"/>
    <n v="66405570"/>
    <n v="13281114"/>
    <x v="116"/>
  </r>
  <r>
    <n v="34121"/>
    <d v="2017-01-01T00:00:00"/>
    <d v="2018-10-07T00:00:00"/>
    <n v="195000"/>
    <n v="39000"/>
    <x v="117"/>
  </r>
  <r>
    <n v="34139"/>
    <d v="2017-01-01T00:00:00"/>
    <d v="2018-10-07T00:00:00"/>
    <n v="195000"/>
    <n v="39000"/>
    <x v="69"/>
  </r>
  <r>
    <n v="34192"/>
    <d v="2017-01-01T00:00:00"/>
    <d v="2018-10-07T00:00:00"/>
    <n v="39062100"/>
    <n v="7812420"/>
    <x v="108"/>
  </r>
  <r>
    <n v="34275"/>
    <d v="2017-01-01T00:00:00"/>
    <d v="2018-10-07T00:00:00"/>
    <n v="39062100"/>
    <n v="7812420"/>
    <x v="118"/>
  </r>
  <r>
    <n v="34276"/>
    <d v="2017-01-01T00:00:00"/>
    <d v="2018-10-07T00:00:00"/>
    <n v="39062100"/>
    <n v="7812420"/>
    <x v="118"/>
  </r>
  <r>
    <n v="34408"/>
    <d v="2017-01-01T00:00:00"/>
    <d v="2018-10-07T00:00:00"/>
    <n v="39257100"/>
    <n v="7851420"/>
    <x v="119"/>
  </r>
  <r>
    <n v="34471"/>
    <d v="2017-01-01T00:00:00"/>
    <d v="2018-10-07T00:00:00"/>
    <n v="335934060"/>
    <n v="67186812"/>
    <x v="120"/>
  </r>
  <r>
    <n v="34477"/>
    <d v="2017-01-01T00:00:00"/>
    <d v="2018-10-07T00:00:00"/>
    <n v="66405570"/>
    <n v="13281114"/>
    <x v="65"/>
  </r>
  <r>
    <n v="34491"/>
    <d v="2017-01-01T00:00:00"/>
    <d v="2018-10-07T00:00:00"/>
    <n v="36885850"/>
    <n v="7377170"/>
    <x v="65"/>
  </r>
  <r>
    <n v="34560"/>
    <d v="2017-01-01T00:00:00"/>
    <d v="2018-10-07T00:00:00"/>
    <n v="66405570"/>
    <n v="13281114"/>
    <x v="121"/>
  </r>
  <r>
    <n v="34659"/>
    <d v="2017-01-01T00:00:00"/>
    <d v="2018-10-07T00:00:00"/>
    <n v="39257100"/>
    <n v="7851420"/>
    <x v="122"/>
  </r>
  <r>
    <n v="34671"/>
    <d v="2017-01-01T00:00:00"/>
    <d v="2018-10-07T00:00:00"/>
    <n v="195000"/>
    <n v="39000"/>
    <x v="123"/>
  </r>
  <r>
    <n v="34766"/>
    <d v="2017-01-01T00:00:00"/>
    <d v="2018-10-07T00:00:00"/>
    <n v="39062100"/>
    <n v="7812420"/>
    <x v="12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52CC895-69B6-4AB8-BF7F-08538563D777}" name="TablaDinámica2"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H11:I16" firstHeaderRow="1" firstDataRow="1" firstDataCol="1"/>
  <pivotFields count="9">
    <pivotField numFmtId="1" showAll="0"/>
    <pivotField numFmtId="192" showAll="0"/>
    <pivotField numFmtId="192" showAll="0"/>
    <pivotField dataField="1" numFmtId="193" showAll="0"/>
    <pivotField numFmtId="193" showAll="0"/>
    <pivotField axis="axisRow" numFmtId="192" showAll="0">
      <items count="126">
        <item x="1"/>
        <item x="0"/>
        <item x="2"/>
        <item x="3"/>
        <item x="8"/>
        <item x="9"/>
        <item x="4"/>
        <item x="10"/>
        <item x="11"/>
        <item x="5"/>
        <item x="12"/>
        <item x="7"/>
        <item x="14"/>
        <item x="16"/>
        <item x="18"/>
        <item x="6"/>
        <item x="17"/>
        <item x="19"/>
        <item x="15"/>
        <item x="22"/>
        <item x="21"/>
        <item x="13"/>
        <item x="24"/>
        <item x="23"/>
        <item x="20"/>
        <item x="29"/>
        <item x="28"/>
        <item x="34"/>
        <item x="25"/>
        <item x="30"/>
        <item x="37"/>
        <item x="27"/>
        <item x="32"/>
        <item x="26"/>
        <item x="33"/>
        <item x="39"/>
        <item x="36"/>
        <item x="38"/>
        <item x="40"/>
        <item x="43"/>
        <item x="44"/>
        <item x="41"/>
        <item x="35"/>
        <item x="48"/>
        <item x="49"/>
        <item x="54"/>
        <item x="46"/>
        <item x="52"/>
        <item x="47"/>
        <item x="45"/>
        <item x="58"/>
        <item x="42"/>
        <item x="59"/>
        <item x="56"/>
        <item x="63"/>
        <item x="51"/>
        <item x="61"/>
        <item x="53"/>
        <item x="72"/>
        <item x="66"/>
        <item x="55"/>
        <item x="50"/>
        <item x="62"/>
        <item x="68"/>
        <item x="70"/>
        <item x="73"/>
        <item x="74"/>
        <item x="77"/>
        <item x="79"/>
        <item x="75"/>
        <item x="57"/>
        <item x="76"/>
        <item x="80"/>
        <item x="81"/>
        <item x="83"/>
        <item x="64"/>
        <item x="78"/>
        <item x="86"/>
        <item x="85"/>
        <item x="89"/>
        <item x="84"/>
        <item x="88"/>
        <item x="90"/>
        <item x="97"/>
        <item x="31"/>
        <item x="94"/>
        <item x="92"/>
        <item x="95"/>
        <item x="91"/>
        <item x="96"/>
        <item x="111"/>
        <item x="100"/>
        <item x="104"/>
        <item x="106"/>
        <item x="105"/>
        <item x="101"/>
        <item x="102"/>
        <item x="112"/>
        <item x="110"/>
        <item x="98"/>
        <item x="99"/>
        <item x="109"/>
        <item x="82"/>
        <item x="115"/>
        <item x="103"/>
        <item x="113"/>
        <item x="107"/>
        <item x="118"/>
        <item x="93"/>
        <item x="108"/>
        <item x="116"/>
        <item x="87"/>
        <item x="114"/>
        <item x="65"/>
        <item x="117"/>
        <item x="69"/>
        <item x="121"/>
        <item x="120"/>
        <item x="123"/>
        <item x="60"/>
        <item x="122"/>
        <item x="124"/>
        <item x="119"/>
        <item x="67"/>
        <item x="71"/>
        <item t="default"/>
      </items>
    </pivotField>
    <pivotField showAll="0">
      <items count="15">
        <item sd="0" x="0"/>
        <item sd="0" x="1"/>
        <item sd="0" x="2"/>
        <item sd="0" x="3"/>
        <item sd="0" x="4"/>
        <item sd="0" x="5"/>
        <item sd="0" x="6"/>
        <item sd="0" x="7"/>
        <item sd="0" x="8"/>
        <item sd="0" x="9"/>
        <item sd="0" x="10"/>
        <item sd="0" x="11"/>
        <item sd="0" x="12"/>
        <item sd="0" x="13"/>
        <item t="default"/>
      </items>
    </pivotField>
    <pivotField showAll="0">
      <items count="7">
        <item sd="0" x="0"/>
        <item sd="0" x="1"/>
        <item sd="0" x="2"/>
        <item sd="0" x="3"/>
        <item sd="0" x="4"/>
        <item sd="0" x="5"/>
        <item t="default"/>
      </items>
    </pivotField>
    <pivotField axis="axisRow" showAll="0">
      <items count="7">
        <item sd="0" x="0"/>
        <item sd="0" x="1"/>
        <item sd="0" x="2"/>
        <item sd="0" x="3"/>
        <item sd="0" x="4"/>
        <item sd="0" x="5"/>
        <item t="default"/>
      </items>
    </pivotField>
  </pivotFields>
  <rowFields count="2">
    <field x="8"/>
    <field x="5"/>
  </rowFields>
  <rowItems count="5">
    <i>
      <x v="1"/>
    </i>
    <i>
      <x v="2"/>
    </i>
    <i>
      <x v="3"/>
    </i>
    <i>
      <x v="4"/>
    </i>
    <i t="grand">
      <x/>
    </i>
  </rowItems>
  <colItems count="1">
    <i/>
  </colItems>
  <dataFields count="1">
    <dataField name="Suma de Valor Indemnizado o Pagado ($)" fld="3" baseField="8" baseItem="4" numFmtId="3"/>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8B4E5-23E8-4A01-8188-5DDB06DA2C3F}">
  <dimension ref="A1:B57"/>
  <sheetViews>
    <sheetView workbookViewId="0"/>
  </sheetViews>
  <sheetFormatPr baseColWidth="10" defaultRowHeight="12.75"/>
  <cols>
    <col min="2" max="2" width="11.85546875" bestFit="1" customWidth="1"/>
  </cols>
  <sheetData>
    <row r="1" spans="1:2" ht="15.75">
      <c r="A1" s="1" t="s">
        <v>0</v>
      </c>
      <c r="B1" s="2" t="s">
        <v>1</v>
      </c>
    </row>
    <row r="2" spans="1:2" ht="15.75">
      <c r="A2" s="1">
        <v>2024</v>
      </c>
      <c r="B2" s="2">
        <v>1300000</v>
      </c>
    </row>
    <row r="3" spans="1:2" ht="15.75">
      <c r="A3" s="1">
        <v>2023</v>
      </c>
      <c r="B3" s="2">
        <v>1160000</v>
      </c>
    </row>
    <row r="4" spans="1:2" ht="15.75">
      <c r="A4" s="3">
        <v>2022</v>
      </c>
      <c r="B4" s="2">
        <v>1000000</v>
      </c>
    </row>
    <row r="5" spans="1:2" ht="15.75">
      <c r="A5" s="3">
        <v>2021</v>
      </c>
      <c r="B5" s="4">
        <v>908526</v>
      </c>
    </row>
    <row r="6" spans="1:2" ht="15.75">
      <c r="A6" s="3">
        <v>2020</v>
      </c>
      <c r="B6" s="4">
        <v>877802</v>
      </c>
    </row>
    <row r="7" spans="1:2" ht="15.75">
      <c r="A7" s="3">
        <v>2019</v>
      </c>
      <c r="B7" s="4">
        <v>828116</v>
      </c>
    </row>
    <row r="8" spans="1:2" ht="15.75">
      <c r="A8" s="3">
        <v>2018</v>
      </c>
      <c r="B8" s="4">
        <v>781242</v>
      </c>
    </row>
    <row r="9" spans="1:2" ht="15.75">
      <c r="A9" s="3">
        <v>2017</v>
      </c>
      <c r="B9" s="4">
        <v>737717</v>
      </c>
    </row>
    <row r="10" spans="1:2" ht="15.75">
      <c r="A10" s="3">
        <v>2016</v>
      </c>
      <c r="B10" s="4">
        <v>689454</v>
      </c>
    </row>
    <row r="11" spans="1:2" ht="15.75">
      <c r="A11" s="3">
        <v>2015</v>
      </c>
      <c r="B11" s="4">
        <v>644350</v>
      </c>
    </row>
    <row r="12" spans="1:2" ht="15.75">
      <c r="A12" s="3">
        <v>2014</v>
      </c>
      <c r="B12" s="4">
        <v>616000</v>
      </c>
    </row>
    <row r="13" spans="1:2" ht="15.75">
      <c r="A13" s="3">
        <v>2013</v>
      </c>
      <c r="B13" s="4">
        <v>589500</v>
      </c>
    </row>
    <row r="14" spans="1:2" ht="15.75">
      <c r="A14" s="3">
        <v>2012</v>
      </c>
      <c r="B14" s="4">
        <v>566700</v>
      </c>
    </row>
    <row r="15" spans="1:2" ht="15.75">
      <c r="A15" s="3">
        <v>2011</v>
      </c>
      <c r="B15" s="4">
        <v>535600</v>
      </c>
    </row>
    <row r="16" spans="1:2" ht="15.75">
      <c r="A16" s="3">
        <v>2010</v>
      </c>
      <c r="B16" s="4">
        <v>515000</v>
      </c>
    </row>
    <row r="17" spans="1:2" ht="15.75">
      <c r="A17" s="3">
        <v>2009</v>
      </c>
      <c r="B17" s="4">
        <v>496900</v>
      </c>
    </row>
    <row r="18" spans="1:2" ht="15.75">
      <c r="A18" s="3">
        <v>2008</v>
      </c>
      <c r="B18" s="4">
        <v>461500</v>
      </c>
    </row>
    <row r="19" spans="1:2" ht="15.75">
      <c r="A19" s="3">
        <v>2007</v>
      </c>
      <c r="B19" s="4">
        <v>433700</v>
      </c>
    </row>
    <row r="20" spans="1:2" ht="15.75">
      <c r="A20" s="3">
        <v>2006</v>
      </c>
      <c r="B20" s="4">
        <v>408000</v>
      </c>
    </row>
    <row r="21" spans="1:2" ht="15.75">
      <c r="A21" s="3">
        <v>2005</v>
      </c>
      <c r="B21" s="4">
        <v>381500</v>
      </c>
    </row>
    <row r="22" spans="1:2" ht="15.75">
      <c r="A22" s="3">
        <v>2004</v>
      </c>
      <c r="B22" s="4">
        <v>358000</v>
      </c>
    </row>
    <row r="23" spans="1:2" ht="15.75">
      <c r="A23" s="3">
        <v>2003</v>
      </c>
      <c r="B23" s="4">
        <v>332000</v>
      </c>
    </row>
    <row r="24" spans="1:2" ht="15.75">
      <c r="A24" s="3">
        <v>2002</v>
      </c>
      <c r="B24" s="4">
        <v>309000</v>
      </c>
    </row>
    <row r="25" spans="1:2" ht="15.75">
      <c r="A25" s="3">
        <v>2001</v>
      </c>
      <c r="B25" s="4">
        <v>286000</v>
      </c>
    </row>
    <row r="26" spans="1:2" ht="15.75">
      <c r="A26" s="3">
        <v>2000</v>
      </c>
      <c r="B26" s="4">
        <v>260100</v>
      </c>
    </row>
    <row r="27" spans="1:2" ht="15.75">
      <c r="A27" s="3">
        <v>1999</v>
      </c>
      <c r="B27" s="4">
        <v>236460</v>
      </c>
    </row>
    <row r="28" spans="1:2" ht="15.75">
      <c r="A28" s="3">
        <v>1998</v>
      </c>
      <c r="B28" s="4">
        <v>203825.93</v>
      </c>
    </row>
    <row r="29" spans="1:2" ht="15.75">
      <c r="A29" s="3">
        <v>1997</v>
      </c>
      <c r="B29" s="4">
        <v>172005</v>
      </c>
    </row>
    <row r="30" spans="1:2" ht="15.75">
      <c r="A30" s="3">
        <v>1996</v>
      </c>
      <c r="B30" s="4">
        <v>142125</v>
      </c>
    </row>
    <row r="31" spans="1:2" ht="15.75">
      <c r="A31" s="3">
        <v>1995</v>
      </c>
      <c r="B31" s="4">
        <v>118933.5</v>
      </c>
    </row>
    <row r="32" spans="1:2" ht="15.75">
      <c r="A32" s="3">
        <v>1994</v>
      </c>
      <c r="B32" s="4">
        <v>98700</v>
      </c>
    </row>
    <row r="33" spans="1:2" ht="15.75">
      <c r="A33" s="3">
        <v>1993</v>
      </c>
      <c r="B33" s="4">
        <v>81510</v>
      </c>
    </row>
    <row r="34" spans="1:2" ht="15.75">
      <c r="A34" s="3">
        <v>1992</v>
      </c>
      <c r="B34" s="4">
        <v>65190</v>
      </c>
    </row>
    <row r="35" spans="1:2" ht="15.75">
      <c r="A35" s="3">
        <v>1991</v>
      </c>
      <c r="B35" s="4">
        <v>51720</v>
      </c>
    </row>
    <row r="36" spans="1:2" ht="15.75">
      <c r="A36" s="3">
        <v>1990</v>
      </c>
      <c r="B36" s="4">
        <v>41025</v>
      </c>
    </row>
    <row r="37" spans="1:2" ht="15.75">
      <c r="A37" s="3">
        <v>1989</v>
      </c>
      <c r="B37" s="4">
        <v>32559</v>
      </c>
    </row>
    <row r="38" spans="1:2" ht="15.75">
      <c r="A38" s="3">
        <v>1988</v>
      </c>
      <c r="B38" s="4">
        <v>25637.4</v>
      </c>
    </row>
    <row r="39" spans="1:2" ht="15.75">
      <c r="A39" s="3">
        <v>1987</v>
      </c>
      <c r="B39" s="4">
        <v>20509.8</v>
      </c>
    </row>
    <row r="40" spans="1:2" ht="15.75">
      <c r="A40" s="3">
        <v>1986</v>
      </c>
      <c r="B40" s="4">
        <v>16811.400000000001</v>
      </c>
    </row>
    <row r="41" spans="1:2" ht="15.75">
      <c r="A41" s="3">
        <v>1985</v>
      </c>
      <c r="B41" s="4">
        <v>13557.6</v>
      </c>
    </row>
    <row r="42" spans="1:2" ht="15.75">
      <c r="A42" s="3">
        <v>1984</v>
      </c>
      <c r="B42" s="4">
        <v>11298</v>
      </c>
    </row>
    <row r="43" spans="1:2" ht="15.75">
      <c r="A43" s="3">
        <v>1983</v>
      </c>
      <c r="B43" s="4">
        <v>9261</v>
      </c>
    </row>
    <row r="44" spans="1:2" ht="15.75">
      <c r="A44" s="3">
        <v>1982</v>
      </c>
      <c r="B44" s="4">
        <v>7410</v>
      </c>
    </row>
    <row r="45" spans="1:2" ht="15.75">
      <c r="A45" s="3">
        <v>1981</v>
      </c>
      <c r="B45" s="4">
        <v>5700</v>
      </c>
    </row>
    <row r="46" spans="1:2" ht="15.75">
      <c r="A46" s="3">
        <v>1980</v>
      </c>
      <c r="B46" s="4">
        <v>4500</v>
      </c>
    </row>
    <row r="47" spans="1:2" ht="15.75">
      <c r="A47" s="3">
        <v>1979</v>
      </c>
      <c r="B47" s="4">
        <v>3450</v>
      </c>
    </row>
    <row r="48" spans="1:2" ht="15.75">
      <c r="A48" s="3">
        <v>1978</v>
      </c>
      <c r="B48" s="4">
        <v>2550</v>
      </c>
    </row>
    <row r="49" spans="1:2" ht="15.75">
      <c r="A49" s="3">
        <v>1977</v>
      </c>
      <c r="B49" s="4">
        <v>1770</v>
      </c>
    </row>
    <row r="50" spans="1:2" ht="15.75">
      <c r="A50" s="3">
        <v>1976</v>
      </c>
      <c r="B50" s="4">
        <v>1560</v>
      </c>
    </row>
    <row r="51" spans="1:2" ht="15.75">
      <c r="A51" s="3">
        <v>1975</v>
      </c>
      <c r="B51" s="4">
        <v>1200</v>
      </c>
    </row>
    <row r="52" spans="1:2" ht="15.75">
      <c r="A52" s="3">
        <v>1974</v>
      </c>
      <c r="B52" s="4">
        <v>900</v>
      </c>
    </row>
    <row r="53" spans="1:2" ht="15.75">
      <c r="A53" s="3">
        <v>1972</v>
      </c>
      <c r="B53" s="4">
        <v>660</v>
      </c>
    </row>
    <row r="54" spans="1:2" ht="15.75">
      <c r="A54" s="3">
        <v>1969</v>
      </c>
      <c r="B54" s="4">
        <v>519</v>
      </c>
    </row>
    <row r="55" spans="1:2" ht="15.75">
      <c r="A55" s="3">
        <v>1963</v>
      </c>
      <c r="B55" s="4">
        <v>420</v>
      </c>
    </row>
    <row r="56" spans="1:2" ht="15.75">
      <c r="A56" s="3">
        <v>1962</v>
      </c>
      <c r="B56" s="4">
        <v>219</v>
      </c>
    </row>
    <row r="57" spans="1:2" ht="15.75">
      <c r="A57" s="3">
        <v>1960</v>
      </c>
      <c r="B57" s="4">
        <v>198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23"/>
  <sheetViews>
    <sheetView workbookViewId="0">
      <selection activeCell="B1" sqref="B1"/>
    </sheetView>
  </sheetViews>
  <sheetFormatPr baseColWidth="10" defaultColWidth="11.42578125" defaultRowHeight="13.5"/>
  <cols>
    <col min="1" max="1" width="10" style="5" customWidth="1"/>
    <col min="2" max="2" width="17.28515625" style="5" customWidth="1"/>
    <col min="3" max="3" width="15.85546875" style="5" customWidth="1"/>
    <col min="4" max="4" width="26.28515625" style="5" customWidth="1"/>
    <col min="5" max="5" width="4.42578125" style="5" customWidth="1"/>
    <col min="6" max="6" width="35.7109375" style="5" customWidth="1"/>
    <col min="7" max="7" width="12.42578125" style="5" bestFit="1" customWidth="1"/>
    <col min="8" max="11" width="15.140625" style="5" bestFit="1" customWidth="1"/>
    <col min="12" max="16384" width="11.42578125" style="5"/>
  </cols>
  <sheetData>
    <row r="1" spans="1:11">
      <c r="A1" s="5" t="s">
        <v>2</v>
      </c>
      <c r="B1" s="125" t="s">
        <v>176</v>
      </c>
      <c r="C1" s="5" t="s">
        <v>3</v>
      </c>
      <c r="D1" s="251" t="s">
        <v>4</v>
      </c>
      <c r="E1" s="252"/>
      <c r="F1" s="252"/>
      <c r="G1" s="252"/>
      <c r="H1" s="252"/>
    </row>
    <row r="2" spans="1:11" ht="49.5" customHeight="1">
      <c r="A2" s="5" t="s">
        <v>5</v>
      </c>
      <c r="B2" s="253" t="s">
        <v>124</v>
      </c>
      <c r="C2" s="253"/>
      <c r="D2" s="253"/>
      <c r="E2" s="253"/>
      <c r="F2" s="253"/>
      <c r="G2" s="253"/>
      <c r="H2" s="253"/>
    </row>
    <row r="3" spans="1:11" customFormat="1" ht="36.75" customHeight="1">
      <c r="A3" s="5"/>
      <c r="B3" s="5"/>
      <c r="C3" s="5"/>
      <c r="D3" s="5"/>
      <c r="E3" s="5"/>
      <c r="F3" s="6" t="s">
        <v>6</v>
      </c>
      <c r="G3" s="75">
        <v>2656818990</v>
      </c>
      <c r="H3" s="255"/>
      <c r="I3" s="255"/>
      <c r="J3" s="255"/>
    </row>
    <row r="4" spans="1:11">
      <c r="F4" s="6" t="s">
        <v>7</v>
      </c>
      <c r="G4" s="7"/>
    </row>
    <row r="5" spans="1:11">
      <c r="F5" s="8" t="s">
        <v>8</v>
      </c>
      <c r="G5" s="7"/>
    </row>
    <row r="6" spans="1:11">
      <c r="A6" s="9"/>
      <c r="B6" s="9"/>
      <c r="C6" s="10"/>
      <c r="D6" s="11"/>
      <c r="F6" s="5" t="s">
        <v>9</v>
      </c>
      <c r="G6" s="12">
        <f>G3/G15</f>
        <v>2043.7069153846153</v>
      </c>
      <c r="H6" s="12"/>
      <c r="I6" s="12"/>
      <c r="J6" s="12">
        <f>J3/G15</f>
        <v>0</v>
      </c>
      <c r="K6" s="12">
        <f>K3/G15</f>
        <v>0</v>
      </c>
    </row>
    <row r="7" spans="1:11">
      <c r="A7" s="9"/>
      <c r="B7" s="9"/>
      <c r="C7" s="10"/>
      <c r="D7" s="11"/>
      <c r="F7" s="6" t="s">
        <v>10</v>
      </c>
      <c r="G7" s="12"/>
    </row>
    <row r="8" spans="1:11">
      <c r="A8" s="9"/>
      <c r="B8" s="9"/>
      <c r="C8" s="10"/>
      <c r="D8" s="11"/>
      <c r="G8" s="39"/>
    </row>
    <row r="9" spans="1:11">
      <c r="A9" s="9"/>
      <c r="B9" s="9"/>
      <c r="C9" s="10"/>
      <c r="D9" s="11"/>
      <c r="F9" s="5" t="s">
        <v>11</v>
      </c>
      <c r="G9" s="40"/>
    </row>
    <row r="10" spans="1:11">
      <c r="C10" s="10"/>
      <c r="D10" s="11"/>
      <c r="F10" s="10" t="s">
        <v>12</v>
      </c>
      <c r="G10" s="38"/>
    </row>
    <row r="11" spans="1:11">
      <c r="A11" s="6"/>
      <c r="F11" s="10" t="s">
        <v>13</v>
      </c>
      <c r="G11" s="38"/>
    </row>
    <row r="12" spans="1:11">
      <c r="F12" s="10" t="s">
        <v>14</v>
      </c>
      <c r="G12" s="38"/>
    </row>
    <row r="13" spans="1:11">
      <c r="G13" s="41"/>
    </row>
    <row r="14" spans="1:11">
      <c r="B14" s="254"/>
      <c r="C14" s="254"/>
      <c r="D14" s="254"/>
      <c r="F14" s="5" t="s">
        <v>15</v>
      </c>
      <c r="G14" s="38">
        <v>2024</v>
      </c>
    </row>
    <row r="15" spans="1:11">
      <c r="B15" s="250"/>
      <c r="C15" s="250"/>
      <c r="D15" s="250"/>
      <c r="F15" s="5" t="s">
        <v>16</v>
      </c>
      <c r="G15" s="153">
        <v>1300000</v>
      </c>
    </row>
    <row r="16" spans="1:11">
      <c r="B16" s="250"/>
      <c r="C16" s="250"/>
      <c r="D16" s="250"/>
      <c r="F16" s="14"/>
      <c r="G16" s="13"/>
    </row>
    <row r="17" spans="1:8">
      <c r="B17" s="250"/>
      <c r="C17" s="250"/>
      <c r="D17" s="250"/>
      <c r="F17" s="14"/>
      <c r="G17" s="15"/>
    </row>
    <row r="18" spans="1:8">
      <c r="F18" s="14"/>
      <c r="G18" s="12"/>
    </row>
    <row r="19" spans="1:8">
      <c r="F19" s="14"/>
      <c r="G19" s="15"/>
    </row>
    <row r="20" spans="1:8">
      <c r="F20" s="14"/>
      <c r="G20" s="16"/>
    </row>
    <row r="21" spans="1:8">
      <c r="A21" s="9"/>
    </row>
    <row r="22" spans="1:8">
      <c r="A22" s="9"/>
      <c r="C22" s="10"/>
      <c r="D22" s="17"/>
      <c r="G22" s="18" t="s">
        <v>17</v>
      </c>
    </row>
    <row r="23" spans="1:8">
      <c r="B23" s="9"/>
      <c r="C23" s="10"/>
      <c r="D23" s="17"/>
      <c r="E23" s="17"/>
      <c r="F23" s="8"/>
      <c r="G23" s="19"/>
    </row>
    <row r="24" spans="1:8">
      <c r="A24" s="10"/>
      <c r="E24" s="17"/>
      <c r="F24" s="8"/>
      <c r="G24" s="19"/>
    </row>
    <row r="25" spans="1:8">
      <c r="A25" s="20"/>
      <c r="B25" s="17"/>
      <c r="C25" s="17"/>
      <c r="D25" s="17"/>
      <c r="G25" s="19"/>
    </row>
    <row r="26" spans="1:8">
      <c r="B26" s="17"/>
      <c r="C26" s="21"/>
      <c r="D26" s="21"/>
      <c r="F26" s="22"/>
      <c r="G26" s="23"/>
    </row>
    <row r="27" spans="1:8">
      <c r="B27" s="24"/>
      <c r="E27" s="17"/>
      <c r="F27" s="17"/>
      <c r="G27" s="17"/>
    </row>
    <row r="28" spans="1:8">
      <c r="E28" s="21"/>
      <c r="F28" s="37"/>
      <c r="G28" s="21"/>
      <c r="H28" s="21"/>
    </row>
    <row r="29" spans="1:8">
      <c r="B29" s="24"/>
      <c r="F29" s="22"/>
      <c r="G29" s="23"/>
    </row>
    <row r="30" spans="1:8">
      <c r="G30" s="23"/>
    </row>
    <row r="31" spans="1:8">
      <c r="F31" s="22"/>
      <c r="G31" s="23"/>
    </row>
    <row r="32" spans="1:8">
      <c r="F32" s="22"/>
      <c r="G32" s="23"/>
    </row>
    <row r="33" spans="7:7">
      <c r="G33" s="23"/>
    </row>
    <row r="104" spans="2:4" ht="14.25" thickBot="1"/>
    <row r="105" spans="2:4" ht="14.25" thickBot="1">
      <c r="B105" s="123" t="s">
        <v>18</v>
      </c>
      <c r="D105" s="123" t="s">
        <v>19</v>
      </c>
    </row>
    <row r="106" spans="2:4" ht="21.75" thickBot="1">
      <c r="B106" s="124" t="s">
        <v>20</v>
      </c>
      <c r="D106" s="124" t="s">
        <v>21</v>
      </c>
    </row>
    <row r="107" spans="2:4" ht="21.75" thickBot="1">
      <c r="B107" s="119" t="s">
        <v>22</v>
      </c>
      <c r="D107" s="119" t="s">
        <v>23</v>
      </c>
    </row>
    <row r="108" spans="2:4" ht="21.75" thickBot="1">
      <c r="B108" s="119" t="s">
        <v>24</v>
      </c>
      <c r="D108" s="119" t="s">
        <v>25</v>
      </c>
    </row>
    <row r="109" spans="2:4" ht="21.75" thickBot="1">
      <c r="B109" s="119" t="s">
        <v>26</v>
      </c>
      <c r="D109" s="119" t="s">
        <v>27</v>
      </c>
    </row>
    <row r="110" spans="2:4" ht="14.25" thickBot="1">
      <c r="B110" s="120" t="s">
        <v>28</v>
      </c>
      <c r="D110" s="120" t="s">
        <v>29</v>
      </c>
    </row>
    <row r="111" spans="2:4" ht="21.75" thickBot="1">
      <c r="B111" s="119" t="s">
        <v>30</v>
      </c>
      <c r="D111" s="119" t="s">
        <v>31</v>
      </c>
    </row>
    <row r="112" spans="2:4" ht="14.25" thickBot="1">
      <c r="B112" s="121" t="s">
        <v>32</v>
      </c>
      <c r="D112" s="121" t="s">
        <v>33</v>
      </c>
    </row>
    <row r="113" spans="2:4" ht="21.75" thickBot="1">
      <c r="B113" s="119" t="s">
        <v>34</v>
      </c>
      <c r="D113" s="119" t="s">
        <v>35</v>
      </c>
    </row>
    <row r="114" spans="2:4" ht="14.25" thickBot="1">
      <c r="B114" s="121" t="s">
        <v>36</v>
      </c>
      <c r="D114" s="119" t="s">
        <v>37</v>
      </c>
    </row>
    <row r="115" spans="2:4" ht="21.75" thickBot="1">
      <c r="B115" s="119" t="s">
        <v>38</v>
      </c>
      <c r="D115" s="122" t="s">
        <v>39</v>
      </c>
    </row>
    <row r="116" spans="2:4" ht="21.75" thickBot="1">
      <c r="B116" s="119" t="s">
        <v>40</v>
      </c>
      <c r="D116" s="119" t="s">
        <v>41</v>
      </c>
    </row>
    <row r="117" spans="2:4" ht="21.75" thickBot="1">
      <c r="B117" s="119" t="s">
        <v>42</v>
      </c>
      <c r="D117" s="119" t="s">
        <v>43</v>
      </c>
    </row>
    <row r="118" spans="2:4" ht="14.25" thickBot="1">
      <c r="B118" s="122" t="s">
        <v>44</v>
      </c>
      <c r="D118" s="119" t="s">
        <v>45</v>
      </c>
    </row>
    <row r="119" spans="2:4" ht="21.75" thickBot="1">
      <c r="B119" s="119" t="s">
        <v>46</v>
      </c>
      <c r="D119" s="119" t="s">
        <v>47</v>
      </c>
    </row>
    <row r="120" spans="2:4" ht="14.25" thickBot="1">
      <c r="B120" s="122" t="s">
        <v>48</v>
      </c>
    </row>
    <row r="121" spans="2:4" ht="21.75" thickBot="1">
      <c r="B121" s="119" t="s">
        <v>49</v>
      </c>
    </row>
    <row r="122" spans="2:4" ht="21.75" thickBot="1">
      <c r="B122" s="119" t="s">
        <v>50</v>
      </c>
    </row>
    <row r="123" spans="2:4" ht="21.75" thickBot="1">
      <c r="B123" s="119" t="s">
        <v>51</v>
      </c>
    </row>
  </sheetData>
  <sheetProtection selectLockedCells="1" selectUnlockedCells="1"/>
  <mergeCells count="7">
    <mergeCell ref="B17:D17"/>
    <mergeCell ref="B15:D15"/>
    <mergeCell ref="B16:D16"/>
    <mergeCell ref="D1:H1"/>
    <mergeCell ref="B2:H2"/>
    <mergeCell ref="B14:D14"/>
    <mergeCell ref="H3:J3"/>
  </mergeCells>
  <phoneticPr fontId="0" type="noConversion"/>
  <dataValidations count="2">
    <dataValidation type="list" allowBlank="1" showInputMessage="1" showErrorMessage="1" sqref="G10" xr:uid="{00000000-0002-0000-0100-000000000000}">
      <formula1>$B$106:$B$123</formula1>
    </dataValidation>
    <dataValidation type="list" allowBlank="1" showInputMessage="1" showErrorMessage="1" sqref="G12" xr:uid="{00000000-0002-0000-0100-000001000000}">
      <formula1>$D$106:$D$119</formula1>
    </dataValidation>
  </dataValidations>
  <pageMargins left="0.75" right="0.75" top="1" bottom="1" header="0" footer="0"/>
  <pageSetup paperSize="14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D6"/>
  <sheetViews>
    <sheetView topLeftCell="D1" workbookViewId="0">
      <selection activeCell="P6" sqref="P6"/>
    </sheetView>
  </sheetViews>
  <sheetFormatPr baseColWidth="10" defaultColWidth="11.42578125" defaultRowHeight="12"/>
  <cols>
    <col min="1" max="1" width="4" style="50" customWidth="1"/>
    <col min="2" max="2" width="23.140625" style="50" customWidth="1"/>
    <col min="3" max="3" width="32.85546875" style="50" customWidth="1"/>
    <col min="4" max="4" width="21.42578125" style="50" customWidth="1"/>
    <col min="5" max="5" width="19.28515625" style="50" hidden="1" customWidth="1"/>
    <col min="6" max="6" width="13.42578125" style="50" hidden="1" customWidth="1"/>
    <col min="7" max="7" width="11.85546875" style="50" hidden="1" customWidth="1"/>
    <col min="8" max="9" width="10.42578125" style="50" hidden="1" customWidth="1"/>
    <col min="10" max="10" width="7.28515625" style="50" hidden="1" customWidth="1"/>
    <col min="11" max="11" width="4.7109375" style="73" hidden="1" customWidth="1"/>
    <col min="12" max="12" width="11" style="50" hidden="1" customWidth="1"/>
    <col min="13" max="13" width="52.85546875" style="50" customWidth="1"/>
    <col min="14" max="14" width="21.85546875" style="50" customWidth="1"/>
    <col min="15" max="15" width="7.42578125" style="50" customWidth="1"/>
    <col min="16" max="16" width="17.85546875" style="50" customWidth="1"/>
    <col min="17" max="17" width="17.42578125" style="50" customWidth="1"/>
    <col min="18" max="18" width="7.28515625" style="50" customWidth="1"/>
    <col min="19" max="19" width="16.7109375" style="50" customWidth="1"/>
    <col min="20" max="20" width="15.28515625" style="50" customWidth="1"/>
    <col min="21" max="21" width="7.42578125" style="50" customWidth="1"/>
    <col min="22" max="22" width="14.28515625" style="50" customWidth="1"/>
    <col min="23" max="23" width="21.85546875" style="50" customWidth="1"/>
    <col min="24" max="24" width="7.42578125" style="50" customWidth="1"/>
    <col min="25" max="25" width="22.42578125" style="50" customWidth="1"/>
    <col min="26" max="26" width="17.42578125" style="50" customWidth="1"/>
    <col min="27" max="27" width="7.28515625" style="50" customWidth="1"/>
    <col min="28" max="28" width="16.7109375" style="50" customWidth="1"/>
    <col min="29" max="29" width="15.28515625" style="50" customWidth="1"/>
    <col min="30" max="30" width="7.42578125" style="50" customWidth="1"/>
    <col min="31" max="31" width="14.28515625" style="50" customWidth="1"/>
    <col min="32" max="32" width="21.85546875" style="50" customWidth="1"/>
    <col min="33" max="33" width="7.42578125" style="50" customWidth="1"/>
    <col min="34" max="34" width="22.42578125" style="50" customWidth="1"/>
    <col min="35" max="35" width="17.42578125" style="50" customWidth="1"/>
    <col min="36" max="36" width="7.28515625" style="50" customWidth="1"/>
    <col min="37" max="37" width="16.7109375" style="50" customWidth="1"/>
    <col min="38" max="38" width="15.28515625" style="50" customWidth="1"/>
    <col min="39" max="39" width="7.42578125" style="50" customWidth="1"/>
    <col min="40" max="40" width="14.28515625" style="50" customWidth="1"/>
    <col min="41" max="41" width="15.42578125" style="50" customWidth="1"/>
    <col min="42" max="42" width="11" style="50" customWidth="1"/>
    <col min="43" max="43" width="12.42578125" style="50" customWidth="1"/>
    <col min="44" max="76" width="11" style="50" customWidth="1"/>
    <col min="77" max="82" width="11.42578125" style="49"/>
    <col min="83" max="210" width="11" style="50" customWidth="1"/>
    <col min="211" max="16384" width="11.42578125" style="50"/>
  </cols>
  <sheetData>
    <row r="1" spans="1:76" ht="12" customHeight="1">
      <c r="A1" s="257" t="s">
        <v>60</v>
      </c>
      <c r="B1" s="257" t="s">
        <v>61</v>
      </c>
      <c r="C1" s="257" t="s">
        <v>62</v>
      </c>
      <c r="D1" s="257" t="s">
        <v>63</v>
      </c>
      <c r="E1" s="257" t="s">
        <v>64</v>
      </c>
      <c r="F1" s="257" t="s">
        <v>65</v>
      </c>
      <c r="G1" s="257" t="s">
        <v>66</v>
      </c>
      <c r="H1" s="257" t="s">
        <v>67</v>
      </c>
      <c r="I1" s="257" t="s">
        <v>68</v>
      </c>
      <c r="J1" s="257" t="s">
        <v>69</v>
      </c>
      <c r="K1" s="257" t="s">
        <v>70</v>
      </c>
      <c r="L1" s="257" t="s">
        <v>71</v>
      </c>
      <c r="M1" s="257" t="s">
        <v>72</v>
      </c>
      <c r="N1" s="257" t="s">
        <v>73</v>
      </c>
      <c r="O1" s="257"/>
      <c r="P1" s="257"/>
      <c r="Q1" s="257"/>
      <c r="R1" s="257"/>
      <c r="S1" s="257"/>
      <c r="T1" s="257"/>
      <c r="U1" s="257"/>
      <c r="V1" s="257"/>
      <c r="W1" s="257" t="s">
        <v>73</v>
      </c>
      <c r="X1" s="257"/>
      <c r="Y1" s="257"/>
      <c r="Z1" s="257"/>
      <c r="AA1" s="257"/>
      <c r="AB1" s="257"/>
      <c r="AC1" s="257"/>
      <c r="AD1" s="257"/>
      <c r="AE1" s="257"/>
      <c r="AF1" s="257" t="s">
        <v>73</v>
      </c>
      <c r="AG1" s="257"/>
      <c r="AH1" s="257"/>
      <c r="AI1" s="257"/>
      <c r="AJ1" s="257"/>
      <c r="AK1" s="257"/>
      <c r="AL1" s="257"/>
      <c r="AM1" s="257"/>
      <c r="AN1" s="257"/>
      <c r="AO1" s="259" t="s">
        <v>74</v>
      </c>
      <c r="AP1" s="259"/>
      <c r="AQ1" s="259"/>
      <c r="AR1" s="259"/>
      <c r="AS1" s="259"/>
      <c r="AT1" s="259"/>
      <c r="AU1" s="259"/>
      <c r="AV1" s="259"/>
      <c r="AW1" s="259"/>
      <c r="AX1" s="259"/>
      <c r="AY1" s="259"/>
      <c r="AZ1" s="259"/>
      <c r="BA1" s="261" t="s">
        <v>75</v>
      </c>
      <c r="BB1" s="261"/>
      <c r="BC1" s="261"/>
      <c r="BD1" s="261"/>
      <c r="BE1" s="261"/>
      <c r="BF1" s="261"/>
      <c r="BG1" s="261"/>
      <c r="BH1" s="261"/>
      <c r="BI1" s="261"/>
      <c r="BJ1" s="261"/>
      <c r="BK1" s="261"/>
      <c r="BL1" s="261"/>
      <c r="BM1" s="262" t="s">
        <v>76</v>
      </c>
      <c r="BN1" s="262"/>
      <c r="BO1" s="262"/>
      <c r="BP1" s="262"/>
      <c r="BQ1" s="262"/>
      <c r="BR1" s="262"/>
      <c r="BS1" s="262"/>
      <c r="BT1" s="262"/>
      <c r="BU1" s="262"/>
      <c r="BV1" s="262"/>
      <c r="BW1" s="262"/>
      <c r="BX1" s="262"/>
    </row>
    <row r="2" spans="1:76">
      <c r="A2" s="257"/>
      <c r="B2" s="257"/>
      <c r="C2" s="257"/>
      <c r="D2" s="257"/>
      <c r="E2" s="257"/>
      <c r="F2" s="257"/>
      <c r="G2" s="257"/>
      <c r="H2" s="257"/>
      <c r="I2" s="257"/>
      <c r="J2" s="257"/>
      <c r="K2" s="257"/>
      <c r="L2" s="257"/>
      <c r="M2" s="257" t="str">
        <f>"("&amp;E2&amp;": "&amp;N2&amp;" "&amp;TEXT(O2,"##0,00%")&amp;" - "&amp;P2&amp;" "&amp;TEXT(Q2,"##0,00%")&amp;" - "&amp;R2&amp;" "&amp;TEXT(S2,"##0,00%")&amp;")"</f>
        <v>(: Integrante 1 % Int. 1 - NIT O CEDULA DE CIUDADANIA Integrante 2 - % Int. 2 NIT O CEDULA DE CIUDADANIA)</v>
      </c>
      <c r="N2" s="258" t="s">
        <v>77</v>
      </c>
      <c r="O2" s="258" t="s">
        <v>78</v>
      </c>
      <c r="P2" s="258" t="s">
        <v>79</v>
      </c>
      <c r="Q2" s="260" t="s">
        <v>80</v>
      </c>
      <c r="R2" s="260" t="s">
        <v>81</v>
      </c>
      <c r="S2" s="260" t="s">
        <v>79</v>
      </c>
      <c r="T2" s="256" t="s">
        <v>82</v>
      </c>
      <c r="U2" s="256" t="s">
        <v>83</v>
      </c>
      <c r="V2" s="256" t="s">
        <v>79</v>
      </c>
      <c r="W2" s="258" t="s">
        <v>84</v>
      </c>
      <c r="X2" s="258" t="s">
        <v>85</v>
      </c>
      <c r="Y2" s="258" t="s">
        <v>79</v>
      </c>
      <c r="Z2" s="260" t="s">
        <v>86</v>
      </c>
      <c r="AA2" s="260" t="s">
        <v>87</v>
      </c>
      <c r="AB2" s="260" t="s">
        <v>79</v>
      </c>
      <c r="AC2" s="256" t="s">
        <v>88</v>
      </c>
      <c r="AD2" s="256" t="s">
        <v>89</v>
      </c>
      <c r="AE2" s="256" t="s">
        <v>79</v>
      </c>
      <c r="AF2" s="258" t="s">
        <v>90</v>
      </c>
      <c r="AG2" s="258" t="s">
        <v>91</v>
      </c>
      <c r="AH2" s="258" t="s">
        <v>79</v>
      </c>
      <c r="AI2" s="260" t="s">
        <v>92</v>
      </c>
      <c r="AJ2" s="260" t="s">
        <v>93</v>
      </c>
      <c r="AK2" s="260" t="s">
        <v>79</v>
      </c>
      <c r="AL2" s="256" t="s">
        <v>94</v>
      </c>
      <c r="AM2" s="256" t="s">
        <v>95</v>
      </c>
      <c r="AN2" s="256" t="s">
        <v>79</v>
      </c>
      <c r="AO2" s="259" t="s">
        <v>96</v>
      </c>
      <c r="AP2" s="259"/>
      <c r="AQ2" s="259" t="s">
        <v>97</v>
      </c>
      <c r="AR2" s="259"/>
      <c r="AS2" s="259" t="s">
        <v>98</v>
      </c>
      <c r="AT2" s="259"/>
      <c r="AU2" s="259" t="s">
        <v>99</v>
      </c>
      <c r="AV2" s="259"/>
      <c r="AW2" s="259" t="s">
        <v>100</v>
      </c>
      <c r="AX2" s="259"/>
      <c r="AY2" s="259" t="s">
        <v>101</v>
      </c>
      <c r="AZ2" s="259"/>
      <c r="BA2" s="261" t="s">
        <v>96</v>
      </c>
      <c r="BB2" s="261"/>
      <c r="BC2" s="261" t="s">
        <v>97</v>
      </c>
      <c r="BD2" s="261"/>
      <c r="BE2" s="261" t="s">
        <v>98</v>
      </c>
      <c r="BF2" s="261"/>
      <c r="BG2" s="261" t="s">
        <v>99</v>
      </c>
      <c r="BH2" s="261"/>
      <c r="BI2" s="261" t="s">
        <v>100</v>
      </c>
      <c r="BJ2" s="261"/>
      <c r="BK2" s="261" t="s">
        <v>101</v>
      </c>
      <c r="BL2" s="261"/>
      <c r="BM2" s="262" t="s">
        <v>96</v>
      </c>
      <c r="BN2" s="262"/>
      <c r="BO2" s="262" t="s">
        <v>97</v>
      </c>
      <c r="BP2" s="262"/>
      <c r="BQ2" s="262" t="s">
        <v>98</v>
      </c>
      <c r="BR2" s="262"/>
      <c r="BS2" s="262" t="s">
        <v>99</v>
      </c>
      <c r="BT2" s="262"/>
      <c r="BU2" s="262" t="s">
        <v>100</v>
      </c>
      <c r="BV2" s="262"/>
      <c r="BW2" s="262" t="s">
        <v>101</v>
      </c>
      <c r="BX2" s="262"/>
    </row>
    <row r="3" spans="1:76" s="51" customFormat="1" ht="24">
      <c r="A3" s="257"/>
      <c r="B3" s="257"/>
      <c r="C3" s="257"/>
      <c r="D3" s="257"/>
      <c r="E3" s="257"/>
      <c r="F3" s="257"/>
      <c r="G3" s="257"/>
      <c r="H3" s="257"/>
      <c r="I3" s="257"/>
      <c r="J3" s="257"/>
      <c r="K3" s="257"/>
      <c r="L3" s="257"/>
      <c r="M3" s="257" t="str">
        <f>"("&amp;N3&amp;" "&amp;TEXT(O3,"##0,00%")&amp;" - "&amp;P3&amp;" "&amp;TEXT(Q3,"##0,00%")&amp;" - "&amp;R3&amp;" "&amp;TEXT(S3,"##0,00%")&amp;")"</f>
        <v>( 000% -  000% -  000%)</v>
      </c>
      <c r="N3" s="258"/>
      <c r="O3" s="258"/>
      <c r="P3" s="258"/>
      <c r="Q3" s="260"/>
      <c r="R3" s="260"/>
      <c r="S3" s="260"/>
      <c r="T3" s="256"/>
      <c r="U3" s="256"/>
      <c r="V3" s="256"/>
      <c r="W3" s="258"/>
      <c r="X3" s="258"/>
      <c r="Y3" s="258"/>
      <c r="Z3" s="260"/>
      <c r="AA3" s="260"/>
      <c r="AB3" s="260"/>
      <c r="AC3" s="256"/>
      <c r="AD3" s="256"/>
      <c r="AE3" s="256"/>
      <c r="AF3" s="258"/>
      <c r="AG3" s="258"/>
      <c r="AH3" s="258"/>
      <c r="AI3" s="260"/>
      <c r="AJ3" s="260"/>
      <c r="AK3" s="260"/>
      <c r="AL3" s="256"/>
      <c r="AM3" s="256"/>
      <c r="AN3" s="256"/>
      <c r="AO3" s="46" t="s">
        <v>102</v>
      </c>
      <c r="AP3" s="46" t="s">
        <v>103</v>
      </c>
      <c r="AQ3" s="46" t="s">
        <v>102</v>
      </c>
      <c r="AR3" s="46" t="s">
        <v>103</v>
      </c>
      <c r="AS3" s="46" t="s">
        <v>102</v>
      </c>
      <c r="AT3" s="46" t="s">
        <v>103</v>
      </c>
      <c r="AU3" s="46" t="s">
        <v>102</v>
      </c>
      <c r="AV3" s="46" t="s">
        <v>103</v>
      </c>
      <c r="AW3" s="46" t="s">
        <v>102</v>
      </c>
      <c r="AX3" s="46" t="s">
        <v>103</v>
      </c>
      <c r="AY3" s="46" t="s">
        <v>102</v>
      </c>
      <c r="AZ3" s="46" t="s">
        <v>103</v>
      </c>
      <c r="BA3" s="47" t="s">
        <v>102</v>
      </c>
      <c r="BB3" s="47" t="s">
        <v>103</v>
      </c>
      <c r="BC3" s="47" t="s">
        <v>102</v>
      </c>
      <c r="BD3" s="47" t="s">
        <v>103</v>
      </c>
      <c r="BE3" s="47" t="s">
        <v>102</v>
      </c>
      <c r="BF3" s="47" t="s">
        <v>103</v>
      </c>
      <c r="BG3" s="47" t="s">
        <v>102</v>
      </c>
      <c r="BH3" s="47" t="s">
        <v>103</v>
      </c>
      <c r="BI3" s="47" t="s">
        <v>102</v>
      </c>
      <c r="BJ3" s="47" t="s">
        <v>103</v>
      </c>
      <c r="BK3" s="47" t="s">
        <v>102</v>
      </c>
      <c r="BL3" s="47" t="s">
        <v>103</v>
      </c>
      <c r="BM3" s="48" t="s">
        <v>102</v>
      </c>
      <c r="BN3" s="48" t="s">
        <v>103</v>
      </c>
      <c r="BO3" s="48" t="s">
        <v>102</v>
      </c>
      <c r="BP3" s="48" t="s">
        <v>103</v>
      </c>
      <c r="BQ3" s="48" t="s">
        <v>102</v>
      </c>
      <c r="BR3" s="48" t="s">
        <v>103</v>
      </c>
      <c r="BS3" s="48" t="s">
        <v>102</v>
      </c>
      <c r="BT3" s="48" t="s">
        <v>103</v>
      </c>
      <c r="BU3" s="48" t="s">
        <v>102</v>
      </c>
      <c r="BV3" s="48" t="s">
        <v>103</v>
      </c>
      <c r="BW3" s="48" t="s">
        <v>102</v>
      </c>
      <c r="BX3" s="48" t="s">
        <v>103</v>
      </c>
    </row>
    <row r="4" spans="1:76" s="67" customFormat="1" ht="24" customHeight="1">
      <c r="A4" s="53">
        <v>1</v>
      </c>
      <c r="B4" s="52" t="str">
        <f>+General!$B$1</f>
        <v>FNA-VGHA-CM-004-2024</v>
      </c>
      <c r="C4" s="77" t="s">
        <v>183</v>
      </c>
      <c r="D4" s="53" t="s">
        <v>184</v>
      </c>
      <c r="E4" s="53"/>
      <c r="F4" s="68"/>
      <c r="G4" s="69"/>
      <c r="H4" s="69"/>
      <c r="I4" s="69"/>
      <c r="J4" s="70"/>
      <c r="K4" s="56"/>
      <c r="L4" s="54"/>
      <c r="M4" s="53" t="str">
        <f t="shared" ref="M4:M6" si="0">"("&amp;C4&amp;": "&amp;N4&amp;" "&amp;TEXT(O4,"##0,00%")&amp;" - "&amp;Q4&amp;" "&amp;TEXT(R4,"##0,00%")&amp;" - "&amp;T4&amp;" "&amp;TEXT(U4,"##0,00%")&amp;")"</f>
        <v>(ARTHUR J GALLAGHER CORREDORES DE SEGUROS S.A.:  000% -  000% -  000%)</v>
      </c>
      <c r="N4" s="64"/>
      <c r="O4" s="57"/>
      <c r="P4" s="43"/>
      <c r="Q4" s="44"/>
      <c r="R4" s="60"/>
      <c r="S4" s="45"/>
      <c r="T4" s="61"/>
      <c r="U4" s="62"/>
      <c r="V4" s="63"/>
      <c r="W4" s="42"/>
      <c r="X4" s="57"/>
      <c r="Y4" s="58"/>
      <c r="Z4" s="59"/>
      <c r="AA4" s="60"/>
      <c r="AB4" s="45"/>
      <c r="AC4" s="61"/>
      <c r="AD4" s="62"/>
      <c r="AE4" s="63"/>
      <c r="AF4" s="42"/>
      <c r="AG4" s="57"/>
      <c r="AH4" s="58"/>
      <c r="AI4" s="59"/>
      <c r="AJ4" s="60"/>
      <c r="AK4" s="45"/>
      <c r="AL4" s="61"/>
      <c r="AM4" s="62"/>
      <c r="AN4" s="63"/>
      <c r="AO4" s="64"/>
      <c r="AP4" s="65"/>
      <c r="AQ4" s="64"/>
      <c r="AR4" s="65"/>
      <c r="AS4" s="64"/>
      <c r="AT4" s="65"/>
      <c r="AU4" s="64"/>
      <c r="AV4" s="65"/>
      <c r="AW4" s="64"/>
      <c r="AX4" s="65"/>
      <c r="AY4" s="64"/>
      <c r="AZ4" s="65"/>
      <c r="BA4" s="44"/>
      <c r="BB4" s="45"/>
      <c r="BC4" s="44"/>
      <c r="BD4" s="45"/>
      <c r="BE4" s="44"/>
      <c r="BF4" s="45"/>
      <c r="BG4" s="44"/>
      <c r="BH4" s="45"/>
      <c r="BI4" s="44"/>
      <c r="BJ4" s="45"/>
      <c r="BK4" s="44"/>
      <c r="BL4" s="45"/>
      <c r="BM4" s="66"/>
      <c r="BN4" s="63"/>
      <c r="BO4" s="66"/>
      <c r="BP4" s="63"/>
      <c r="BQ4" s="66"/>
      <c r="BR4" s="63"/>
      <c r="BS4" s="66"/>
      <c r="BT4" s="63"/>
      <c r="BU4" s="63"/>
      <c r="BV4" s="63"/>
      <c r="BW4" s="66"/>
      <c r="BX4" s="63"/>
    </row>
    <row r="5" spans="1:76" s="67" customFormat="1" ht="24" customHeight="1">
      <c r="A5" s="53">
        <v>2</v>
      </c>
      <c r="B5" s="52" t="str">
        <f>+General!$B$1</f>
        <v>FNA-VGHA-CM-004-2024</v>
      </c>
      <c r="C5" s="77" t="s">
        <v>204</v>
      </c>
      <c r="D5" s="68" t="s">
        <v>205</v>
      </c>
      <c r="E5" s="53"/>
      <c r="F5" s="68"/>
      <c r="G5" s="55"/>
      <c r="H5" s="69"/>
      <c r="I5" s="69"/>
      <c r="J5" s="54"/>
      <c r="K5" s="56"/>
      <c r="L5" s="54"/>
      <c r="M5" s="53" t="str">
        <f t="shared" si="0"/>
        <v>(CORRECOL CORREDORES COLOMBIANOS DE SEGUROS CORREDORES DE SEGUROS S.A:  000% -  000% -  000%)</v>
      </c>
      <c r="N5" s="64"/>
      <c r="O5" s="57"/>
      <c r="P5" s="58"/>
      <c r="Q5" s="59"/>
      <c r="R5" s="60"/>
      <c r="S5" s="71"/>
      <c r="T5" s="61"/>
      <c r="U5" s="62"/>
      <c r="V5" s="63"/>
      <c r="W5" s="42"/>
      <c r="X5" s="57"/>
      <c r="Y5" s="58"/>
      <c r="Z5" s="59"/>
      <c r="AA5" s="60"/>
      <c r="AB5" s="71"/>
      <c r="AC5" s="61"/>
      <c r="AD5" s="62"/>
      <c r="AE5" s="63"/>
      <c r="AF5" s="42"/>
      <c r="AG5" s="57"/>
      <c r="AH5" s="58"/>
      <c r="AI5" s="59"/>
      <c r="AJ5" s="60"/>
      <c r="AK5" s="71"/>
      <c r="AL5" s="61"/>
      <c r="AM5" s="62"/>
      <c r="AN5" s="63"/>
      <c r="AO5" s="64"/>
      <c r="AP5" s="72"/>
      <c r="AQ5" s="64"/>
      <c r="AR5" s="65"/>
      <c r="AS5" s="64"/>
      <c r="AT5" s="65"/>
      <c r="AU5" s="64"/>
      <c r="AV5" s="65"/>
      <c r="AW5" s="64"/>
      <c r="AX5" s="65"/>
      <c r="AY5" s="64"/>
      <c r="AZ5" s="65"/>
      <c r="BA5" s="44"/>
      <c r="BB5" s="45"/>
      <c r="BC5" s="44"/>
      <c r="BD5" s="45"/>
      <c r="BE5" s="44"/>
      <c r="BF5" s="45"/>
      <c r="BG5" s="44"/>
      <c r="BH5" s="45"/>
      <c r="BI5" s="44"/>
      <c r="BJ5" s="45"/>
      <c r="BK5" s="44"/>
      <c r="BL5" s="45"/>
      <c r="BM5" s="66"/>
      <c r="BN5" s="63"/>
      <c r="BO5" s="66"/>
      <c r="BP5" s="63"/>
      <c r="BQ5" s="66"/>
      <c r="BR5" s="63"/>
      <c r="BS5" s="66"/>
      <c r="BT5" s="63"/>
      <c r="BU5" s="63"/>
      <c r="BV5" s="63"/>
      <c r="BW5" s="66"/>
      <c r="BX5" s="63"/>
    </row>
    <row r="6" spans="1:76" s="67" customFormat="1" ht="24" customHeight="1">
      <c r="A6" s="53">
        <v>3</v>
      </c>
      <c r="B6" s="52" t="str">
        <f>+General!$B$1</f>
        <v>FNA-VGHA-CM-004-2024</v>
      </c>
      <c r="C6" s="77" t="s">
        <v>247</v>
      </c>
      <c r="D6" s="53"/>
      <c r="E6" s="53"/>
      <c r="F6" s="68"/>
      <c r="G6" s="69"/>
      <c r="H6" s="69"/>
      <c r="I6" s="69"/>
      <c r="J6" s="70"/>
      <c r="K6" s="56"/>
      <c r="L6" s="54"/>
      <c r="M6" s="53" t="str">
        <f t="shared" si="0"/>
        <v>(UT PROSEGUROS-ITAU FNA-VGHA-CM-004-2024: PROSEGUROS CORREDORES DE SEGUROS S.A. 050% - ITAÚ CORREDOR DE SEGUROS COLOMBIA 050% -  000%)</v>
      </c>
      <c r="N6" s="64" t="s">
        <v>229</v>
      </c>
      <c r="O6" s="57">
        <v>0.5</v>
      </c>
      <c r="P6" s="43" t="s">
        <v>230</v>
      </c>
      <c r="Q6" s="44" t="s">
        <v>232</v>
      </c>
      <c r="R6" s="60">
        <v>0.5</v>
      </c>
      <c r="S6" s="45" t="s">
        <v>231</v>
      </c>
      <c r="T6" s="61"/>
      <c r="U6" s="62"/>
      <c r="V6" s="63"/>
      <c r="W6" s="42"/>
      <c r="X6" s="57"/>
      <c r="Y6" s="58"/>
      <c r="Z6" s="59"/>
      <c r="AA6" s="60"/>
      <c r="AB6" s="45"/>
      <c r="AC6" s="61"/>
      <c r="AD6" s="62"/>
      <c r="AE6" s="63"/>
      <c r="AF6" s="42"/>
      <c r="AG6" s="57"/>
      <c r="AH6" s="58"/>
      <c r="AI6" s="59"/>
      <c r="AJ6" s="60"/>
      <c r="AK6" s="45"/>
      <c r="AL6" s="61"/>
      <c r="AM6" s="62"/>
      <c r="AN6" s="63"/>
      <c r="AO6" s="64"/>
      <c r="AP6" s="65"/>
      <c r="AQ6" s="64"/>
      <c r="AR6" s="65"/>
      <c r="AS6" s="64"/>
      <c r="AT6" s="65"/>
      <c r="AU6" s="64"/>
      <c r="AV6" s="65"/>
      <c r="AW6" s="64"/>
      <c r="AX6" s="65"/>
      <c r="AY6" s="64"/>
      <c r="AZ6" s="65"/>
      <c r="BA6" s="44"/>
      <c r="BB6" s="45"/>
      <c r="BC6" s="44"/>
      <c r="BD6" s="45"/>
      <c r="BE6" s="44"/>
      <c r="BF6" s="45"/>
      <c r="BG6" s="44"/>
      <c r="BH6" s="45"/>
      <c r="BI6" s="44"/>
      <c r="BJ6" s="45"/>
      <c r="BK6" s="44"/>
      <c r="BL6" s="45"/>
      <c r="BM6" s="66"/>
      <c r="BN6" s="63"/>
      <c r="BO6" s="66"/>
      <c r="BP6" s="63"/>
      <c r="BQ6" s="66"/>
      <c r="BR6" s="63"/>
      <c r="BS6" s="66"/>
      <c r="BT6" s="63"/>
      <c r="BU6" s="63"/>
      <c r="BV6" s="63"/>
      <c r="BW6" s="66"/>
      <c r="BX6" s="63"/>
    </row>
  </sheetData>
  <sheetProtection selectLockedCells="1" selectUnlockedCells="1"/>
  <mergeCells count="64">
    <mergeCell ref="AF1:AN1"/>
    <mergeCell ref="AF2:AF3"/>
    <mergeCell ref="AG2:AG3"/>
    <mergeCell ref="AH2:AH3"/>
    <mergeCell ref="AI2:AI3"/>
    <mergeCell ref="AJ2:AJ3"/>
    <mergeCell ref="AK2:AK3"/>
    <mergeCell ref="AL2:AL3"/>
    <mergeCell ref="AM2:AM3"/>
    <mergeCell ref="AN2:AN3"/>
    <mergeCell ref="AA2:AA3"/>
    <mergeCell ref="AB2:AB3"/>
    <mergeCell ref="AC2:AC3"/>
    <mergeCell ref="AD2:AD3"/>
    <mergeCell ref="AE2:AE3"/>
    <mergeCell ref="BG2:BH2"/>
    <mergeCell ref="BI2:BJ2"/>
    <mergeCell ref="BA2:BB2"/>
    <mergeCell ref="BE2:BF2"/>
    <mergeCell ref="BO2:BP2"/>
    <mergeCell ref="BK2:BL2"/>
    <mergeCell ref="A1:A3"/>
    <mergeCell ref="C1:C3"/>
    <mergeCell ref="E1:E3"/>
    <mergeCell ref="M1:M3"/>
    <mergeCell ref="B1:B3"/>
    <mergeCell ref="D1:D3"/>
    <mergeCell ref="F1:F3"/>
    <mergeCell ref="L1:L3"/>
    <mergeCell ref="G1:G3"/>
    <mergeCell ref="H1:H3"/>
    <mergeCell ref="I1:I3"/>
    <mergeCell ref="BA1:BL1"/>
    <mergeCell ref="T2:T3"/>
    <mergeCell ref="AW2:AX2"/>
    <mergeCell ref="J1:J3"/>
    <mergeCell ref="BQ2:BR2"/>
    <mergeCell ref="AY2:AZ2"/>
    <mergeCell ref="BC2:BD2"/>
    <mergeCell ref="O2:O3"/>
    <mergeCell ref="BM1:BX1"/>
    <mergeCell ref="BW2:BX2"/>
    <mergeCell ref="BU2:BV2"/>
    <mergeCell ref="AO2:AP2"/>
    <mergeCell ref="AQ2:AR2"/>
    <mergeCell ref="AS2:AT2"/>
    <mergeCell ref="BM2:BN2"/>
    <mergeCell ref="BS2:BT2"/>
    <mergeCell ref="V2:V3"/>
    <mergeCell ref="K1:K3"/>
    <mergeCell ref="N1:V1"/>
    <mergeCell ref="N2:N3"/>
    <mergeCell ref="AO1:AZ1"/>
    <mergeCell ref="AU2:AV2"/>
    <mergeCell ref="P2:P3"/>
    <mergeCell ref="Q2:Q3"/>
    <mergeCell ref="R2:R3"/>
    <mergeCell ref="S2:S3"/>
    <mergeCell ref="U2:U3"/>
    <mergeCell ref="W1:AE1"/>
    <mergeCell ref="W2:W3"/>
    <mergeCell ref="X2:X3"/>
    <mergeCell ref="Y2:Y3"/>
    <mergeCell ref="Z2:Z3"/>
  </mergeCells>
  <phoneticPr fontId="0" type="noConversion"/>
  <printOptions horizontalCentered="1" verticalCentered="1"/>
  <pageMargins left="0.39370078740157483" right="0.39370078740157483" top="0.39370078740157483" bottom="0.39370078740157483" header="0.19685039370078741" footer="0.19685039370078741"/>
  <pageSetup paperSize="119" scale="14" orientation="landscape" r:id="rId1"/>
  <headerFooter alignWithMargins="0">
    <oddHeader>&amp;C&amp;"Verdana,Normal"&amp;8&amp;P de &amp;N</oddHeader>
    <oddFooter>&amp;L&amp;"Verdana,Normal"&amp;8Ing. Camilo BecerraIng. Johanna Gómez&amp;C&amp;F&amp;R&amp;A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130"/>
  <sheetViews>
    <sheetView tabSelected="1" topLeftCell="M68" zoomScale="85" workbookViewId="0">
      <selection activeCell="D137" sqref="D137"/>
    </sheetView>
  </sheetViews>
  <sheetFormatPr baseColWidth="10" defaultColWidth="12.42578125" defaultRowHeight="12.75" outlineLevelRow="1"/>
  <cols>
    <col min="1" max="1" width="5.140625" style="80" customWidth="1"/>
    <col min="2" max="2" width="9.5703125" style="84" customWidth="1"/>
    <col min="3" max="3" width="20" style="81" customWidth="1"/>
    <col min="4" max="4" width="13.85546875" style="81" customWidth="1"/>
    <col min="5" max="6" width="20.85546875" style="81" customWidth="1"/>
    <col min="7" max="7" width="19.28515625" style="82" customWidth="1"/>
    <col min="8" max="8" width="11.5703125" style="82" customWidth="1"/>
    <col min="9" max="9" width="17.85546875" style="174" customWidth="1"/>
    <col min="10" max="10" width="16" style="85" customWidth="1"/>
    <col min="11" max="11" width="18.7109375" style="83" customWidth="1"/>
    <col min="12" max="12" width="12" style="84" customWidth="1"/>
    <col min="13" max="13" width="12.5703125" style="80" customWidth="1"/>
    <col min="14" max="14" width="16.85546875" style="80" customWidth="1"/>
    <col min="15" max="15" width="96.28515625" style="80" customWidth="1"/>
    <col min="16" max="16" width="18.140625" style="80" bestFit="1" customWidth="1"/>
    <col min="17" max="17" width="15.28515625" style="80" bestFit="1" customWidth="1"/>
    <col min="18" max="18" width="19.7109375" style="80" customWidth="1"/>
    <col min="19" max="19" width="12.5703125" style="80" bestFit="1" customWidth="1"/>
    <col min="20" max="21" width="16.5703125" style="80" customWidth="1"/>
    <col min="22" max="16384" width="12.42578125" style="80"/>
  </cols>
  <sheetData>
    <row r="1" spans="1:19" s="79" customFormat="1" ht="30.75" customHeight="1">
      <c r="B1" s="297" t="str">
        <f>General!B2</f>
        <v>PRESTACIÓN DEL SERVICIO DE INTERMEDIACIÓN DE SEGUROS PARA ASESORAR DE MANERA INTEGRAL A LA ENTIDAD EN LA ADMINISTRACIÓN DE LOS RIESGOS, PROCESOS DE CONTRATACIÓN, GESTIÓN DE LOS ASPECTOS TÉCNICOS, ADMINISTRATIVOS, OPERATIVOS Y COMERCIALES DE LAS PÓLIZAS QUE INTEGRAN EL PROGRAMA DE SEGUROS DEUDORES EN EL CUAL EL FONDO NACIONAL DEL AHORRO ACTÚA COMO TOMADOR POR CUENTA DE SUS DEUDORES Y/O LOCATARIOS</v>
      </c>
      <c r="C1" s="297"/>
      <c r="D1" s="297"/>
      <c r="E1" s="297"/>
      <c r="F1" s="297"/>
      <c r="G1" s="297"/>
      <c r="H1" s="297"/>
      <c r="I1" s="297"/>
      <c r="J1" s="297"/>
      <c r="K1" s="297"/>
      <c r="L1" s="297"/>
      <c r="M1" s="298"/>
      <c r="N1" s="298"/>
      <c r="O1" s="298"/>
      <c r="P1" s="298"/>
      <c r="Q1" s="298"/>
      <c r="R1" s="298"/>
      <c r="S1" s="298"/>
    </row>
    <row r="2" spans="1:19" s="79" customFormat="1">
      <c r="B2" s="301" t="str">
        <f>General!B1</f>
        <v>FNA-VGHA-CM-004-2024</v>
      </c>
      <c r="C2" s="301"/>
      <c r="D2" s="301"/>
      <c r="E2" s="301"/>
      <c r="F2" s="301"/>
      <c r="G2" s="301"/>
      <c r="H2" s="301"/>
      <c r="I2" s="301"/>
      <c r="J2" s="301"/>
      <c r="K2" s="301"/>
      <c r="L2" s="301"/>
      <c r="M2" s="300"/>
      <c r="N2" s="300"/>
      <c r="O2" s="300"/>
      <c r="P2" s="300"/>
      <c r="Q2" s="300"/>
      <c r="R2" s="300"/>
      <c r="S2" s="300"/>
    </row>
    <row r="3" spans="1:19" s="79" customFormat="1">
      <c r="B3" s="299" t="s">
        <v>125</v>
      </c>
      <c r="C3" s="299"/>
      <c r="D3" s="299"/>
      <c r="E3" s="299"/>
      <c r="F3" s="299"/>
      <c r="G3" s="299"/>
      <c r="H3" s="299"/>
      <c r="I3" s="299"/>
      <c r="J3" s="299"/>
      <c r="K3" s="299"/>
      <c r="L3" s="299"/>
      <c r="M3" s="300"/>
      <c r="N3" s="300"/>
      <c r="O3" s="300"/>
      <c r="P3" s="300"/>
      <c r="Q3" s="300"/>
      <c r="R3" s="300"/>
      <c r="S3" s="300"/>
    </row>
    <row r="4" spans="1:19" ht="27.75" hidden="1" customHeight="1">
      <c r="A4" s="155" t="s">
        <v>177</v>
      </c>
      <c r="B4" s="155" t="s">
        <v>104</v>
      </c>
      <c r="C4" s="155" t="s">
        <v>141</v>
      </c>
      <c r="D4" s="302" t="s">
        <v>129</v>
      </c>
      <c r="E4" s="302"/>
      <c r="F4" s="155" t="s">
        <v>142</v>
      </c>
      <c r="G4" s="155" t="s">
        <v>128</v>
      </c>
      <c r="H4" s="155" t="s">
        <v>105</v>
      </c>
      <c r="I4" s="167" t="s">
        <v>126</v>
      </c>
      <c r="J4" s="155" t="s">
        <v>151</v>
      </c>
      <c r="K4" s="155" t="s">
        <v>130</v>
      </c>
    </row>
    <row r="5" spans="1:19" s="244" customFormat="1" ht="18.75" hidden="1" customHeight="1">
      <c r="A5" s="295" t="s">
        <v>178</v>
      </c>
      <c r="B5" s="239" t="s">
        <v>147</v>
      </c>
      <c r="C5" s="240" t="s">
        <v>148</v>
      </c>
      <c r="D5" s="296" t="s">
        <v>161</v>
      </c>
      <c r="E5" s="296"/>
      <c r="F5" s="296" t="s">
        <v>150</v>
      </c>
      <c r="G5" s="296" t="s">
        <v>154</v>
      </c>
      <c r="H5" s="241">
        <v>41894</v>
      </c>
      <c r="I5" s="303" t="s">
        <v>158</v>
      </c>
      <c r="J5" s="242">
        <v>6069</v>
      </c>
      <c r="K5" s="304" t="s">
        <v>157</v>
      </c>
      <c r="L5" s="243"/>
    </row>
    <row r="6" spans="1:19" s="244" customFormat="1" ht="18.75" hidden="1" customHeight="1">
      <c r="A6" s="295"/>
      <c r="B6" s="239" t="s">
        <v>153</v>
      </c>
      <c r="C6" s="240" t="s">
        <v>149</v>
      </c>
      <c r="D6" s="296"/>
      <c r="E6" s="296"/>
      <c r="F6" s="296"/>
      <c r="G6" s="296"/>
      <c r="H6" s="241"/>
      <c r="I6" s="303"/>
      <c r="J6" s="242">
        <v>4590</v>
      </c>
      <c r="K6" s="304"/>
      <c r="L6" s="243"/>
    </row>
    <row r="7" spans="1:19" s="244" customFormat="1" ht="18.75" hidden="1" customHeight="1">
      <c r="A7" s="295" t="s">
        <v>179</v>
      </c>
      <c r="B7" s="239" t="s">
        <v>147</v>
      </c>
      <c r="C7" s="240" t="s">
        <v>148</v>
      </c>
      <c r="D7" s="296"/>
      <c r="E7" s="296"/>
      <c r="F7" s="296"/>
      <c r="G7" s="296" t="s">
        <v>131</v>
      </c>
      <c r="H7" s="241"/>
      <c r="I7" s="303"/>
      <c r="J7" s="242">
        <v>4656</v>
      </c>
      <c r="K7" s="304"/>
      <c r="L7" s="243"/>
    </row>
    <row r="8" spans="1:19" s="244" customFormat="1" ht="18.75" hidden="1" customHeight="1">
      <c r="A8" s="295"/>
      <c r="B8" s="239" t="s">
        <v>153</v>
      </c>
      <c r="C8" s="240" t="s">
        <v>149</v>
      </c>
      <c r="D8" s="296"/>
      <c r="E8" s="296"/>
      <c r="F8" s="296"/>
      <c r="G8" s="296"/>
      <c r="H8" s="241"/>
      <c r="I8" s="303"/>
      <c r="J8" s="242">
        <v>1631</v>
      </c>
      <c r="K8" s="304"/>
      <c r="L8" s="243"/>
    </row>
    <row r="9" spans="1:19" customFormat="1" hidden="1">
      <c r="B9" s="176"/>
      <c r="I9" s="168"/>
      <c r="L9" s="176"/>
    </row>
    <row r="10" spans="1:19" s="246" customFormat="1" ht="28.5" hidden="1" customHeight="1">
      <c r="B10" s="247" t="s">
        <v>106</v>
      </c>
      <c r="C10" s="247" t="s">
        <v>146</v>
      </c>
      <c r="D10" s="247" t="s">
        <v>121</v>
      </c>
      <c r="E10" s="247" t="s">
        <v>107</v>
      </c>
      <c r="F10" s="247" t="s">
        <v>108</v>
      </c>
      <c r="G10" s="247" t="s">
        <v>127</v>
      </c>
      <c r="H10" s="249" t="s">
        <v>156</v>
      </c>
      <c r="I10" s="248" t="s">
        <v>306</v>
      </c>
      <c r="J10" s="247" t="s">
        <v>109</v>
      </c>
      <c r="K10" s="247" t="s">
        <v>123</v>
      </c>
      <c r="L10" s="247" t="s">
        <v>113</v>
      </c>
      <c r="M10" s="247" t="s">
        <v>110</v>
      </c>
      <c r="N10" s="247" t="s">
        <v>111</v>
      </c>
      <c r="O10" s="247" t="s">
        <v>112</v>
      </c>
    </row>
    <row r="11" spans="1:19" ht="29.25" customHeight="1">
      <c r="A11" s="294" t="s">
        <v>144</v>
      </c>
      <c r="B11" s="156" t="s">
        <v>60</v>
      </c>
      <c r="C11" s="156">
        <v>1</v>
      </c>
      <c r="D11" s="156" t="s">
        <v>52</v>
      </c>
      <c r="E11" s="157" t="str">
        <f>VLOOKUP(C11,Directorio!$A$4:$V$6,3,FALSE)</f>
        <v>ARTHUR J GALLAGHER CORREDORES DE SEGUROS S.A.</v>
      </c>
      <c r="F11" s="158"/>
      <c r="G11" s="158"/>
      <c r="H11" s="159" t="str">
        <f>+VLOOKUP(C11,Directorio!$A$1:$M$6,13,0)</f>
        <v>(ARTHUR J GALLAGHER CORREDORES DE SEGUROS S.A.:  000% -  000% -  000%)</v>
      </c>
      <c r="I11" s="169"/>
      <c r="J11" s="160"/>
      <c r="K11" s="160"/>
      <c r="L11" s="177"/>
      <c r="M11" s="160"/>
      <c r="N11" s="161" t="s">
        <v>120</v>
      </c>
      <c r="O11" s="201" t="s">
        <v>122</v>
      </c>
    </row>
    <row r="12" spans="1:19" s="84" customFormat="1" ht="25.5" customHeight="1" outlineLevel="1">
      <c r="A12" s="294"/>
      <c r="B12" s="144" t="s">
        <v>106</v>
      </c>
      <c r="C12" s="144" t="s">
        <v>146</v>
      </c>
      <c r="D12" s="144" t="s">
        <v>121</v>
      </c>
      <c r="E12" s="144" t="s">
        <v>107</v>
      </c>
      <c r="F12" s="144" t="s">
        <v>108</v>
      </c>
      <c r="G12" s="144" t="s">
        <v>127</v>
      </c>
      <c r="H12" s="144" t="s">
        <v>156</v>
      </c>
      <c r="I12" s="170" t="s">
        <v>143</v>
      </c>
      <c r="J12" s="144" t="s">
        <v>109</v>
      </c>
      <c r="K12" s="144" t="s">
        <v>123</v>
      </c>
      <c r="L12" s="144" t="s">
        <v>113</v>
      </c>
      <c r="M12" s="144" t="s">
        <v>110</v>
      </c>
      <c r="N12" s="144" t="s">
        <v>111</v>
      </c>
      <c r="O12" s="144" t="s">
        <v>112</v>
      </c>
    </row>
    <row r="13" spans="1:19" ht="55.5" customHeight="1" outlineLevel="1">
      <c r="A13" s="294"/>
      <c r="B13" s="84">
        <v>1</v>
      </c>
      <c r="C13" s="87" t="s">
        <v>185</v>
      </c>
      <c r="D13" s="92">
        <v>1</v>
      </c>
      <c r="E13" s="88" t="s">
        <v>183</v>
      </c>
      <c r="F13" s="89" t="s">
        <v>190</v>
      </c>
      <c r="G13" s="87" t="s">
        <v>186</v>
      </c>
      <c r="H13" s="90">
        <v>45107</v>
      </c>
      <c r="I13" s="171">
        <f>8605829231+89479895+2581920</f>
        <v>8697891046</v>
      </c>
      <c r="J13" s="126">
        <f>IF(H13&gt;0,VLOOKUP(YEAR(H13),SMMLV!A:B,2,FALSE),0)</f>
        <v>1160000</v>
      </c>
      <c r="K13" s="93">
        <f>IF(AND(H13&gt;=$H$5,I13&gt;0),I13/J13*D13,0)</f>
        <v>7498.1819362068964</v>
      </c>
      <c r="L13" s="94">
        <v>41</v>
      </c>
      <c r="M13" s="88">
        <v>84131600</v>
      </c>
      <c r="N13" s="97" t="s">
        <v>187</v>
      </c>
      <c r="O13" s="96" t="s">
        <v>188</v>
      </c>
    </row>
    <row r="14" spans="1:19" ht="12.75" customHeight="1" outlineLevel="1">
      <c r="A14" s="294"/>
      <c r="B14" s="84">
        <v>2</v>
      </c>
      <c r="C14" s="87"/>
      <c r="D14" s="92"/>
      <c r="E14" s="88"/>
      <c r="F14" s="89"/>
      <c r="G14" s="87"/>
      <c r="H14" s="90"/>
      <c r="I14" s="172"/>
      <c r="J14" s="91">
        <f>IF(H14&gt;0,VLOOKUP(YEAR(H14),SMMLV!A:B,2,FALSE),0)</f>
        <v>0</v>
      </c>
      <c r="K14" s="93">
        <f t="shared" ref="K14" si="0">IF(AND(H14&gt;=$H$5,I14&gt;0),I14/J14*D14,0)</f>
        <v>0</v>
      </c>
      <c r="L14" s="94"/>
      <c r="M14" s="88"/>
      <c r="N14" s="97"/>
      <c r="O14" s="95"/>
    </row>
    <row r="15" spans="1:19" ht="12.75" customHeight="1" outlineLevel="1">
      <c r="A15" s="294"/>
      <c r="B15" s="237"/>
      <c r="C15" s="103"/>
      <c r="D15" s="100"/>
      <c r="E15" s="103"/>
      <c r="F15" s="103"/>
      <c r="G15" s="103"/>
      <c r="H15" s="103"/>
      <c r="I15" s="173">
        <f>SUM(I13:I14)</f>
        <v>8697891046</v>
      </c>
      <c r="J15" s="102"/>
      <c r="K15" s="98">
        <f>SUM(K13:K14)</f>
        <v>7498.1819362068964</v>
      </c>
      <c r="L15" s="178"/>
      <c r="M15" s="98"/>
      <c r="N15" s="98"/>
      <c r="O15" s="99"/>
    </row>
    <row r="16" spans="1:19" s="84" customFormat="1" ht="30.75" customHeight="1" outlineLevel="1">
      <c r="A16" s="294"/>
      <c r="B16" s="144" t="s">
        <v>106</v>
      </c>
      <c r="C16" s="144" t="s">
        <v>159</v>
      </c>
      <c r="D16" s="144" t="s">
        <v>121</v>
      </c>
      <c r="E16" s="144" t="s">
        <v>107</v>
      </c>
      <c r="F16" s="144" t="s">
        <v>108</v>
      </c>
      <c r="G16" s="144" t="s">
        <v>127</v>
      </c>
      <c r="H16" s="144" t="s">
        <v>155</v>
      </c>
      <c r="I16" s="170" t="s">
        <v>145</v>
      </c>
      <c r="J16" s="144" t="s">
        <v>109</v>
      </c>
      <c r="K16" s="144" t="s">
        <v>123</v>
      </c>
      <c r="L16" s="144" t="s">
        <v>113</v>
      </c>
      <c r="M16" s="144" t="s">
        <v>110</v>
      </c>
      <c r="N16" s="144" t="s">
        <v>111</v>
      </c>
      <c r="O16" s="144" t="s">
        <v>112</v>
      </c>
    </row>
    <row r="17" spans="1:15" ht="12.75" customHeight="1" outlineLevel="1">
      <c r="A17" s="294"/>
      <c r="B17" s="84">
        <v>1</v>
      </c>
      <c r="C17" s="87" t="s">
        <v>189</v>
      </c>
      <c r="D17" s="92">
        <v>1</v>
      </c>
      <c r="E17" s="88" t="s">
        <v>183</v>
      </c>
      <c r="F17" s="89" t="s">
        <v>190</v>
      </c>
      <c r="G17" s="87" t="s">
        <v>186</v>
      </c>
      <c r="H17" s="90">
        <v>45237</v>
      </c>
      <c r="I17" s="171">
        <v>4992052821</v>
      </c>
      <c r="J17" s="126">
        <f>IF(H17&gt;0,VLOOKUP(YEAR(H17),SMMLV!A:B,2,FALSE),0)</f>
        <v>1160000</v>
      </c>
      <c r="K17" s="93">
        <f t="shared" ref="K17:K19" si="1">IF(AND(H17&gt;=$H$5,I17&gt;0),I17/J17*D17,0)</f>
        <v>4303.4938112068967</v>
      </c>
      <c r="L17" s="94">
        <v>18</v>
      </c>
      <c r="M17" s="88">
        <v>84131600</v>
      </c>
      <c r="N17" s="97" t="s">
        <v>187</v>
      </c>
      <c r="O17" s="96" t="s">
        <v>191</v>
      </c>
    </row>
    <row r="18" spans="1:15" ht="12.75" customHeight="1" outlineLevel="1">
      <c r="A18" s="294"/>
      <c r="B18" s="84">
        <v>2</v>
      </c>
      <c r="C18" s="87" t="s">
        <v>185</v>
      </c>
      <c r="D18" s="92">
        <v>1</v>
      </c>
      <c r="E18" s="88" t="s">
        <v>183</v>
      </c>
      <c r="F18" s="89" t="s">
        <v>190</v>
      </c>
      <c r="G18" s="87" t="s">
        <v>186</v>
      </c>
      <c r="H18" s="90">
        <v>44438</v>
      </c>
      <c r="I18" s="172">
        <v>7182218446</v>
      </c>
      <c r="J18" s="91">
        <f>IF(H18&gt;0,VLOOKUP(YEAR(H18),SMMLV!A:B,2,FALSE),0)</f>
        <v>908526</v>
      </c>
      <c r="K18" s="93">
        <f t="shared" si="1"/>
        <v>7905.3526767533349</v>
      </c>
      <c r="L18" s="94">
        <v>41</v>
      </c>
      <c r="M18" s="88">
        <v>84131600</v>
      </c>
      <c r="N18" s="97"/>
      <c r="O18" s="95"/>
    </row>
    <row r="19" spans="1:15" ht="12.75" customHeight="1" outlineLevel="1">
      <c r="A19" s="294"/>
      <c r="B19" s="84">
        <v>3</v>
      </c>
      <c r="C19" s="87"/>
      <c r="D19" s="92"/>
      <c r="E19" s="88"/>
      <c r="F19" s="89"/>
      <c r="G19" s="87"/>
      <c r="H19" s="90"/>
      <c r="I19" s="172"/>
      <c r="J19" s="91">
        <f>IF(H19&gt;0,VLOOKUP(YEAR(H19),SMMLV!A:B,2,FALSE),0)</f>
        <v>0</v>
      </c>
      <c r="K19" s="93">
        <f t="shared" si="1"/>
        <v>0</v>
      </c>
      <c r="L19" s="94"/>
      <c r="M19" s="88"/>
      <c r="N19" s="97"/>
      <c r="O19" s="95"/>
    </row>
    <row r="20" spans="1:15">
      <c r="A20" s="294"/>
      <c r="B20" s="237"/>
      <c r="C20" s="103"/>
      <c r="D20" s="100"/>
      <c r="E20" s="103"/>
      <c r="F20" s="103"/>
      <c r="G20" s="103"/>
      <c r="H20" s="103"/>
      <c r="I20" s="173">
        <f>SUM(I17:I19)</f>
        <v>12174271267</v>
      </c>
      <c r="J20" s="102"/>
      <c r="K20" s="98">
        <f>SUM(K17:K19)</f>
        <v>12208.846487960232</v>
      </c>
      <c r="L20" s="178"/>
      <c r="M20" s="98"/>
      <c r="N20" s="98"/>
      <c r="O20" s="99"/>
    </row>
    <row r="21" spans="1:15">
      <c r="J21" s="83"/>
      <c r="K21" s="80"/>
    </row>
    <row r="22" spans="1:15" ht="24" customHeight="1">
      <c r="A22" s="294" t="s">
        <v>152</v>
      </c>
      <c r="B22" s="86" t="s">
        <v>60</v>
      </c>
      <c r="C22" s="86">
        <f>+C11</f>
        <v>1</v>
      </c>
      <c r="D22" s="86" t="s">
        <v>52</v>
      </c>
      <c r="E22" s="142" t="str">
        <f>VLOOKUP(C22,Directorio!$A$4:$V$6,3,FALSE)</f>
        <v>ARTHUR J GALLAGHER CORREDORES DE SEGUROS S.A.</v>
      </c>
      <c r="F22" s="143"/>
      <c r="G22" s="143"/>
      <c r="H22" s="154" t="str">
        <f>+VLOOKUP(C22,Directorio!$A$1:$M$6,13,0)</f>
        <v>(ARTHUR J GALLAGHER CORREDORES DE SEGUROS S.A.:  000% -  000% -  000%)</v>
      </c>
      <c r="I22" s="175"/>
      <c r="J22" s="116"/>
      <c r="K22" s="116"/>
      <c r="L22" s="165"/>
      <c r="M22" s="116"/>
      <c r="N22" s="117" t="s">
        <v>120</v>
      </c>
      <c r="O22" s="202" t="s">
        <v>192</v>
      </c>
    </row>
    <row r="23" spans="1:15" s="84" customFormat="1" ht="25.5" hidden="1" customHeight="1" outlineLevel="1">
      <c r="A23" s="294"/>
      <c r="B23" s="144" t="s">
        <v>106</v>
      </c>
      <c r="C23" s="144" t="s">
        <v>146</v>
      </c>
      <c r="D23" s="144" t="s">
        <v>121</v>
      </c>
      <c r="E23" s="144" t="s">
        <v>107</v>
      </c>
      <c r="F23" s="144" t="s">
        <v>108</v>
      </c>
      <c r="G23" s="144" t="s">
        <v>127</v>
      </c>
      <c r="H23" s="144" t="s">
        <v>156</v>
      </c>
      <c r="I23" s="170" t="s">
        <v>143</v>
      </c>
      <c r="J23" s="144" t="s">
        <v>109</v>
      </c>
      <c r="K23" s="144" t="s">
        <v>123</v>
      </c>
      <c r="L23" s="144" t="s">
        <v>113</v>
      </c>
      <c r="M23" s="144" t="s">
        <v>110</v>
      </c>
      <c r="N23" s="144" t="s">
        <v>111</v>
      </c>
      <c r="O23" s="144" t="s">
        <v>112</v>
      </c>
    </row>
    <row r="24" spans="1:15" ht="12.75" hidden="1" customHeight="1" outlineLevel="1">
      <c r="A24" s="294"/>
      <c r="B24" s="84">
        <v>1</v>
      </c>
      <c r="C24" s="87"/>
      <c r="D24" s="92"/>
      <c r="E24" s="88"/>
      <c r="F24" s="89"/>
      <c r="G24" s="87"/>
      <c r="H24" s="90"/>
      <c r="I24" s="171"/>
      <c r="J24" s="126">
        <f>IF(H24&gt;0,VLOOKUP(YEAR(H24),SMMLV!A:B,2,FALSE),0)</f>
        <v>0</v>
      </c>
      <c r="K24" s="93">
        <f t="shared" ref="K24:K28" si="2">IF(AND(H24&gt;=$H$5,I24&gt;0),I24/J24*D24,0)</f>
        <v>0</v>
      </c>
      <c r="L24" s="94"/>
      <c r="M24" s="88"/>
      <c r="N24" s="97"/>
      <c r="O24" s="96"/>
    </row>
    <row r="25" spans="1:15" ht="12.75" hidden="1" customHeight="1" outlineLevel="1">
      <c r="A25" s="294"/>
      <c r="B25" s="84">
        <v>2</v>
      </c>
      <c r="C25" s="87"/>
      <c r="D25" s="92"/>
      <c r="E25" s="88"/>
      <c r="F25" s="89"/>
      <c r="G25" s="87"/>
      <c r="H25" s="90"/>
      <c r="I25" s="172"/>
      <c r="J25" s="91">
        <f>IF(H25&gt;0,VLOOKUP(YEAR(H25),SMMLV!A:B,2,FALSE),0)</f>
        <v>0</v>
      </c>
      <c r="K25" s="93">
        <f t="shared" si="2"/>
        <v>0</v>
      </c>
      <c r="L25" s="94"/>
      <c r="M25" s="88"/>
      <c r="N25" s="97"/>
      <c r="O25" s="95"/>
    </row>
    <row r="26" spans="1:15" ht="12.75" hidden="1" customHeight="1" outlineLevel="1">
      <c r="A26" s="294"/>
      <c r="B26" s="84">
        <v>3</v>
      </c>
      <c r="C26" s="87"/>
      <c r="D26" s="92"/>
      <c r="E26" s="88"/>
      <c r="F26" s="89"/>
      <c r="G26" s="87"/>
      <c r="H26" s="90"/>
      <c r="I26" s="172"/>
      <c r="J26" s="91">
        <f>IF(H26&gt;0,VLOOKUP(YEAR(H26),SMMLV!A:B,2,FALSE),0)</f>
        <v>0</v>
      </c>
      <c r="K26" s="93">
        <f t="shared" si="2"/>
        <v>0</v>
      </c>
      <c r="L26" s="94"/>
      <c r="M26" s="88"/>
      <c r="N26" s="97"/>
      <c r="O26" s="95"/>
    </row>
    <row r="27" spans="1:15" ht="12.75" hidden="1" customHeight="1" outlineLevel="1">
      <c r="A27" s="294"/>
      <c r="B27" s="84">
        <v>4</v>
      </c>
      <c r="C27" s="87"/>
      <c r="D27" s="92"/>
      <c r="E27" s="88"/>
      <c r="F27" s="89"/>
      <c r="G27" s="87"/>
      <c r="H27" s="90"/>
      <c r="I27" s="172"/>
      <c r="J27" s="91">
        <f>IF(H27&gt;0,VLOOKUP(YEAR(H27),SMMLV!A:B,2,FALSE),0)</f>
        <v>0</v>
      </c>
      <c r="K27" s="93">
        <f t="shared" si="2"/>
        <v>0</v>
      </c>
      <c r="L27" s="94"/>
      <c r="M27" s="88"/>
      <c r="N27" s="97"/>
      <c r="O27" s="95"/>
    </row>
    <row r="28" spans="1:15" ht="12.75" hidden="1" customHeight="1" outlineLevel="1">
      <c r="A28" s="294"/>
      <c r="B28" s="84">
        <v>5</v>
      </c>
      <c r="C28" s="87"/>
      <c r="D28" s="92"/>
      <c r="E28" s="88"/>
      <c r="F28" s="89"/>
      <c r="G28" s="87"/>
      <c r="H28" s="90"/>
      <c r="I28" s="172"/>
      <c r="J28" s="91">
        <f>IF(H28&gt;0,VLOOKUP(YEAR(H28),SMMLV!A:B,2,FALSE),0)</f>
        <v>0</v>
      </c>
      <c r="K28" s="93">
        <f t="shared" si="2"/>
        <v>0</v>
      </c>
      <c r="L28" s="94"/>
      <c r="M28" s="88"/>
      <c r="N28" s="97"/>
      <c r="O28" s="95"/>
    </row>
    <row r="29" spans="1:15" ht="12.75" hidden="1" customHeight="1" outlineLevel="1">
      <c r="A29" s="294"/>
      <c r="B29" s="237"/>
      <c r="C29" s="103"/>
      <c r="D29" s="100"/>
      <c r="E29" s="103"/>
      <c r="F29" s="103"/>
      <c r="G29" s="103"/>
      <c r="H29" s="103"/>
      <c r="I29" s="173">
        <f>SUM(I24:I28)</f>
        <v>0</v>
      </c>
      <c r="J29" s="102"/>
      <c r="K29" s="98">
        <f>SUM(K24:K28)</f>
        <v>0</v>
      </c>
      <c r="L29" s="178"/>
      <c r="M29" s="98"/>
      <c r="N29" s="98"/>
      <c r="O29" s="99"/>
    </row>
    <row r="30" spans="1:15" s="84" customFormat="1" ht="30.75" hidden="1" customHeight="1" outlineLevel="1">
      <c r="A30" s="294"/>
      <c r="B30" s="144" t="s">
        <v>106</v>
      </c>
      <c r="C30" s="144" t="s">
        <v>159</v>
      </c>
      <c r="D30" s="144" t="s">
        <v>121</v>
      </c>
      <c r="E30" s="144" t="s">
        <v>107</v>
      </c>
      <c r="F30" s="144" t="s">
        <v>108</v>
      </c>
      <c r="G30" s="144" t="s">
        <v>127</v>
      </c>
      <c r="H30" s="144" t="s">
        <v>155</v>
      </c>
      <c r="I30" s="170" t="s">
        <v>145</v>
      </c>
      <c r="J30" s="144" t="s">
        <v>109</v>
      </c>
      <c r="K30" s="144" t="s">
        <v>123</v>
      </c>
      <c r="L30" s="144" t="s">
        <v>113</v>
      </c>
      <c r="M30" s="144" t="s">
        <v>110</v>
      </c>
      <c r="N30" s="144" t="s">
        <v>111</v>
      </c>
      <c r="O30" s="144" t="s">
        <v>112</v>
      </c>
    </row>
    <row r="31" spans="1:15" ht="12.75" hidden="1" customHeight="1" outlineLevel="1">
      <c r="A31" s="294"/>
      <c r="B31" s="84">
        <v>1</v>
      </c>
      <c r="C31" s="87"/>
      <c r="D31" s="92"/>
      <c r="E31" s="88"/>
      <c r="F31" s="89"/>
      <c r="G31" s="87"/>
      <c r="H31" s="90"/>
      <c r="I31" s="171"/>
      <c r="J31" s="126">
        <f>IF(H31&gt;0,VLOOKUP(YEAR(H31),SMMLV!A:B,2,FALSE),0)</f>
        <v>0</v>
      </c>
      <c r="K31" s="93">
        <f t="shared" ref="K31:K35" si="3">IF(AND(H31&gt;=$H$5,I31&gt;0),I31/J31*D31,0)</f>
        <v>0</v>
      </c>
      <c r="L31" s="94"/>
      <c r="M31" s="88"/>
      <c r="N31" s="97"/>
      <c r="O31" s="96"/>
    </row>
    <row r="32" spans="1:15" ht="12.75" hidden="1" customHeight="1" outlineLevel="1">
      <c r="A32" s="294"/>
      <c r="B32" s="84">
        <v>2</v>
      </c>
      <c r="C32" s="87"/>
      <c r="D32" s="92"/>
      <c r="E32" s="88"/>
      <c r="F32" s="89"/>
      <c r="G32" s="87"/>
      <c r="H32" s="90"/>
      <c r="I32" s="172"/>
      <c r="J32" s="91">
        <f>IF(H32&gt;0,VLOOKUP(YEAR(H32),SMMLV!A:B,2,FALSE),0)</f>
        <v>0</v>
      </c>
      <c r="K32" s="93">
        <f t="shared" si="3"/>
        <v>0</v>
      </c>
      <c r="L32" s="94"/>
      <c r="M32" s="88"/>
      <c r="N32" s="97"/>
      <c r="O32" s="95"/>
    </row>
    <row r="33" spans="1:19" ht="12.75" hidden="1" customHeight="1" outlineLevel="1">
      <c r="A33" s="294"/>
      <c r="B33" s="84">
        <v>3</v>
      </c>
      <c r="C33" s="87"/>
      <c r="D33" s="92"/>
      <c r="E33" s="88"/>
      <c r="F33" s="89"/>
      <c r="G33" s="87"/>
      <c r="H33" s="90"/>
      <c r="I33" s="172"/>
      <c r="J33" s="91">
        <f>IF(H33&gt;0,VLOOKUP(YEAR(H33),SMMLV!A:B,2,FALSE),0)</f>
        <v>0</v>
      </c>
      <c r="K33" s="93">
        <f t="shared" si="3"/>
        <v>0</v>
      </c>
      <c r="L33" s="94"/>
      <c r="M33" s="88"/>
      <c r="N33" s="97"/>
      <c r="O33" s="95"/>
    </row>
    <row r="34" spans="1:19" ht="12.75" hidden="1" customHeight="1" outlineLevel="1">
      <c r="A34" s="294"/>
      <c r="B34" s="84">
        <v>4</v>
      </c>
      <c r="C34" s="87"/>
      <c r="D34" s="92"/>
      <c r="E34" s="88"/>
      <c r="F34" s="89"/>
      <c r="G34" s="87"/>
      <c r="H34" s="90"/>
      <c r="I34" s="172"/>
      <c r="J34" s="91">
        <f>IF(H34&gt;0,VLOOKUP(YEAR(H34),SMMLV!A:B,2,FALSE),0)</f>
        <v>0</v>
      </c>
      <c r="K34" s="93">
        <f t="shared" si="3"/>
        <v>0</v>
      </c>
      <c r="L34" s="94"/>
      <c r="M34" s="88"/>
      <c r="N34" s="97"/>
      <c r="O34" s="95"/>
    </row>
    <row r="35" spans="1:19" ht="12.75" hidden="1" customHeight="1" outlineLevel="1">
      <c r="A35" s="294"/>
      <c r="B35" s="84">
        <v>5</v>
      </c>
      <c r="C35" s="87"/>
      <c r="D35" s="92"/>
      <c r="E35" s="88"/>
      <c r="F35" s="89"/>
      <c r="G35" s="87"/>
      <c r="H35" s="90"/>
      <c r="I35" s="172"/>
      <c r="J35" s="91">
        <f>IF(H35&gt;0,VLOOKUP(YEAR(H35),SMMLV!A:B,2,FALSE),0)</f>
        <v>0</v>
      </c>
      <c r="K35" s="93">
        <f t="shared" si="3"/>
        <v>0</v>
      </c>
      <c r="L35" s="94"/>
      <c r="M35" s="88"/>
      <c r="N35" s="97"/>
      <c r="O35" s="95"/>
    </row>
    <row r="36" spans="1:19" collapsed="1">
      <c r="A36" s="294"/>
      <c r="B36" s="237"/>
      <c r="C36" s="103"/>
      <c r="D36" s="100"/>
      <c r="E36" s="103"/>
      <c r="F36" s="103"/>
      <c r="G36" s="103"/>
      <c r="H36" s="103"/>
      <c r="I36" s="173">
        <f>SUM(I31:I35)</f>
        <v>0</v>
      </c>
      <c r="J36" s="102"/>
      <c r="K36" s="98">
        <f>SUM(K31:K35)</f>
        <v>0</v>
      </c>
      <c r="L36" s="178"/>
      <c r="M36" s="98"/>
      <c r="N36" s="98"/>
      <c r="O36" s="99"/>
    </row>
    <row r="37" spans="1:19">
      <c r="J37" s="83"/>
      <c r="K37" s="80"/>
    </row>
    <row r="38" spans="1:19" ht="29.25" customHeight="1">
      <c r="A38" s="294" t="s">
        <v>144</v>
      </c>
      <c r="B38" s="86" t="s">
        <v>60</v>
      </c>
      <c r="C38" s="86">
        <v>2</v>
      </c>
      <c r="D38" s="86" t="s">
        <v>52</v>
      </c>
      <c r="E38" s="142" t="str">
        <f>VLOOKUP(C38,Directorio!$A$4:$V$6,3,FALSE)</f>
        <v>CORRECOL CORREDORES COLOMBIANOS DE SEGUROS CORREDORES DE SEGUROS S.A</v>
      </c>
      <c r="F38" s="143"/>
      <c r="G38" s="143"/>
      <c r="H38" s="154" t="str">
        <f>+VLOOKUP(C38,Directorio!$A$1:$M$6,13,0)</f>
        <v>(CORRECOL CORREDORES COLOMBIANOS DE SEGUROS CORREDORES DE SEGUROS S.A:  000% -  000% -  000%)</v>
      </c>
      <c r="I38" s="175"/>
      <c r="J38" s="116"/>
      <c r="K38" s="116"/>
      <c r="L38" s="165"/>
      <c r="M38" s="116"/>
      <c r="N38" s="117" t="s">
        <v>120</v>
      </c>
      <c r="O38" s="202" t="s">
        <v>122</v>
      </c>
    </row>
    <row r="39" spans="1:19" s="84" customFormat="1" ht="25.5" customHeight="1" outlineLevel="1">
      <c r="A39" s="294"/>
      <c r="B39" s="144" t="s">
        <v>106</v>
      </c>
      <c r="C39" s="144" t="s">
        <v>146</v>
      </c>
      <c r="D39" s="144" t="s">
        <v>121</v>
      </c>
      <c r="E39" s="144" t="s">
        <v>107</v>
      </c>
      <c r="F39" s="144" t="s">
        <v>108</v>
      </c>
      <c r="G39" s="144" t="s">
        <v>127</v>
      </c>
      <c r="H39" s="144" t="s">
        <v>156</v>
      </c>
      <c r="I39" s="170" t="s">
        <v>143</v>
      </c>
      <c r="J39" s="144" t="s">
        <v>109</v>
      </c>
      <c r="K39" s="144" t="s">
        <v>123</v>
      </c>
      <c r="L39" s="144" t="s">
        <v>113</v>
      </c>
      <c r="M39" s="144" t="s">
        <v>110</v>
      </c>
      <c r="N39" s="144" t="s">
        <v>111</v>
      </c>
      <c r="O39" s="144" t="s">
        <v>112</v>
      </c>
    </row>
    <row r="40" spans="1:19" outlineLevel="1">
      <c r="A40" s="294"/>
      <c r="B40" s="266">
        <v>1</v>
      </c>
      <c r="C40" s="270" t="s">
        <v>203</v>
      </c>
      <c r="D40" s="92">
        <v>0.4</v>
      </c>
      <c r="E40" s="273" t="s">
        <v>207</v>
      </c>
      <c r="F40" s="270" t="s">
        <v>206</v>
      </c>
      <c r="G40" s="270" t="s">
        <v>186</v>
      </c>
      <c r="H40" s="90">
        <v>43037</v>
      </c>
      <c r="I40" s="171">
        <f>902943556</f>
        <v>902943556</v>
      </c>
      <c r="J40" s="126">
        <f>IF(H40&gt;0,VLOOKUP(YEAR(H40),SMMLV!A:B,2,FALSE),0)</f>
        <v>737717</v>
      </c>
      <c r="K40" s="93">
        <f t="shared" ref="K40:K44" si="4">IF(AND(H40&gt;=$H$5,I40&gt;0),I40/J40*D40,0)</f>
        <v>489.58804311138283</v>
      </c>
      <c r="L40" s="279">
        <v>80</v>
      </c>
      <c r="M40" s="273">
        <v>84131600</v>
      </c>
      <c r="N40" s="263" t="s">
        <v>187</v>
      </c>
      <c r="O40" s="291" t="s">
        <v>208</v>
      </c>
      <c r="P40" s="179">
        <f>+SUM(I40:I43)</f>
        <v>4600771465</v>
      </c>
      <c r="Q40" s="180">
        <f>+P40*D40</f>
        <v>1840308586</v>
      </c>
      <c r="R40" s="180">
        <v>1840308586</v>
      </c>
      <c r="S40" s="180">
        <f>+Q40-R40</f>
        <v>0</v>
      </c>
    </row>
    <row r="41" spans="1:19" outlineLevel="1">
      <c r="A41" s="294"/>
      <c r="B41" s="267"/>
      <c r="C41" s="271"/>
      <c r="D41" s="92">
        <v>0.4</v>
      </c>
      <c r="E41" s="274"/>
      <c r="F41" s="271"/>
      <c r="G41" s="271"/>
      <c r="H41" s="90">
        <v>43402</v>
      </c>
      <c r="I41" s="172">
        <f>1248566857</f>
        <v>1248566857</v>
      </c>
      <c r="J41" s="91">
        <f>IF(H41&gt;0,VLOOKUP(YEAR(H41),SMMLV!A:B,2,FALSE),0)</f>
        <v>781242</v>
      </c>
      <c r="K41" s="93">
        <f t="shared" si="4"/>
        <v>639.2727769372359</v>
      </c>
      <c r="L41" s="280"/>
      <c r="M41" s="274"/>
      <c r="N41" s="264"/>
      <c r="O41" s="292"/>
    </row>
    <row r="42" spans="1:19" outlineLevel="1">
      <c r="A42" s="294"/>
      <c r="B42" s="267"/>
      <c r="C42" s="271"/>
      <c r="D42" s="92">
        <v>0.4</v>
      </c>
      <c r="E42" s="274"/>
      <c r="F42" s="271"/>
      <c r="G42" s="271"/>
      <c r="H42" s="90">
        <v>43767</v>
      </c>
      <c r="I42" s="172">
        <f>1719192854</f>
        <v>1719192854</v>
      </c>
      <c r="J42" s="91">
        <f>IF(H42&gt;0,VLOOKUP(YEAR(H42),SMMLV!A:B,2,FALSE),0)</f>
        <v>828116</v>
      </c>
      <c r="K42" s="93">
        <f t="shared" si="4"/>
        <v>830.41161093373398</v>
      </c>
      <c r="L42" s="280"/>
      <c r="M42" s="274"/>
      <c r="N42" s="264"/>
      <c r="O42" s="292"/>
    </row>
    <row r="43" spans="1:19" outlineLevel="1">
      <c r="A43" s="294"/>
      <c r="B43" s="267"/>
      <c r="C43" s="272"/>
      <c r="D43" s="92">
        <v>0.4</v>
      </c>
      <c r="E43" s="275"/>
      <c r="F43" s="272"/>
      <c r="G43" s="272"/>
      <c r="H43" s="90">
        <v>43921</v>
      </c>
      <c r="I43" s="172">
        <v>730068198</v>
      </c>
      <c r="J43" s="91">
        <f>IF(H43&gt;0,VLOOKUP(YEAR(H43),SMMLV!A:B,2,FALSE),0)</f>
        <v>877802</v>
      </c>
      <c r="K43" s="93">
        <f t="shared" si="4"/>
        <v>332.68012513072426</v>
      </c>
      <c r="L43" s="281"/>
      <c r="M43" s="275"/>
      <c r="N43" s="265"/>
      <c r="O43" s="293"/>
    </row>
    <row r="44" spans="1:19" outlineLevel="1">
      <c r="A44" s="294"/>
      <c r="B44" s="267">
        <v>2</v>
      </c>
      <c r="C44" s="270" t="s">
        <v>209</v>
      </c>
      <c r="D44" s="92">
        <v>0.7</v>
      </c>
      <c r="E44" s="273" t="s">
        <v>210</v>
      </c>
      <c r="F44" s="270" t="s">
        <v>206</v>
      </c>
      <c r="G44" s="270" t="s">
        <v>211</v>
      </c>
      <c r="H44" s="90">
        <v>42613</v>
      </c>
      <c r="I44" s="172">
        <f>14686123+36138363+58516416+5293523+561667812+36720000</f>
        <v>713022237</v>
      </c>
      <c r="J44" s="91">
        <f>IF(H44&gt;0,VLOOKUP(YEAR(H44),SMMLV!A:B,2,FALSE),0)</f>
        <v>689454</v>
      </c>
      <c r="K44" s="93">
        <f t="shared" si="4"/>
        <v>723.92874056862377</v>
      </c>
      <c r="L44" s="279">
        <v>74</v>
      </c>
      <c r="M44" s="273">
        <v>84131600</v>
      </c>
      <c r="N44" s="263" t="s">
        <v>122</v>
      </c>
      <c r="O44" s="291" t="s">
        <v>212</v>
      </c>
      <c r="P44" s="179">
        <f>+SUM(I44:I45)</f>
        <v>1528230701</v>
      </c>
      <c r="Q44" s="180">
        <f>+P44*D44</f>
        <v>1069761490.6999999</v>
      </c>
      <c r="R44" s="180">
        <v>1014207814</v>
      </c>
      <c r="S44" s="180">
        <f>+Q44-R44</f>
        <v>55553676.699999928</v>
      </c>
    </row>
    <row r="45" spans="1:19" outlineLevel="1">
      <c r="A45" s="294"/>
      <c r="B45" s="267"/>
      <c r="C45" s="272"/>
      <c r="D45" s="92">
        <v>0.7</v>
      </c>
      <c r="E45" s="275"/>
      <c r="F45" s="272"/>
      <c r="G45" s="272"/>
      <c r="H45" s="90">
        <v>42978</v>
      </c>
      <c r="I45" s="172">
        <f>12446322+24382737+1955119+39218851+491499757+30888000+4647959+5676509+2372580+93692141+2285882+2372580+93692141+2372580+4000000+3705306</f>
        <v>815208464</v>
      </c>
      <c r="J45" s="91">
        <f>IF(H45&gt;0,VLOOKUP(YEAR(H45),SMMLV!A:B,2,FALSE),0)</f>
        <v>737717</v>
      </c>
      <c r="K45" s="93">
        <f t="shared" ref="K45:K47" si="5">IF(AND(H45&gt;=$H$5,I45&gt;0),I45/J45*D45,0)</f>
        <v>773.52958492213122</v>
      </c>
      <c r="L45" s="281"/>
      <c r="M45" s="275"/>
      <c r="N45" s="265"/>
      <c r="O45" s="293"/>
      <c r="P45" s="83"/>
      <c r="Q45" s="83"/>
      <c r="R45" s="83"/>
      <c r="S45" s="83"/>
    </row>
    <row r="46" spans="1:19" outlineLevel="1">
      <c r="A46" s="294"/>
      <c r="B46" s="267">
        <v>3</v>
      </c>
      <c r="C46" s="270" t="s">
        <v>215</v>
      </c>
      <c r="D46" s="92">
        <v>0.75</v>
      </c>
      <c r="E46" s="270" t="s">
        <v>213</v>
      </c>
      <c r="F46" s="270" t="s">
        <v>206</v>
      </c>
      <c r="G46" s="270" t="s">
        <v>186</v>
      </c>
      <c r="H46" s="90">
        <v>42481</v>
      </c>
      <c r="I46" s="172">
        <f>268599511+110081767+13246003</f>
        <v>391927281</v>
      </c>
      <c r="J46" s="91">
        <f>IF(H46&gt;0,VLOOKUP(YEAR(H46),SMMLV!A:B,2,FALSE),0)</f>
        <v>689454</v>
      </c>
      <c r="K46" s="93">
        <f t="shared" si="5"/>
        <v>426.34528300655302</v>
      </c>
      <c r="L46" s="270">
        <v>64</v>
      </c>
      <c r="M46" s="270">
        <v>84131600</v>
      </c>
      <c r="N46" s="270" t="s">
        <v>122</v>
      </c>
      <c r="O46" s="270" t="s">
        <v>214</v>
      </c>
      <c r="P46" s="179">
        <f>+SUM(I46:I47)</f>
        <v>893072432</v>
      </c>
      <c r="Q46" s="180">
        <f>+P46*D46</f>
        <v>669804324</v>
      </c>
      <c r="R46" s="180">
        <v>669804324</v>
      </c>
      <c r="S46" s="180">
        <f>+Q46-R46</f>
        <v>0</v>
      </c>
    </row>
    <row r="47" spans="1:19" outlineLevel="1">
      <c r="A47" s="294"/>
      <c r="B47" s="267"/>
      <c r="C47" s="272"/>
      <c r="D47" s="92">
        <v>0.75</v>
      </c>
      <c r="E47" s="272"/>
      <c r="F47" s="272"/>
      <c r="G47" s="272"/>
      <c r="H47" s="90">
        <v>43013</v>
      </c>
      <c r="I47" s="172">
        <f>316750774+51200810+103594997+14799285+14799285</f>
        <v>501145151</v>
      </c>
      <c r="J47" s="91">
        <f>IF(H47&gt;0,VLOOKUP(YEAR(H47),SMMLV!A:B,2,FALSE),0)</f>
        <v>737717</v>
      </c>
      <c r="K47" s="93">
        <f t="shared" si="5"/>
        <v>509.48922588201168</v>
      </c>
      <c r="L47" s="272"/>
      <c r="M47" s="272"/>
      <c r="N47" s="272"/>
      <c r="O47" s="272"/>
      <c r="P47" s="83"/>
      <c r="Q47" s="83"/>
      <c r="R47" s="83"/>
      <c r="S47" s="83"/>
    </row>
    <row r="48" spans="1:19" outlineLevel="1">
      <c r="A48" s="294"/>
      <c r="B48" s="267">
        <v>4</v>
      </c>
      <c r="C48" s="270" t="s">
        <v>216</v>
      </c>
      <c r="D48" s="92">
        <v>1</v>
      </c>
      <c r="E48" s="270" t="s">
        <v>204</v>
      </c>
      <c r="F48" s="270" t="s">
        <v>206</v>
      </c>
      <c r="G48" s="270" t="s">
        <v>186</v>
      </c>
      <c r="H48" s="90">
        <v>45291</v>
      </c>
      <c r="I48" s="172">
        <v>675222548</v>
      </c>
      <c r="J48" s="91">
        <f>IF(H48&gt;0,VLOOKUP(YEAR(H48),SMMLV!A:B,2,FALSE),0)</f>
        <v>1160000</v>
      </c>
      <c r="K48" s="93">
        <f t="shared" ref="K48:K56" si="6">IF(AND(H48&gt;=$H$5,I48&gt;0),I48/J48*D48,0)</f>
        <v>582.08840344827581</v>
      </c>
      <c r="L48" s="279">
        <v>45</v>
      </c>
      <c r="M48" s="273">
        <v>84131600</v>
      </c>
      <c r="N48" s="263" t="s">
        <v>187</v>
      </c>
      <c r="O48" s="270" t="s">
        <v>217</v>
      </c>
      <c r="P48" s="179">
        <f>+SUM(I48:I50)</f>
        <v>1415101165</v>
      </c>
      <c r="Q48" s="180">
        <f>+P48*D48</f>
        <v>1415101165</v>
      </c>
      <c r="R48" s="180">
        <v>1415101165</v>
      </c>
      <c r="S48" s="180">
        <f>+Q48-R48</f>
        <v>0</v>
      </c>
    </row>
    <row r="49" spans="1:19" outlineLevel="1">
      <c r="A49" s="294"/>
      <c r="B49" s="267"/>
      <c r="C49" s="271"/>
      <c r="D49" s="92">
        <v>1</v>
      </c>
      <c r="E49" s="271"/>
      <c r="F49" s="271"/>
      <c r="G49" s="271"/>
      <c r="H49" s="90">
        <v>44926</v>
      </c>
      <c r="I49" s="172">
        <v>440893880</v>
      </c>
      <c r="J49" s="91">
        <f>IF(H49&gt;0,VLOOKUP(YEAR(H49),SMMLV!A:B,2,FALSE),0)</f>
        <v>1000000</v>
      </c>
      <c r="K49" s="93">
        <f t="shared" ref="K49" si="7">IF(AND(H49&gt;=$H$5,I49&gt;0),I49/J49*D49,0)</f>
        <v>440.89388000000002</v>
      </c>
      <c r="L49" s="280"/>
      <c r="M49" s="274"/>
      <c r="N49" s="264"/>
      <c r="O49" s="271"/>
      <c r="P49" s="83"/>
      <c r="Q49" s="83"/>
      <c r="R49" s="83"/>
      <c r="S49" s="83"/>
    </row>
    <row r="50" spans="1:19" outlineLevel="1">
      <c r="A50" s="294"/>
      <c r="B50" s="267"/>
      <c r="C50" s="272"/>
      <c r="D50" s="92">
        <v>1</v>
      </c>
      <c r="E50" s="272"/>
      <c r="F50" s="272"/>
      <c r="G50" s="272"/>
      <c r="H50" s="90">
        <v>44561</v>
      </c>
      <c r="I50" s="172">
        <v>298984737</v>
      </c>
      <c r="J50" s="91">
        <f>IF(H50&gt;0,VLOOKUP(YEAR(H50),SMMLV!A:B,2,FALSE),0)</f>
        <v>908526</v>
      </c>
      <c r="K50" s="93">
        <f t="shared" si="6"/>
        <v>329.08770580038436</v>
      </c>
      <c r="L50" s="281"/>
      <c r="M50" s="275"/>
      <c r="N50" s="265"/>
      <c r="O50" s="272"/>
    </row>
    <row r="51" spans="1:19" outlineLevel="1">
      <c r="A51" s="294"/>
      <c r="B51" s="270">
        <v>5</v>
      </c>
      <c r="C51" s="270" t="s">
        <v>218</v>
      </c>
      <c r="D51" s="92">
        <v>1</v>
      </c>
      <c r="E51" s="270" t="s">
        <v>204</v>
      </c>
      <c r="F51" s="270" t="s">
        <v>206</v>
      </c>
      <c r="G51" s="270" t="s">
        <v>186</v>
      </c>
      <c r="H51" s="90">
        <v>43312</v>
      </c>
      <c r="I51" s="172">
        <f>59462211+114319980</f>
        <v>173782191</v>
      </c>
      <c r="J51" s="91">
        <f>IF(H51&gt;0,VLOOKUP(YEAR(H51),SMMLV!A:B,2,FALSE),0)</f>
        <v>781242</v>
      </c>
      <c r="K51" s="93">
        <f t="shared" ref="K51" si="8">IF(AND(H51&gt;=$H$5,I51&gt;0),I51/J51*D51,0)</f>
        <v>222.44348230125877</v>
      </c>
      <c r="L51" s="270">
        <v>68</v>
      </c>
      <c r="M51" s="270">
        <v>84131600</v>
      </c>
      <c r="N51" s="270" t="s">
        <v>122</v>
      </c>
      <c r="O51" s="270" t="s">
        <v>219</v>
      </c>
      <c r="P51" s="179">
        <f>+SUM(I51:I55)</f>
        <v>1076204692</v>
      </c>
      <c r="Q51" s="180">
        <f>+P51*D51</f>
        <v>1076204692</v>
      </c>
      <c r="R51" s="180">
        <v>1076204692</v>
      </c>
      <c r="S51" s="180">
        <f>+Q51-R51</f>
        <v>0</v>
      </c>
    </row>
    <row r="52" spans="1:19" outlineLevel="1">
      <c r="A52" s="294"/>
      <c r="B52" s="271"/>
      <c r="C52" s="271"/>
      <c r="D52" s="92">
        <v>1</v>
      </c>
      <c r="E52" s="271"/>
      <c r="F52" s="271"/>
      <c r="G52" s="271"/>
      <c r="H52" s="90">
        <v>43831</v>
      </c>
      <c r="I52" s="172">
        <f>12438519+73962714+30890526+39002250+21078028+42277042</f>
        <v>219649079</v>
      </c>
      <c r="J52" s="91">
        <f>IF(H52&gt;0,VLOOKUP(YEAR(H52),SMMLV!A:B,2,FALSE),0)</f>
        <v>877802</v>
      </c>
      <c r="K52" s="93">
        <f t="shared" si="6"/>
        <v>250.22622299789703</v>
      </c>
      <c r="L52" s="271"/>
      <c r="M52" s="271"/>
      <c r="N52" s="271"/>
      <c r="O52" s="271"/>
    </row>
    <row r="53" spans="1:19" outlineLevel="1">
      <c r="A53" s="294"/>
      <c r="B53" s="271"/>
      <c r="C53" s="271"/>
      <c r="D53" s="92">
        <v>1</v>
      </c>
      <c r="E53" s="271"/>
      <c r="F53" s="271"/>
      <c r="G53" s="271"/>
      <c r="H53" s="90">
        <v>44440</v>
      </c>
      <c r="I53" s="172">
        <f>5425287+71097108+32694543+27369616+67856138+41619721+21569974+6775988</f>
        <v>274408375</v>
      </c>
      <c r="J53" s="91">
        <f>IF(H53&gt;0,VLOOKUP(YEAR(H53),SMMLV!A:B,2,FALSE),0)</f>
        <v>908526</v>
      </c>
      <c r="K53" s="93">
        <f t="shared" ref="K53" si="9">IF(AND(H53&gt;=$H$5,I53&gt;0),I53/J53*D53,0)</f>
        <v>302.03689822855921</v>
      </c>
      <c r="L53" s="271"/>
      <c r="M53" s="271"/>
      <c r="N53" s="271"/>
      <c r="O53" s="271"/>
    </row>
    <row r="54" spans="1:19" outlineLevel="1">
      <c r="A54" s="294"/>
      <c r="B54" s="271"/>
      <c r="C54" s="271"/>
      <c r="D54" s="92">
        <v>1</v>
      </c>
      <c r="E54" s="271"/>
      <c r="F54" s="271"/>
      <c r="G54" s="271"/>
      <c r="H54" s="90">
        <v>44713</v>
      </c>
      <c r="I54" s="172">
        <f>21569976+41619722+67856138+6775988+67754918+35816218+24016600+5133666</f>
        <v>270543226</v>
      </c>
      <c r="J54" s="91">
        <f>IF(H54&gt;0,VLOOKUP(YEAR(H54),SMMLV!A:B,2,FALSE),0)</f>
        <v>1000000</v>
      </c>
      <c r="K54" s="93">
        <f t="shared" si="6"/>
        <v>270.543226</v>
      </c>
      <c r="L54" s="271"/>
      <c r="M54" s="271"/>
      <c r="N54" s="271"/>
      <c r="O54" s="271"/>
    </row>
    <row r="55" spans="1:19" outlineLevel="1">
      <c r="A55" s="294"/>
      <c r="B55" s="272"/>
      <c r="C55" s="272"/>
      <c r="D55" s="92">
        <v>1</v>
      </c>
      <c r="E55" s="272"/>
      <c r="F55" s="272"/>
      <c r="G55" s="272"/>
      <c r="H55" s="90">
        <v>44837</v>
      </c>
      <c r="I55" s="172">
        <f>21569974+41619722+67856137+6775988</f>
        <v>137821821</v>
      </c>
      <c r="J55" s="91">
        <f>IF(H55&gt;0,VLOOKUP(YEAR(H55),SMMLV!A:B,2,FALSE),0)</f>
        <v>1000000</v>
      </c>
      <c r="K55" s="93">
        <f t="shared" ref="K55" si="10">IF(AND(H55&gt;=$H$5,I55&gt;0),I55/J55*D55,0)</f>
        <v>137.821821</v>
      </c>
      <c r="L55" s="272"/>
      <c r="M55" s="272"/>
      <c r="N55" s="272"/>
      <c r="O55" s="272"/>
    </row>
    <row r="56" spans="1:19" ht="12.75" customHeight="1" outlineLevel="1">
      <c r="A56" s="294"/>
      <c r="C56" s="87"/>
      <c r="D56" s="92"/>
      <c r="E56" s="88"/>
      <c r="F56" s="89"/>
      <c r="G56" s="87"/>
      <c r="H56" s="90"/>
      <c r="I56" s="172"/>
      <c r="J56" s="91">
        <f>IF(H56&gt;0,VLOOKUP(YEAR(H56),SMMLV!A:B,2,FALSE),0)</f>
        <v>0</v>
      </c>
      <c r="K56" s="93">
        <f t="shared" si="6"/>
        <v>0</v>
      </c>
      <c r="L56" s="94"/>
      <c r="M56" s="88"/>
      <c r="N56" s="97"/>
      <c r="O56" s="95"/>
    </row>
    <row r="57" spans="1:19" ht="12.75" customHeight="1" outlineLevel="1">
      <c r="A57" s="294"/>
      <c r="B57" s="237"/>
      <c r="C57" s="103"/>
      <c r="D57" s="100"/>
      <c r="E57" s="103"/>
      <c r="F57" s="103"/>
      <c r="G57" s="103"/>
      <c r="H57" s="103"/>
      <c r="I57" s="173">
        <f>SUM(I40:I56)</f>
        <v>9513380455</v>
      </c>
      <c r="J57" s="102"/>
      <c r="K57" s="98">
        <f>SUM(K40:K56)</f>
        <v>7260.3870302687701</v>
      </c>
      <c r="L57" s="178"/>
      <c r="M57" s="98"/>
      <c r="N57" s="98"/>
      <c r="O57" s="99"/>
    </row>
    <row r="58" spans="1:19" s="84" customFormat="1" ht="30.75" customHeight="1" outlineLevel="1">
      <c r="A58" s="294"/>
      <c r="B58" s="144" t="s">
        <v>106</v>
      </c>
      <c r="C58" s="144" t="s">
        <v>159</v>
      </c>
      <c r="D58" s="144" t="s">
        <v>121</v>
      </c>
      <c r="E58" s="144" t="s">
        <v>107</v>
      </c>
      <c r="F58" s="144" t="s">
        <v>108</v>
      </c>
      <c r="G58" s="144" t="s">
        <v>127</v>
      </c>
      <c r="H58" s="144" t="s">
        <v>155</v>
      </c>
      <c r="I58" s="170" t="s">
        <v>145</v>
      </c>
      <c r="J58" s="144" t="s">
        <v>109</v>
      </c>
      <c r="K58" s="144" t="s">
        <v>123</v>
      </c>
      <c r="L58" s="144" t="s">
        <v>113</v>
      </c>
      <c r="M58" s="144" t="s">
        <v>110</v>
      </c>
      <c r="N58" s="144" t="s">
        <v>111</v>
      </c>
      <c r="O58" s="144" t="s">
        <v>112</v>
      </c>
    </row>
    <row r="59" spans="1:19" outlineLevel="1">
      <c r="A59" s="294"/>
      <c r="B59" s="266">
        <v>1</v>
      </c>
      <c r="C59" s="270" t="s">
        <v>220</v>
      </c>
      <c r="D59" s="219">
        <v>1</v>
      </c>
      <c r="E59" s="273" t="s">
        <v>204</v>
      </c>
      <c r="F59" s="270" t="s">
        <v>221</v>
      </c>
      <c r="G59" s="270" t="s">
        <v>305</v>
      </c>
      <c r="H59" s="90">
        <v>43465</v>
      </c>
      <c r="I59" s="174">
        <v>303949582</v>
      </c>
      <c r="J59" s="126">
        <f>IF(H59&gt;0,VLOOKUP(YEAR(H59),SMMLV!A:B,2,FALSE),0)</f>
        <v>781242</v>
      </c>
      <c r="K59" s="93">
        <f>IF(AND(H59&gt;=$H$5,I59&gt;0),I59/J59*D59,0)</f>
        <v>389.05944892875704</v>
      </c>
      <c r="L59" s="94"/>
      <c r="M59" s="88"/>
      <c r="N59" s="263" t="s">
        <v>122</v>
      </c>
      <c r="O59" s="96" t="s">
        <v>307</v>
      </c>
    </row>
    <row r="60" spans="1:19" outlineLevel="1">
      <c r="A60" s="294"/>
      <c r="B60" s="267"/>
      <c r="C60" s="271"/>
      <c r="D60" s="219">
        <v>1</v>
      </c>
      <c r="E60" s="274"/>
      <c r="F60" s="271"/>
      <c r="G60" s="271"/>
      <c r="H60" s="90">
        <v>43830</v>
      </c>
      <c r="I60" s="174">
        <v>9953834</v>
      </c>
      <c r="J60" s="126">
        <f>IF(H60&gt;0,VLOOKUP(YEAR(H60),SMMLV!A:B,2,FALSE),0)</f>
        <v>828116</v>
      </c>
      <c r="K60" s="93">
        <f>IF(AND(H60&gt;=$H$5,I60&gt;0),I60/J60*D60,0)</f>
        <v>12.019854706345487</v>
      </c>
      <c r="L60" s="94"/>
      <c r="M60" s="88"/>
      <c r="N60" s="264"/>
      <c r="O60" s="96"/>
    </row>
    <row r="61" spans="1:19" outlineLevel="1">
      <c r="A61" s="294"/>
      <c r="B61" s="267"/>
      <c r="C61" s="271"/>
      <c r="D61" s="92">
        <v>1</v>
      </c>
      <c r="E61" s="274"/>
      <c r="F61" s="271"/>
      <c r="G61" s="271"/>
      <c r="H61" s="90">
        <v>44196</v>
      </c>
      <c r="I61" s="174">
        <v>38520000</v>
      </c>
      <c r="J61" s="126">
        <f>IF(H61&gt;0,VLOOKUP(YEAR(H61),SMMLV!A:B,2,FALSE),0)</f>
        <v>877802</v>
      </c>
      <c r="K61" s="93">
        <f t="shared" ref="K61" si="11">IF(AND(H61&gt;=$H$5,I61&gt;0),I61/J61*D61,0)</f>
        <v>43.882333373585389</v>
      </c>
      <c r="L61" s="94"/>
      <c r="M61" s="88"/>
      <c r="N61" s="264"/>
      <c r="O61" s="96"/>
    </row>
    <row r="62" spans="1:19" outlineLevel="1">
      <c r="A62" s="294"/>
      <c r="B62" s="267"/>
      <c r="C62" s="271"/>
      <c r="D62" s="92">
        <v>1</v>
      </c>
      <c r="E62" s="274"/>
      <c r="F62" s="271"/>
      <c r="G62" s="271"/>
      <c r="H62" s="90">
        <v>44561</v>
      </c>
      <c r="I62" s="174">
        <v>3892709564</v>
      </c>
      <c r="J62" s="126">
        <f>IF(H62&gt;0,VLOOKUP(YEAR(H62),SMMLV!A:B,2,FALSE),0)</f>
        <v>908526</v>
      </c>
      <c r="K62" s="93">
        <f>IF(AND(H62&gt;=$H$5,I62&gt;0),I62/J62*D62,0)</f>
        <v>4284.6429975586834</v>
      </c>
      <c r="L62" s="94"/>
      <c r="M62" s="88"/>
      <c r="N62" s="264"/>
      <c r="O62" s="96"/>
    </row>
    <row r="63" spans="1:19" outlineLevel="1">
      <c r="A63" s="294"/>
      <c r="B63" s="267"/>
      <c r="C63" s="271"/>
      <c r="D63" s="219">
        <v>1</v>
      </c>
      <c r="E63" s="274"/>
      <c r="F63" s="271"/>
      <c r="G63" s="271"/>
      <c r="H63" s="90">
        <v>44926</v>
      </c>
      <c r="I63" s="174">
        <v>2420690102</v>
      </c>
      <c r="J63" s="126">
        <f>IF(H63&gt;0,VLOOKUP(YEAR(H63),SMMLV!A:B,2,FALSE),0)</f>
        <v>1000000</v>
      </c>
      <c r="K63" s="93">
        <f>IF(AND(H63&gt;=$H$5,I63&gt;0),I63/J63*D63,0)</f>
        <v>2420.690102</v>
      </c>
      <c r="L63" s="94"/>
      <c r="M63" s="88"/>
      <c r="N63" s="264"/>
      <c r="O63" s="96"/>
    </row>
    <row r="64" spans="1:19" outlineLevel="1">
      <c r="A64" s="294"/>
      <c r="B64" s="267"/>
      <c r="C64" s="272"/>
      <c r="D64" s="92">
        <v>1</v>
      </c>
      <c r="E64" s="275"/>
      <c r="F64" s="272"/>
      <c r="G64" s="272"/>
      <c r="H64" s="90">
        <v>45291</v>
      </c>
      <c r="I64" s="174">
        <v>2728884308</v>
      </c>
      <c r="J64" s="126">
        <f>IF(H64&gt;0,VLOOKUP(YEAR(H64),SMMLV!A:B,2,FALSE),0)</f>
        <v>1160000</v>
      </c>
      <c r="K64" s="93">
        <f>IF(AND(H64&gt;=$H$5,I64&gt;0),I64/J64*D64,0)</f>
        <v>2352.4864724137933</v>
      </c>
      <c r="L64" s="94"/>
      <c r="M64" s="88"/>
      <c r="N64" s="264"/>
      <c r="O64" s="96"/>
    </row>
    <row r="65" spans="1:15" ht="36" customHeight="1" outlineLevel="1">
      <c r="A65" s="294"/>
      <c r="C65" s="87"/>
      <c r="D65" s="92"/>
      <c r="E65" s="88"/>
      <c r="F65" s="89"/>
      <c r="G65" s="87"/>
      <c r="H65" s="90"/>
      <c r="I65" s="172"/>
      <c r="J65" s="91">
        <f>IF(H65&gt;0,VLOOKUP(YEAR(H65),SMMLV!A:B,2,FALSE),0)</f>
        <v>0</v>
      </c>
      <c r="K65" s="93">
        <f>IF(AND(H65&gt;=$K$6,I65&gt;0),I65/J65*D65,0)</f>
        <v>0</v>
      </c>
      <c r="L65" s="94"/>
      <c r="M65" s="88"/>
      <c r="N65" s="265"/>
      <c r="O65" s="95"/>
    </row>
    <row r="66" spans="1:15">
      <c r="A66" s="294"/>
      <c r="B66" s="237"/>
      <c r="C66" s="103"/>
      <c r="D66" s="100"/>
      <c r="E66" s="103"/>
      <c r="F66" s="103"/>
      <c r="G66" s="103"/>
      <c r="H66" s="103"/>
      <c r="I66" s="173">
        <f>SUM(I61:I65)</f>
        <v>9080803974</v>
      </c>
      <c r="J66" s="102"/>
      <c r="K66" s="98">
        <f>SUM(K59:K65)</f>
        <v>9502.781208981165</v>
      </c>
      <c r="L66" s="178"/>
      <c r="M66" s="98"/>
      <c r="N66" s="98"/>
      <c r="O66" s="99"/>
    </row>
    <row r="67" spans="1:15">
      <c r="J67" s="83"/>
      <c r="K67" s="80"/>
    </row>
    <row r="68" spans="1:15" ht="25.5" customHeight="1">
      <c r="A68" s="294" t="s">
        <v>152</v>
      </c>
      <c r="B68" s="86" t="s">
        <v>60</v>
      </c>
      <c r="C68" s="86">
        <f>+C38</f>
        <v>2</v>
      </c>
      <c r="D68" s="86" t="s">
        <v>52</v>
      </c>
      <c r="E68" s="142" t="str">
        <f>VLOOKUP(C68,Directorio!$A$4:$V$6,3,FALSE)</f>
        <v>CORRECOL CORREDORES COLOMBIANOS DE SEGUROS CORREDORES DE SEGUROS S.A</v>
      </c>
      <c r="F68" s="143"/>
      <c r="G68" s="143"/>
      <c r="H68" s="154" t="str">
        <f>+VLOOKUP(C68,Directorio!$A$1:$M$6,13,0)</f>
        <v>(CORRECOL CORREDORES COLOMBIANOS DE SEGUROS CORREDORES DE SEGUROS S.A:  000% -  000% -  000%)</v>
      </c>
      <c r="I68" s="175"/>
      <c r="J68" s="116"/>
      <c r="K68" s="116"/>
      <c r="L68" s="165"/>
      <c r="M68" s="116"/>
      <c r="N68" s="117" t="s">
        <v>120</v>
      </c>
      <c r="O68" s="202" t="s">
        <v>192</v>
      </c>
    </row>
    <row r="69" spans="1:15" s="84" customFormat="1" ht="25.5" hidden="1" customHeight="1" outlineLevel="1">
      <c r="A69" s="294"/>
      <c r="B69" s="144" t="s">
        <v>106</v>
      </c>
      <c r="C69" s="144" t="s">
        <v>146</v>
      </c>
      <c r="D69" s="144" t="s">
        <v>121</v>
      </c>
      <c r="E69" s="144" t="s">
        <v>107</v>
      </c>
      <c r="F69" s="144" t="s">
        <v>108</v>
      </c>
      <c r="G69" s="144" t="s">
        <v>127</v>
      </c>
      <c r="H69" s="144" t="s">
        <v>156</v>
      </c>
      <c r="I69" s="170" t="s">
        <v>143</v>
      </c>
      <c r="J69" s="144" t="s">
        <v>109</v>
      </c>
      <c r="K69" s="144" t="s">
        <v>123</v>
      </c>
      <c r="L69" s="144" t="s">
        <v>113</v>
      </c>
      <c r="M69" s="144" t="s">
        <v>110</v>
      </c>
      <c r="N69" s="144" t="s">
        <v>111</v>
      </c>
      <c r="O69" s="144" t="s">
        <v>112</v>
      </c>
    </row>
    <row r="70" spans="1:15" ht="12.75" hidden="1" customHeight="1" outlineLevel="1">
      <c r="A70" s="294"/>
      <c r="B70" s="84">
        <v>1</v>
      </c>
      <c r="C70" s="87"/>
      <c r="D70" s="92"/>
      <c r="E70" s="88"/>
      <c r="F70" s="89"/>
      <c r="G70" s="87"/>
      <c r="H70" s="90"/>
      <c r="I70" s="171"/>
      <c r="J70" s="126">
        <f>IF(H70&gt;0,VLOOKUP(YEAR(H70),SMMLV!A:B,2,FALSE),0)</f>
        <v>0</v>
      </c>
      <c r="K70" s="93">
        <f t="shared" ref="K70:K74" si="12">IF(AND(H70&gt;=$H$5,I70&gt;0),I70/J70*D70,0)</f>
        <v>0</v>
      </c>
      <c r="L70" s="94"/>
      <c r="M70" s="88"/>
      <c r="N70" s="97"/>
      <c r="O70" s="96"/>
    </row>
    <row r="71" spans="1:15" ht="12.75" hidden="1" customHeight="1" outlineLevel="1">
      <c r="A71" s="294"/>
      <c r="B71" s="84">
        <v>2</v>
      </c>
      <c r="C71" s="87"/>
      <c r="D71" s="92"/>
      <c r="E71" s="88"/>
      <c r="F71" s="89"/>
      <c r="G71" s="87"/>
      <c r="H71" s="90"/>
      <c r="I71" s="172"/>
      <c r="J71" s="91">
        <f>IF(H71&gt;0,VLOOKUP(YEAR(H71),SMMLV!A:B,2,FALSE),0)</f>
        <v>0</v>
      </c>
      <c r="K71" s="93">
        <f t="shared" si="12"/>
        <v>0</v>
      </c>
      <c r="L71" s="94"/>
      <c r="M71" s="88"/>
      <c r="N71" s="97"/>
      <c r="O71" s="95"/>
    </row>
    <row r="72" spans="1:15" ht="12.75" hidden="1" customHeight="1" outlineLevel="1">
      <c r="A72" s="294"/>
      <c r="B72" s="84">
        <v>3</v>
      </c>
      <c r="C72" s="87"/>
      <c r="D72" s="92"/>
      <c r="E72" s="88"/>
      <c r="F72" s="89"/>
      <c r="G72" s="87"/>
      <c r="H72" s="90"/>
      <c r="I72" s="172"/>
      <c r="J72" s="91">
        <f>IF(H72&gt;0,VLOOKUP(YEAR(H72),SMMLV!A:B,2,FALSE),0)</f>
        <v>0</v>
      </c>
      <c r="K72" s="93">
        <f t="shared" si="12"/>
        <v>0</v>
      </c>
      <c r="L72" s="94"/>
      <c r="M72" s="88"/>
      <c r="N72" s="97"/>
      <c r="O72" s="95"/>
    </row>
    <row r="73" spans="1:15" ht="12.75" hidden="1" customHeight="1" outlineLevel="1">
      <c r="A73" s="294"/>
      <c r="B73" s="84">
        <v>4</v>
      </c>
      <c r="C73" s="87"/>
      <c r="D73" s="92"/>
      <c r="E73" s="88"/>
      <c r="F73" s="89"/>
      <c r="G73" s="87"/>
      <c r="H73" s="90"/>
      <c r="I73" s="172"/>
      <c r="J73" s="91">
        <f>IF(H73&gt;0,VLOOKUP(YEAR(H73),SMMLV!A:B,2,FALSE),0)</f>
        <v>0</v>
      </c>
      <c r="K73" s="93">
        <f t="shared" si="12"/>
        <v>0</v>
      </c>
      <c r="L73" s="94"/>
      <c r="M73" s="88"/>
      <c r="N73" s="97"/>
      <c r="O73" s="95"/>
    </row>
    <row r="74" spans="1:15" ht="12.75" hidden="1" customHeight="1" outlineLevel="1">
      <c r="A74" s="294"/>
      <c r="B74" s="84">
        <v>5</v>
      </c>
      <c r="C74" s="87"/>
      <c r="D74" s="92"/>
      <c r="E74" s="88"/>
      <c r="F74" s="89"/>
      <c r="G74" s="87"/>
      <c r="H74" s="90"/>
      <c r="I74" s="172"/>
      <c r="J74" s="91">
        <f>IF(H74&gt;0,VLOOKUP(YEAR(H74),SMMLV!A:B,2,FALSE),0)</f>
        <v>0</v>
      </c>
      <c r="K74" s="93">
        <f t="shared" si="12"/>
        <v>0</v>
      </c>
      <c r="L74" s="94"/>
      <c r="M74" s="88"/>
      <c r="N74" s="97"/>
      <c r="O74" s="95"/>
    </row>
    <row r="75" spans="1:15" ht="12.75" hidden="1" customHeight="1" outlineLevel="1">
      <c r="A75" s="294"/>
      <c r="B75" s="237"/>
      <c r="C75" s="103"/>
      <c r="D75" s="100"/>
      <c r="E75" s="103"/>
      <c r="F75" s="103"/>
      <c r="G75" s="103"/>
      <c r="H75" s="103"/>
      <c r="I75" s="173">
        <f>SUM(I70:I74)</f>
        <v>0</v>
      </c>
      <c r="J75" s="102"/>
      <c r="K75" s="98">
        <f>SUM(K70:K74)</f>
        <v>0</v>
      </c>
      <c r="L75" s="178"/>
      <c r="M75" s="98"/>
      <c r="N75" s="98"/>
      <c r="O75" s="99"/>
    </row>
    <row r="76" spans="1:15" s="84" customFormat="1" ht="30.75" hidden="1" customHeight="1" outlineLevel="1">
      <c r="A76" s="294"/>
      <c r="B76" s="144" t="s">
        <v>106</v>
      </c>
      <c r="C76" s="144" t="s">
        <v>159</v>
      </c>
      <c r="D76" s="144" t="s">
        <v>121</v>
      </c>
      <c r="E76" s="144" t="s">
        <v>107</v>
      </c>
      <c r="F76" s="144" t="s">
        <v>108</v>
      </c>
      <c r="G76" s="144" t="s">
        <v>127</v>
      </c>
      <c r="H76" s="144" t="s">
        <v>155</v>
      </c>
      <c r="I76" s="170" t="s">
        <v>145</v>
      </c>
      <c r="J76" s="144" t="s">
        <v>109</v>
      </c>
      <c r="K76" s="144" t="s">
        <v>123</v>
      </c>
      <c r="L76" s="144" t="s">
        <v>113</v>
      </c>
      <c r="M76" s="144" t="s">
        <v>110</v>
      </c>
      <c r="N76" s="144" t="s">
        <v>111</v>
      </c>
      <c r="O76" s="144" t="s">
        <v>112</v>
      </c>
    </row>
    <row r="77" spans="1:15" ht="12.75" hidden="1" customHeight="1" outlineLevel="1">
      <c r="A77" s="294"/>
      <c r="B77" s="84">
        <v>1</v>
      </c>
      <c r="C77" s="87"/>
      <c r="D77" s="92"/>
      <c r="E77" s="88"/>
      <c r="F77" s="89"/>
      <c r="G77" s="87"/>
      <c r="H77" s="90"/>
      <c r="I77" s="171"/>
      <c r="J77" s="126">
        <f>IF(H77&gt;0,VLOOKUP(YEAR(H77),SMMLV!A:B,2,FALSE),0)</f>
        <v>0</v>
      </c>
      <c r="K77" s="93">
        <f t="shared" ref="K77:K81" si="13">IF(AND(H77&gt;=$H$5,I77&gt;0),I77/J77*D77,0)</f>
        <v>0</v>
      </c>
      <c r="L77" s="94"/>
      <c r="M77" s="88"/>
      <c r="N77" s="97"/>
      <c r="O77" s="96"/>
    </row>
    <row r="78" spans="1:15" ht="12.75" hidden="1" customHeight="1" outlineLevel="1">
      <c r="A78" s="294"/>
      <c r="B78" s="84">
        <v>2</v>
      </c>
      <c r="C78" s="87"/>
      <c r="D78" s="92"/>
      <c r="E78" s="88"/>
      <c r="F78" s="89"/>
      <c r="G78" s="87"/>
      <c r="H78" s="90"/>
      <c r="I78" s="172"/>
      <c r="J78" s="91">
        <f>IF(H78&gt;0,VLOOKUP(YEAR(H78),SMMLV!A:B,2,FALSE),0)</f>
        <v>0</v>
      </c>
      <c r="K78" s="93">
        <f t="shared" si="13"/>
        <v>0</v>
      </c>
      <c r="L78" s="94"/>
      <c r="M78" s="88"/>
      <c r="N78" s="97"/>
      <c r="O78" s="95"/>
    </row>
    <row r="79" spans="1:15" ht="12.75" hidden="1" customHeight="1" outlineLevel="1">
      <c r="A79" s="294"/>
      <c r="B79" s="84">
        <v>3</v>
      </c>
      <c r="C79" s="87"/>
      <c r="D79" s="92"/>
      <c r="E79" s="88"/>
      <c r="F79" s="89"/>
      <c r="G79" s="87"/>
      <c r="H79" s="90"/>
      <c r="I79" s="172"/>
      <c r="J79" s="91">
        <f>IF(H79&gt;0,VLOOKUP(YEAR(H79),SMMLV!A:B,2,FALSE),0)</f>
        <v>0</v>
      </c>
      <c r="K79" s="93">
        <f t="shared" si="13"/>
        <v>0</v>
      </c>
      <c r="L79" s="94"/>
      <c r="M79" s="88"/>
      <c r="N79" s="97"/>
      <c r="O79" s="95"/>
    </row>
    <row r="80" spans="1:15" ht="12.75" hidden="1" customHeight="1" outlineLevel="1">
      <c r="A80" s="294"/>
      <c r="B80" s="84">
        <v>4</v>
      </c>
      <c r="C80" s="87"/>
      <c r="D80" s="92"/>
      <c r="E80" s="88"/>
      <c r="F80" s="89"/>
      <c r="G80" s="87"/>
      <c r="H80" s="90"/>
      <c r="I80" s="172"/>
      <c r="J80" s="91">
        <f>IF(H80&gt;0,VLOOKUP(YEAR(H80),SMMLV!A:B,2,FALSE),0)</f>
        <v>0</v>
      </c>
      <c r="K80" s="93">
        <f t="shared" si="13"/>
        <v>0</v>
      </c>
      <c r="L80" s="94"/>
      <c r="M80" s="88"/>
      <c r="N80" s="97"/>
      <c r="O80" s="95"/>
    </row>
    <row r="81" spans="1:21" ht="12.75" hidden="1" customHeight="1" outlineLevel="1">
      <c r="A81" s="294"/>
      <c r="B81" s="84">
        <v>5</v>
      </c>
      <c r="C81" s="87"/>
      <c r="D81" s="92"/>
      <c r="E81" s="88"/>
      <c r="F81" s="89"/>
      <c r="G81" s="87"/>
      <c r="H81" s="90"/>
      <c r="I81" s="172"/>
      <c r="J81" s="91">
        <f>IF(H81&gt;0,VLOOKUP(YEAR(H81),SMMLV!A:B,2,FALSE),0)</f>
        <v>0</v>
      </c>
      <c r="K81" s="93">
        <f t="shared" si="13"/>
        <v>0</v>
      </c>
      <c r="L81" s="94"/>
      <c r="M81" s="88"/>
      <c r="N81" s="97"/>
      <c r="O81" s="95"/>
    </row>
    <row r="82" spans="1:21" collapsed="1">
      <c r="A82" s="294"/>
      <c r="B82" s="237"/>
      <c r="C82" s="103"/>
      <c r="D82" s="100"/>
      <c r="E82" s="103"/>
      <c r="F82" s="103"/>
      <c r="G82" s="103"/>
      <c r="H82" s="103"/>
      <c r="I82" s="173">
        <f>SUM(I77:I81)</f>
        <v>0</v>
      </c>
      <c r="J82" s="102"/>
      <c r="K82" s="98">
        <f>SUM(K77:K81)</f>
        <v>0</v>
      </c>
      <c r="L82" s="178"/>
      <c r="M82" s="98"/>
      <c r="N82" s="98"/>
      <c r="O82" s="99"/>
    </row>
    <row r="84" spans="1:21" ht="29.25" customHeight="1">
      <c r="A84" s="294" t="s">
        <v>144</v>
      </c>
      <c r="B84" s="86" t="s">
        <v>60</v>
      </c>
      <c r="C84" s="86">
        <v>3</v>
      </c>
      <c r="D84" s="86" t="s">
        <v>52</v>
      </c>
      <c r="E84" s="142" t="str">
        <f>VLOOKUP(C84,Directorio!$A$4:$V$6,3,FALSE)</f>
        <v>UT PROSEGUROS-ITAU FNA-VGHA-CM-004-2024</v>
      </c>
      <c r="F84" s="143"/>
      <c r="G84" s="143"/>
      <c r="H84" s="268" t="str">
        <f>+VLOOKUP(C84,Directorio!$A$1:$M$6,13,0)</f>
        <v>(UT PROSEGUROS-ITAU FNA-VGHA-CM-004-2024: PROSEGUROS CORREDORES DE SEGUROS S.A. 050% - ITAÚ CORREDOR DE SEGUROS COLOMBIA 050% -  000%)</v>
      </c>
      <c r="I84" s="268"/>
      <c r="J84" s="268"/>
      <c r="K84" s="268"/>
      <c r="L84" s="268"/>
      <c r="M84" s="269"/>
      <c r="N84" s="117" t="s">
        <v>120</v>
      </c>
      <c r="O84" s="202" t="s">
        <v>114</v>
      </c>
      <c r="T84" s="245">
        <f>+J5*50%</f>
        <v>3034.5</v>
      </c>
      <c r="U84" s="80">
        <f>+J5*50%</f>
        <v>3034.5</v>
      </c>
    </row>
    <row r="85" spans="1:21" s="84" customFormat="1" ht="25.5" customHeight="1" outlineLevel="1">
      <c r="A85" s="294"/>
      <c r="B85" s="144" t="s">
        <v>106</v>
      </c>
      <c r="C85" s="144" t="s">
        <v>146</v>
      </c>
      <c r="D85" s="144" t="s">
        <v>121</v>
      </c>
      <c r="E85" s="144" t="s">
        <v>107</v>
      </c>
      <c r="F85" s="144" t="s">
        <v>108</v>
      </c>
      <c r="G85" s="144" t="s">
        <v>127</v>
      </c>
      <c r="H85" s="144" t="s">
        <v>156</v>
      </c>
      <c r="I85" s="170" t="s">
        <v>143</v>
      </c>
      <c r="J85" s="144" t="s">
        <v>109</v>
      </c>
      <c r="K85" s="144" t="s">
        <v>123</v>
      </c>
      <c r="L85" s="144" t="s">
        <v>113</v>
      </c>
      <c r="M85" s="144" t="s">
        <v>110</v>
      </c>
      <c r="N85" s="144" t="s">
        <v>111</v>
      </c>
      <c r="O85" s="144" t="s">
        <v>112</v>
      </c>
      <c r="P85"/>
      <c r="Q85"/>
      <c r="R85"/>
      <c r="S85"/>
      <c r="T85" s="226" t="s">
        <v>235</v>
      </c>
      <c r="U85" s="226" t="s">
        <v>248</v>
      </c>
    </row>
    <row r="86" spans="1:21" ht="25.5" outlineLevel="1">
      <c r="A86" s="294"/>
      <c r="B86" s="218">
        <v>1</v>
      </c>
      <c r="C86" s="194" t="s">
        <v>234</v>
      </c>
      <c r="D86" s="182">
        <v>0.15</v>
      </c>
      <c r="E86" s="182" t="s">
        <v>235</v>
      </c>
      <c r="F86" s="195" t="s">
        <v>241</v>
      </c>
      <c r="G86" s="194" t="s">
        <v>186</v>
      </c>
      <c r="H86" s="196">
        <v>43629</v>
      </c>
      <c r="I86" s="172">
        <v>19916080023</v>
      </c>
      <c r="J86" s="91">
        <f>IF(H86&gt;0,VLOOKUP(YEAR(H86),SMMLV!A:B,2,FALSE),0)</f>
        <v>828116</v>
      </c>
      <c r="K86" s="93">
        <f t="shared" ref="K86:K92" si="14">IF(AND(H86&gt;=$K$6,I86&gt;0),I86/J86*D86,0)</f>
        <v>3607.4801156480494</v>
      </c>
      <c r="L86" s="198">
        <v>21</v>
      </c>
      <c r="M86" s="199">
        <v>84131600</v>
      </c>
      <c r="N86" s="97" t="s">
        <v>122</v>
      </c>
      <c r="O86" s="200" t="s">
        <v>243</v>
      </c>
      <c r="P86"/>
      <c r="Q86"/>
      <c r="R86"/>
      <c r="S86"/>
      <c r="T86" s="203">
        <f t="shared" ref="T86:T91" si="15">+K86</f>
        <v>3607.4801156480494</v>
      </c>
      <c r="U86" s="203"/>
    </row>
    <row r="87" spans="1:21" outlineLevel="1">
      <c r="A87" s="294"/>
      <c r="B87" s="276">
        <v>2</v>
      </c>
      <c r="C87" s="270" t="s">
        <v>240</v>
      </c>
      <c r="D87" s="204">
        <v>0.3</v>
      </c>
      <c r="E87" s="285" t="s">
        <v>235</v>
      </c>
      <c r="F87" s="285" t="s">
        <v>241</v>
      </c>
      <c r="G87" s="194" t="s">
        <v>186</v>
      </c>
      <c r="H87" s="196">
        <v>43358</v>
      </c>
      <c r="I87" s="172">
        <f>698413012+1646613229</f>
        <v>2345026241</v>
      </c>
      <c r="J87" s="91">
        <f>IF(H87&gt;0,VLOOKUP(YEAR(H87),SMMLV!A:B,2,FALSE),0)</f>
        <v>781242</v>
      </c>
      <c r="K87" s="93">
        <f t="shared" si="14"/>
        <v>900.49929765680793</v>
      </c>
      <c r="L87" s="279">
        <v>23</v>
      </c>
      <c r="M87" s="199">
        <v>84131600</v>
      </c>
      <c r="N87" s="263" t="s">
        <v>122</v>
      </c>
      <c r="O87" s="285" t="s">
        <v>242</v>
      </c>
      <c r="P87" s="168">
        <f>+SUM(I87:I91)*30%</f>
        <v>3798726846.9000001</v>
      </c>
      <c r="Q87" s="205">
        <v>1544814549</v>
      </c>
      <c r="R87" s="205">
        <f>+Q87-P87</f>
        <v>-2253912297.9000001</v>
      </c>
      <c r="S87"/>
      <c r="T87" s="203">
        <f t="shared" si="15"/>
        <v>900.49929765680793</v>
      </c>
      <c r="U87" s="203"/>
    </row>
    <row r="88" spans="1:21" outlineLevel="1">
      <c r="A88" s="294"/>
      <c r="B88" s="277"/>
      <c r="C88" s="271"/>
      <c r="D88" s="204">
        <v>0.3</v>
      </c>
      <c r="E88" s="286"/>
      <c r="F88" s="286"/>
      <c r="G88" s="194" t="s">
        <v>186</v>
      </c>
      <c r="H88" s="196">
        <v>43723</v>
      </c>
      <c r="I88" s="172">
        <f>961777200+77916558+1511722208</f>
        <v>2551415966</v>
      </c>
      <c r="J88" s="91">
        <f>IF(H88&gt;0,VLOOKUP(YEAR(H88),SMMLV!A:B,2,FALSE),0)</f>
        <v>828116</v>
      </c>
      <c r="K88" s="93">
        <f t="shared" si="14"/>
        <v>924.29658381192962</v>
      </c>
      <c r="L88" s="280"/>
      <c r="M88" s="199">
        <v>84131600</v>
      </c>
      <c r="N88" s="264"/>
      <c r="O88" s="286"/>
      <c r="P88"/>
      <c r="Q88"/>
      <c r="R88"/>
      <c r="S88"/>
      <c r="T88" s="203">
        <f t="shared" si="15"/>
        <v>924.29658381192962</v>
      </c>
      <c r="U88" s="203"/>
    </row>
    <row r="89" spans="1:21" outlineLevel="1">
      <c r="A89" s="294"/>
      <c r="B89" s="277"/>
      <c r="C89" s="271"/>
      <c r="D89" s="204">
        <v>0.3</v>
      </c>
      <c r="E89" s="286"/>
      <c r="F89" s="286"/>
      <c r="G89" s="194" t="s">
        <v>186</v>
      </c>
      <c r="H89" s="196">
        <v>43921</v>
      </c>
      <c r="I89" s="174">
        <v>1825231889</v>
      </c>
      <c r="J89" s="91">
        <f>IF(H89&gt;0,VLOOKUP(YEAR(H89),SMMLV!A:B,2,FALSE),0)</f>
        <v>877802</v>
      </c>
      <c r="K89" s="93">
        <f t="shared" si="14"/>
        <v>623.79621680059961</v>
      </c>
      <c r="L89" s="280"/>
      <c r="M89" s="199">
        <v>84131600</v>
      </c>
      <c r="N89" s="264"/>
      <c r="O89" s="286"/>
      <c r="P89"/>
      <c r="Q89"/>
      <c r="R89"/>
      <c r="S89"/>
      <c r="T89" s="203">
        <f t="shared" si="15"/>
        <v>623.79621680059961</v>
      </c>
      <c r="U89" s="203"/>
    </row>
    <row r="90" spans="1:21" outlineLevel="1">
      <c r="A90" s="294"/>
      <c r="B90" s="277"/>
      <c r="C90" s="271"/>
      <c r="D90" s="204">
        <v>0.3</v>
      </c>
      <c r="E90" s="286"/>
      <c r="F90" s="286"/>
      <c r="G90" s="194" t="s">
        <v>186</v>
      </c>
      <c r="H90" s="196">
        <v>44286</v>
      </c>
      <c r="I90" s="172">
        <f>911685277+1990839842</f>
        <v>2902525119</v>
      </c>
      <c r="J90" s="91">
        <f>IF(H90&gt;0,VLOOKUP(YEAR(H90),SMMLV!A:B,2,FALSE),0)</f>
        <v>908526</v>
      </c>
      <c r="K90" s="93">
        <f t="shared" si="14"/>
        <v>958.42885696171595</v>
      </c>
      <c r="L90" s="280"/>
      <c r="M90" s="199">
        <v>84131600</v>
      </c>
      <c r="N90" s="264"/>
      <c r="O90" s="286"/>
      <c r="P90"/>
      <c r="Q90"/>
      <c r="R90"/>
      <c r="S90"/>
      <c r="T90" s="203">
        <f t="shared" si="15"/>
        <v>958.42885696171595</v>
      </c>
      <c r="U90" s="203"/>
    </row>
    <row r="91" spans="1:21" outlineLevel="1">
      <c r="A91" s="294"/>
      <c r="B91" s="278"/>
      <c r="C91" s="272"/>
      <c r="D91" s="182">
        <v>0.3</v>
      </c>
      <c r="E91" s="287"/>
      <c r="F91" s="287"/>
      <c r="G91" s="194" t="s">
        <v>186</v>
      </c>
      <c r="H91" s="196">
        <v>44651</v>
      </c>
      <c r="I91" s="172">
        <f>651410841+2386812767</f>
        <v>3038223608</v>
      </c>
      <c r="J91" s="91">
        <f>IF(H91&gt;0,VLOOKUP(YEAR(H91),SMMLV!A:B,2,FALSE),0)</f>
        <v>1000000</v>
      </c>
      <c r="K91" s="93">
        <f t="shared" si="14"/>
        <v>911.46708239999987</v>
      </c>
      <c r="L91" s="281"/>
      <c r="M91" s="199">
        <v>84131600</v>
      </c>
      <c r="N91" s="265"/>
      <c r="O91" s="287"/>
      <c r="P91"/>
      <c r="Q91"/>
      <c r="R91"/>
      <c r="S91"/>
      <c r="T91" s="203">
        <f t="shared" si="15"/>
        <v>911.46708239999987</v>
      </c>
      <c r="U91" s="203"/>
    </row>
    <row r="92" spans="1:21" ht="38.25" outlineLevel="1">
      <c r="A92" s="294"/>
      <c r="B92" s="218">
        <v>3</v>
      </c>
      <c r="C92" s="194" t="s">
        <v>244</v>
      </c>
      <c r="D92" s="182">
        <v>0.4</v>
      </c>
      <c r="E92" s="182" t="s">
        <v>249</v>
      </c>
      <c r="F92" s="195" t="s">
        <v>241</v>
      </c>
      <c r="G92" s="194" t="s">
        <v>186</v>
      </c>
      <c r="H92" s="196">
        <v>43464</v>
      </c>
      <c r="I92" s="172">
        <v>7866005335</v>
      </c>
      <c r="J92" s="91">
        <f>IF(H92&gt;0,VLOOKUP(YEAR(H92),SMMLV!A:B,2,FALSE),0)</f>
        <v>781242</v>
      </c>
      <c r="K92" s="93">
        <f t="shared" si="14"/>
        <v>4027.4359724643582</v>
      </c>
      <c r="L92" s="198">
        <v>29</v>
      </c>
      <c r="M92" s="199">
        <v>84131600</v>
      </c>
      <c r="N92" s="97" t="s">
        <v>122</v>
      </c>
      <c r="O92" s="95" t="s">
        <v>245</v>
      </c>
      <c r="P92"/>
      <c r="Q92"/>
      <c r="R92"/>
      <c r="S92"/>
      <c r="T92" s="203">
        <f>+K92/2</f>
        <v>2013.7179862321791</v>
      </c>
      <c r="U92" s="203">
        <f>+K92/2</f>
        <v>2013.7179862321791</v>
      </c>
    </row>
    <row r="93" spans="1:21" ht="210" customHeight="1" outlineLevel="1">
      <c r="A93" s="294"/>
      <c r="B93" s="238">
        <v>4</v>
      </c>
      <c r="C93" s="228" t="s">
        <v>299</v>
      </c>
      <c r="D93" s="229">
        <v>1</v>
      </c>
      <c r="E93" s="228" t="s">
        <v>248</v>
      </c>
      <c r="F93" s="230" t="s">
        <v>297</v>
      </c>
      <c r="G93" s="228" t="s">
        <v>186</v>
      </c>
      <c r="H93" s="196">
        <v>44834</v>
      </c>
      <c r="I93" s="231">
        <f>651410841+2386812767</f>
        <v>3038223608</v>
      </c>
      <c r="J93" s="232">
        <f>IF(H93&gt;0,VLOOKUP(YEAR(H93),SMMLV!A:B,2,FALSE),0)</f>
        <v>1000000</v>
      </c>
      <c r="K93" s="233"/>
      <c r="L93" s="234"/>
      <c r="M93" s="235"/>
      <c r="N93" s="236" t="s">
        <v>114</v>
      </c>
      <c r="O93" s="95" t="s">
        <v>298</v>
      </c>
      <c r="P93"/>
      <c r="Q93"/>
      <c r="R93"/>
      <c r="S93"/>
      <c r="T93" s="203"/>
      <c r="U93" s="203"/>
    </row>
    <row r="94" spans="1:21" ht="12.75" customHeight="1" outlineLevel="1">
      <c r="A94" s="294"/>
      <c r="B94" s="270">
        <v>5</v>
      </c>
      <c r="C94" s="270" t="s">
        <v>253</v>
      </c>
      <c r="D94" s="219">
        <v>1</v>
      </c>
      <c r="E94" s="270" t="s">
        <v>248</v>
      </c>
      <c r="F94" s="270" t="s">
        <v>241</v>
      </c>
      <c r="G94" s="270" t="s">
        <v>266</v>
      </c>
      <c r="H94" s="90">
        <v>43074</v>
      </c>
      <c r="I94" s="171">
        <f>328844000+33592000</f>
        <v>362436000</v>
      </c>
      <c r="J94" s="126">
        <f>IF(H94&gt;0,VLOOKUP(YEAR(H94),SMMLV!A:B,2,FALSE),0)</f>
        <v>737717</v>
      </c>
      <c r="K94" s="93">
        <f t="shared" ref="K94:K102" si="16">IF(AND(H94&gt;=$H$5,I94&gt;0),I94/J94*D94,0)</f>
        <v>491.29408702795246</v>
      </c>
      <c r="L94" s="270">
        <v>68</v>
      </c>
      <c r="M94" s="270">
        <v>84131600</v>
      </c>
      <c r="N94" s="263" t="s">
        <v>122</v>
      </c>
      <c r="O94" s="291" t="s">
        <v>265</v>
      </c>
      <c r="P94" s="205">
        <f>SUM(I94:I98)</f>
        <v>1975452000</v>
      </c>
      <c r="Q94" s="205">
        <v>1821720000</v>
      </c>
      <c r="R94" s="205">
        <f>+Q94-P94</f>
        <v>-153732000</v>
      </c>
      <c r="S94"/>
      <c r="T94" s="203"/>
      <c r="U94" s="203">
        <f>+K94</f>
        <v>491.29408702795246</v>
      </c>
    </row>
    <row r="95" spans="1:21" outlineLevel="1">
      <c r="A95" s="294"/>
      <c r="B95" s="271"/>
      <c r="C95" s="271"/>
      <c r="D95" s="219">
        <v>1</v>
      </c>
      <c r="E95" s="271"/>
      <c r="F95" s="271"/>
      <c r="G95" s="271"/>
      <c r="H95" s="90">
        <v>43439</v>
      </c>
      <c r="I95" s="171">
        <f>401950000+34919000</f>
        <v>436869000</v>
      </c>
      <c r="J95" s="126">
        <f>IF(H95&gt;0,VLOOKUP(YEAR(H95),SMMLV!A:B,2,FALSE),0)</f>
        <v>781242</v>
      </c>
      <c r="K95" s="93">
        <f t="shared" si="16"/>
        <v>559.19804618799299</v>
      </c>
      <c r="L95" s="271"/>
      <c r="M95" s="271"/>
      <c r="N95" s="264"/>
      <c r="O95" s="292"/>
      <c r="P95"/>
      <c r="Q95"/>
      <c r="R95"/>
      <c r="S95"/>
      <c r="T95" s="203"/>
      <c r="U95" s="203">
        <f t="shared" ref="U95:U103" si="17">+K95</f>
        <v>559.19804618799299</v>
      </c>
    </row>
    <row r="96" spans="1:21" outlineLevel="1">
      <c r="A96" s="294"/>
      <c r="B96" s="271"/>
      <c r="C96" s="271"/>
      <c r="D96" s="219">
        <v>1</v>
      </c>
      <c r="E96" s="271"/>
      <c r="F96" s="271"/>
      <c r="G96" s="271"/>
      <c r="H96" s="90">
        <v>43621</v>
      </c>
      <c r="I96" s="171">
        <f>225583000+20219000</f>
        <v>245802000</v>
      </c>
      <c r="J96" s="126">
        <f>IF(H96&gt;0,VLOOKUP(YEAR(H96),SMMLV!A:B,2,FALSE),0)</f>
        <v>828116</v>
      </c>
      <c r="K96" s="93">
        <f t="shared" si="16"/>
        <v>296.8207352593115</v>
      </c>
      <c r="L96" s="271"/>
      <c r="M96" s="271"/>
      <c r="N96" s="264"/>
      <c r="O96" s="292"/>
      <c r="P96"/>
      <c r="Q96"/>
      <c r="R96"/>
      <c r="S96"/>
      <c r="T96" s="203"/>
      <c r="U96" s="203">
        <f t="shared" si="17"/>
        <v>296.8207352593115</v>
      </c>
    </row>
    <row r="97" spans="1:21" outlineLevel="1">
      <c r="A97" s="294"/>
      <c r="B97" s="271"/>
      <c r="C97" s="271"/>
      <c r="D97" s="219">
        <v>1</v>
      </c>
      <c r="E97" s="271"/>
      <c r="F97" s="271"/>
      <c r="G97" s="271"/>
      <c r="H97" s="90">
        <v>43987</v>
      </c>
      <c r="I97" s="171">
        <f>400343000+33002000</f>
        <v>433345000</v>
      </c>
      <c r="J97" s="126">
        <f>IF(H97&gt;0,VLOOKUP(YEAR(H97),SMMLV!A:B,2,FALSE),0)</f>
        <v>877802</v>
      </c>
      <c r="K97" s="93">
        <f t="shared" si="16"/>
        <v>493.67055440748595</v>
      </c>
      <c r="L97" s="271"/>
      <c r="M97" s="271"/>
      <c r="N97" s="264"/>
      <c r="O97" s="292"/>
      <c r="P97"/>
      <c r="Q97"/>
      <c r="R97"/>
      <c r="S97"/>
      <c r="T97" s="203"/>
      <c r="U97" s="203">
        <f t="shared" si="17"/>
        <v>493.67055440748595</v>
      </c>
    </row>
    <row r="98" spans="1:21" outlineLevel="1">
      <c r="A98" s="294"/>
      <c r="B98" s="272"/>
      <c r="C98" s="272"/>
      <c r="D98" s="92">
        <v>1</v>
      </c>
      <c r="E98" s="272"/>
      <c r="F98" s="272"/>
      <c r="G98" s="272"/>
      <c r="H98" s="90">
        <v>44352</v>
      </c>
      <c r="I98" s="171">
        <f>465000000+32000000</f>
        <v>497000000</v>
      </c>
      <c r="J98" s="126">
        <f>IF(H98&gt;0,VLOOKUP(YEAR(H98),SMMLV!A:B,2,FALSE),0)</f>
        <v>908526</v>
      </c>
      <c r="K98" s="93">
        <f t="shared" si="16"/>
        <v>547.03993061288281</v>
      </c>
      <c r="L98" s="272"/>
      <c r="M98" s="272"/>
      <c r="N98" s="265"/>
      <c r="O98" s="293"/>
      <c r="P98"/>
      <c r="Q98"/>
      <c r="R98"/>
      <c r="S98"/>
      <c r="T98" s="203"/>
      <c r="U98" s="203">
        <f t="shared" si="17"/>
        <v>547.03993061288281</v>
      </c>
    </row>
    <row r="99" spans="1:21" outlineLevel="1">
      <c r="A99" s="294"/>
      <c r="B99" s="276">
        <v>6</v>
      </c>
      <c r="C99" s="270" t="s">
        <v>261</v>
      </c>
      <c r="D99" s="204">
        <v>1</v>
      </c>
      <c r="E99" s="270" t="s">
        <v>248</v>
      </c>
      <c r="F99" s="270" t="s">
        <v>241</v>
      </c>
      <c r="G99" s="270" t="s">
        <v>266</v>
      </c>
      <c r="H99" s="196">
        <v>43074</v>
      </c>
      <c r="I99" s="172">
        <f>177639983+65422894</f>
        <v>243062877</v>
      </c>
      <c r="J99" s="91">
        <f>IF(H99&gt;0,VLOOKUP(YEAR(H99),SMMLV!A:B,2,FALSE),0)</f>
        <v>737717</v>
      </c>
      <c r="K99" s="197">
        <f t="shared" si="16"/>
        <v>329.47983711911206</v>
      </c>
      <c r="L99" s="270">
        <v>69</v>
      </c>
      <c r="M99" s="270">
        <v>84131600</v>
      </c>
      <c r="N99" s="270" t="s">
        <v>122</v>
      </c>
      <c r="O99" s="270" t="s">
        <v>255</v>
      </c>
      <c r="P99" s="205">
        <f>+SUM(I99:I103)</f>
        <v>1292758220</v>
      </c>
      <c r="Q99" s="205">
        <v>1006102651</v>
      </c>
      <c r="R99" s="205">
        <f>+Q99-P99</f>
        <v>-286655569</v>
      </c>
      <c r="S99"/>
      <c r="T99" s="203"/>
      <c r="U99" s="203">
        <f t="shared" si="17"/>
        <v>329.47983711911206</v>
      </c>
    </row>
    <row r="100" spans="1:21" outlineLevel="1">
      <c r="A100" s="294"/>
      <c r="B100" s="277"/>
      <c r="C100" s="271"/>
      <c r="D100" s="204">
        <v>1</v>
      </c>
      <c r="E100" s="271"/>
      <c r="F100" s="271"/>
      <c r="G100" s="271"/>
      <c r="H100" s="196">
        <v>43439</v>
      </c>
      <c r="I100" s="172">
        <f>233683120+67414613</f>
        <v>301097733</v>
      </c>
      <c r="J100" s="91">
        <f>IF(H100&gt;0,VLOOKUP(YEAR(H100),SMMLV!A:B,2,FALSE),0)</f>
        <v>781242</v>
      </c>
      <c r="K100" s="197">
        <f t="shared" si="16"/>
        <v>385.40904482861902</v>
      </c>
      <c r="L100" s="271"/>
      <c r="M100" s="271"/>
      <c r="N100" s="271"/>
      <c r="O100" s="271"/>
      <c r="P100"/>
      <c r="Q100"/>
      <c r="R100"/>
      <c r="S100"/>
      <c r="T100" s="203"/>
      <c r="U100" s="203">
        <f t="shared" si="17"/>
        <v>385.40904482861902</v>
      </c>
    </row>
    <row r="101" spans="1:21" outlineLevel="1">
      <c r="A101" s="294"/>
      <c r="B101" s="277"/>
      <c r="C101" s="271"/>
      <c r="D101" s="204">
        <v>1</v>
      </c>
      <c r="E101" s="271"/>
      <c r="F101" s="271"/>
      <c r="G101" s="271"/>
      <c r="H101" s="196">
        <v>43804</v>
      </c>
      <c r="I101" s="172">
        <f>122537129+35906386</f>
        <v>158443515</v>
      </c>
      <c r="J101" s="91">
        <f>IF(H101&gt;0,VLOOKUP(YEAR(H101),SMMLV!A:B,2,FALSE),0)</f>
        <v>828116</v>
      </c>
      <c r="K101" s="197">
        <f t="shared" si="16"/>
        <v>191.33009747426689</v>
      </c>
      <c r="L101" s="271"/>
      <c r="M101" s="271"/>
      <c r="N101" s="271"/>
      <c r="O101" s="271"/>
      <c r="P101"/>
      <c r="Q101"/>
      <c r="R101"/>
      <c r="S101"/>
      <c r="T101" s="203"/>
      <c r="U101" s="203">
        <f t="shared" si="17"/>
        <v>191.33009747426689</v>
      </c>
    </row>
    <row r="102" spans="1:21" outlineLevel="1">
      <c r="A102" s="294"/>
      <c r="B102" s="277"/>
      <c r="C102" s="271"/>
      <c r="D102" s="204">
        <v>1</v>
      </c>
      <c r="E102" s="271"/>
      <c r="F102" s="271"/>
      <c r="G102" s="271"/>
      <c r="H102" s="196">
        <v>43987</v>
      </c>
      <c r="I102" s="172">
        <f>219627954+57722308</f>
        <v>277350262</v>
      </c>
      <c r="J102" s="91">
        <f>IF(H102&gt;0,VLOOKUP(YEAR(H102),SMMLV!A:B,2,FALSE),0)</f>
        <v>877802</v>
      </c>
      <c r="K102" s="197">
        <f t="shared" si="16"/>
        <v>315.95993401701065</v>
      </c>
      <c r="L102" s="271"/>
      <c r="M102" s="271"/>
      <c r="N102" s="271"/>
      <c r="O102" s="271"/>
      <c r="P102"/>
      <c r="Q102"/>
      <c r="R102"/>
      <c r="S102"/>
      <c r="T102" s="203"/>
      <c r="U102" s="203">
        <f t="shared" si="17"/>
        <v>315.95993401701065</v>
      </c>
    </row>
    <row r="103" spans="1:21" outlineLevel="1">
      <c r="A103" s="294"/>
      <c r="B103" s="278"/>
      <c r="C103" s="272"/>
      <c r="D103" s="182">
        <v>1</v>
      </c>
      <c r="E103" s="272"/>
      <c r="F103" s="272"/>
      <c r="G103" s="272"/>
      <c r="H103" s="196">
        <v>44352</v>
      </c>
      <c r="I103" s="172">
        <f>252614465+60189368</f>
        <v>312803833</v>
      </c>
      <c r="J103" s="91">
        <f>IF(H103&gt;0,VLOOKUP(YEAR(H103),SMMLV!A:B,2,FALSE),0)</f>
        <v>908526</v>
      </c>
      <c r="K103" s="197">
        <f t="shared" ref="K103" si="18">IF(AND(H103&gt;=$H$5,I103&gt;0),I103/J103*D103,0)</f>
        <v>344.29816317859917</v>
      </c>
      <c r="L103" s="272"/>
      <c r="M103" s="272"/>
      <c r="N103" s="272"/>
      <c r="O103" s="272"/>
      <c r="P103"/>
      <c r="Q103"/>
      <c r="R103"/>
      <c r="S103"/>
      <c r="T103" s="203"/>
      <c r="U103" s="203">
        <f t="shared" si="17"/>
        <v>344.29816317859917</v>
      </c>
    </row>
    <row r="104" spans="1:21" ht="12.75" customHeight="1" outlineLevel="1">
      <c r="A104" s="294"/>
      <c r="B104" s="237"/>
      <c r="C104" s="103"/>
      <c r="D104" s="100"/>
      <c r="E104" s="103"/>
      <c r="F104" s="103"/>
      <c r="G104" s="103"/>
      <c r="H104" s="103"/>
      <c r="I104" s="173">
        <f>SUM(I86:I103)</f>
        <v>46750942009</v>
      </c>
      <c r="J104" s="102"/>
      <c r="K104" s="98">
        <f>SUM(K86:K103)</f>
        <v>15907.90455585669</v>
      </c>
      <c r="L104" s="178"/>
      <c r="M104" s="98"/>
      <c r="N104" s="98"/>
      <c r="O104" s="99"/>
      <c r="P104"/>
      <c r="Q104"/>
      <c r="R104"/>
      <c r="S104"/>
      <c r="T104" s="225">
        <f>SUM(T86:T103)</f>
        <v>9939.686139511281</v>
      </c>
      <c r="U104" s="225">
        <f>SUM(U86:U103)</f>
        <v>5968.2184163454122</v>
      </c>
    </row>
    <row r="105" spans="1:21" s="84" customFormat="1" ht="30.75" customHeight="1" outlineLevel="1">
      <c r="A105" s="294"/>
      <c r="B105" s="144" t="s">
        <v>106</v>
      </c>
      <c r="C105" s="144" t="s">
        <v>159</v>
      </c>
      <c r="D105" s="144" t="s">
        <v>121</v>
      </c>
      <c r="E105" s="144" t="s">
        <v>107</v>
      </c>
      <c r="F105" s="144" t="s">
        <v>108</v>
      </c>
      <c r="G105" s="144" t="s">
        <v>127</v>
      </c>
      <c r="H105" s="144" t="s">
        <v>155</v>
      </c>
      <c r="I105" s="170" t="s">
        <v>145</v>
      </c>
      <c r="J105" s="144" t="s">
        <v>109</v>
      </c>
      <c r="K105" s="144" t="s">
        <v>123</v>
      </c>
      <c r="L105" s="144" t="s">
        <v>113</v>
      </c>
      <c r="M105" s="144" t="s">
        <v>110</v>
      </c>
      <c r="N105" s="144" t="s">
        <v>111</v>
      </c>
      <c r="O105" s="144" t="s">
        <v>112</v>
      </c>
      <c r="T105" s="227" t="s">
        <v>235</v>
      </c>
      <c r="U105" s="227" t="s">
        <v>248</v>
      </c>
    </row>
    <row r="106" spans="1:21" ht="62.25" customHeight="1" outlineLevel="1">
      <c r="A106" s="294"/>
      <c r="B106" s="218">
        <v>1</v>
      </c>
      <c r="C106" s="87" t="s">
        <v>234</v>
      </c>
      <c r="D106" s="92">
        <v>0.15</v>
      </c>
      <c r="E106" s="182" t="s">
        <v>235</v>
      </c>
      <c r="F106" s="195" t="s">
        <v>241</v>
      </c>
      <c r="G106" s="87" t="s">
        <v>186</v>
      </c>
      <c r="H106" s="90"/>
      <c r="I106" s="171"/>
      <c r="J106" s="126">
        <f>IF(H106&gt;0,VLOOKUP(YEAR(H106),SMMLV!A:B,2,FALSE),0)</f>
        <v>0</v>
      </c>
      <c r="K106" s="93">
        <f t="shared" ref="K106:K113" si="19">IF(AND(H106&gt;=$H$5,I106&gt;0),I106/J106*D106,0)</f>
        <v>0</v>
      </c>
      <c r="L106" s="94"/>
      <c r="M106" s="88"/>
      <c r="N106" s="97" t="s">
        <v>114</v>
      </c>
      <c r="O106" s="96" t="s">
        <v>300</v>
      </c>
      <c r="T106" s="203">
        <f t="shared" ref="T106:T111" si="20">+K106</f>
        <v>0</v>
      </c>
      <c r="U106" s="203"/>
    </row>
    <row r="107" spans="1:21" ht="30.75" customHeight="1" outlineLevel="1">
      <c r="A107" s="294"/>
      <c r="B107" s="276">
        <v>2</v>
      </c>
      <c r="C107" s="270" t="s">
        <v>302</v>
      </c>
      <c r="D107" s="288">
        <v>0.2</v>
      </c>
      <c r="E107" s="288" t="s">
        <v>235</v>
      </c>
      <c r="F107" s="270" t="s">
        <v>241</v>
      </c>
      <c r="G107" s="270" t="s">
        <v>186</v>
      </c>
      <c r="H107" s="223">
        <v>42859</v>
      </c>
      <c r="I107" s="172">
        <f>+'Relación Siniestros'!I22</f>
        <v>1877683959</v>
      </c>
      <c r="J107" s="91">
        <f>IF(H107&gt;0,VLOOKUP(YEAR(H107),SMMLV!A:B,2,FALSE),0)</f>
        <v>737717</v>
      </c>
      <c r="K107" s="93">
        <f t="shared" si="19"/>
        <v>509.0526472888655</v>
      </c>
      <c r="L107" s="94">
        <v>29</v>
      </c>
      <c r="M107" s="101">
        <v>84131600</v>
      </c>
      <c r="N107" s="97" t="s">
        <v>122</v>
      </c>
      <c r="O107" s="282" t="s">
        <v>292</v>
      </c>
      <c r="T107" s="203">
        <f t="shared" si="20"/>
        <v>509.0526472888655</v>
      </c>
      <c r="U107" s="203"/>
    </row>
    <row r="108" spans="1:21" ht="30.75" customHeight="1" outlineLevel="1">
      <c r="A108" s="294"/>
      <c r="B108" s="277"/>
      <c r="C108" s="271"/>
      <c r="D108" s="289"/>
      <c r="E108" s="289"/>
      <c r="F108" s="271"/>
      <c r="G108" s="271"/>
      <c r="H108" s="223">
        <v>43455</v>
      </c>
      <c r="I108" s="172">
        <f>+'Relación Siniestros'!I23</f>
        <v>6505619019</v>
      </c>
      <c r="J108" s="91">
        <f>IF(H108&gt;0,VLOOKUP(YEAR(H108),SMMLV!A:B,2,FALSE),0)</f>
        <v>781242</v>
      </c>
      <c r="K108" s="93">
        <f>IF(AND(H108&gt;=$H$5,I108&gt;0),I108/J108*D107,0)</f>
        <v>1665.4555231285569</v>
      </c>
      <c r="L108" s="94">
        <v>29</v>
      </c>
      <c r="M108" s="101">
        <v>84131600</v>
      </c>
      <c r="N108" s="97" t="s">
        <v>122</v>
      </c>
      <c r="O108" s="283"/>
      <c r="T108" s="203">
        <f t="shared" si="20"/>
        <v>1665.4555231285569</v>
      </c>
      <c r="U108" s="203"/>
    </row>
    <row r="109" spans="1:21" ht="30.75" customHeight="1" outlineLevel="1">
      <c r="A109" s="294"/>
      <c r="B109" s="277"/>
      <c r="C109" s="271"/>
      <c r="D109" s="289"/>
      <c r="E109" s="289"/>
      <c r="F109" s="271"/>
      <c r="G109" s="271"/>
      <c r="H109" s="223">
        <v>43822</v>
      </c>
      <c r="I109" s="172">
        <f>+'Relación Siniestros'!I24</f>
        <v>3245469847.5</v>
      </c>
      <c r="J109" s="91">
        <f>IF(H109&gt;0,VLOOKUP(YEAR(H109),SMMLV!A:B,2,FALSE),0)</f>
        <v>828116</v>
      </c>
      <c r="K109" s="93">
        <f>IF(AND(H109&gt;=$H$5,I109&gt;0),I109/J109*D107,0)</f>
        <v>783.82010430905814</v>
      </c>
      <c r="L109" s="94">
        <v>29</v>
      </c>
      <c r="M109" s="101">
        <v>84131600</v>
      </c>
      <c r="N109" s="97" t="s">
        <v>122</v>
      </c>
      <c r="O109" s="283"/>
      <c r="T109" s="203">
        <f t="shared" si="20"/>
        <v>783.82010430905814</v>
      </c>
      <c r="U109" s="203"/>
    </row>
    <row r="110" spans="1:21" ht="30.75" customHeight="1" outlineLevel="1">
      <c r="A110" s="294"/>
      <c r="B110" s="278"/>
      <c r="C110" s="272"/>
      <c r="D110" s="290"/>
      <c r="E110" s="290"/>
      <c r="F110" s="272"/>
      <c r="G110" s="272"/>
      <c r="H110" s="223">
        <v>44049</v>
      </c>
      <c r="I110" s="172">
        <f>+'Relación Siniestros'!I25</f>
        <v>530238310</v>
      </c>
      <c r="J110" s="91">
        <f>IF(H110&gt;0,VLOOKUP(YEAR(H110),SMMLV!A:B,2,FALSE),0)</f>
        <v>877802</v>
      </c>
      <c r="K110" s="197">
        <f>IF(AND(H110&gt;=$H$5,I110&gt;0),I110/J110*D107,0)</f>
        <v>120.81045839494557</v>
      </c>
      <c r="L110" s="198">
        <v>29</v>
      </c>
      <c r="M110" s="194">
        <v>84131600</v>
      </c>
      <c r="N110" s="97" t="s">
        <v>122</v>
      </c>
      <c r="O110" s="284"/>
      <c r="T110" s="203">
        <f t="shared" si="20"/>
        <v>120.81045839494557</v>
      </c>
      <c r="U110" s="203"/>
    </row>
    <row r="111" spans="1:21" ht="30" customHeight="1" outlineLevel="1">
      <c r="A111" s="294"/>
      <c r="B111" s="218">
        <v>3</v>
      </c>
      <c r="C111" s="87" t="s">
        <v>293</v>
      </c>
      <c r="D111" s="92">
        <v>1</v>
      </c>
      <c r="E111" s="182" t="s">
        <v>235</v>
      </c>
      <c r="F111" s="89" t="s">
        <v>241</v>
      </c>
      <c r="G111" s="87" t="s">
        <v>186</v>
      </c>
      <c r="H111" s="90">
        <v>44291</v>
      </c>
      <c r="I111" s="172">
        <v>250834800</v>
      </c>
      <c r="J111" s="91">
        <f>IF(H111&gt;0,VLOOKUP(YEAR(H111),SMMLV!A:B,2,FALSE),0)</f>
        <v>908526</v>
      </c>
      <c r="K111" s="93">
        <f t="shared" si="19"/>
        <v>276.08984222796045</v>
      </c>
      <c r="L111" s="94">
        <v>44</v>
      </c>
      <c r="M111" s="194">
        <v>84131600</v>
      </c>
      <c r="N111" s="97" t="s">
        <v>122</v>
      </c>
      <c r="O111" s="95" t="s">
        <v>294</v>
      </c>
      <c r="T111" s="203">
        <f t="shared" si="20"/>
        <v>276.08984222796045</v>
      </c>
      <c r="U111" s="203"/>
    </row>
    <row r="112" spans="1:21" ht="175.5" customHeight="1" outlineLevel="1">
      <c r="A112" s="294"/>
      <c r="B112" s="218">
        <v>4</v>
      </c>
      <c r="C112" s="87" t="s">
        <v>295</v>
      </c>
      <c r="D112" s="92">
        <v>1</v>
      </c>
      <c r="E112" s="88" t="s">
        <v>296</v>
      </c>
      <c r="F112" s="89" t="s">
        <v>297</v>
      </c>
      <c r="G112" s="87" t="s">
        <v>186</v>
      </c>
      <c r="H112" s="90"/>
      <c r="I112" s="172"/>
      <c r="J112" s="91">
        <f>IF(H112&gt;0,VLOOKUP(YEAR(H112),SMMLV!A:B,2,FALSE),0)</f>
        <v>0</v>
      </c>
      <c r="K112" s="93">
        <f t="shared" si="19"/>
        <v>0</v>
      </c>
      <c r="L112" s="94"/>
      <c r="M112" s="88"/>
      <c r="N112" s="97" t="s">
        <v>114</v>
      </c>
      <c r="O112" s="95" t="s">
        <v>301</v>
      </c>
      <c r="T112" s="203"/>
      <c r="U112" s="203">
        <f>+K112</f>
        <v>0</v>
      </c>
    </row>
    <row r="113" spans="1:21" outlineLevel="1">
      <c r="A113" s="294"/>
      <c r="B113" s="218">
        <v>5</v>
      </c>
      <c r="C113" s="87"/>
      <c r="D113" s="92"/>
      <c r="E113" s="88"/>
      <c r="F113" s="89"/>
      <c r="G113" s="87"/>
      <c r="H113" s="90"/>
      <c r="I113" s="172"/>
      <c r="J113" s="91">
        <f>IF(H113&gt;0,VLOOKUP(YEAR(H113),SMMLV!A:B,2,FALSE),0)</f>
        <v>0</v>
      </c>
      <c r="K113" s="93">
        <f t="shared" si="19"/>
        <v>0</v>
      </c>
      <c r="L113" s="94"/>
      <c r="M113" s="88"/>
      <c r="N113" s="97"/>
      <c r="O113" s="95"/>
      <c r="T113" s="203"/>
      <c r="U113" s="203"/>
    </row>
    <row r="114" spans="1:21">
      <c r="A114" s="294"/>
      <c r="B114" s="237"/>
      <c r="C114" s="103"/>
      <c r="D114" s="100"/>
      <c r="E114" s="103"/>
      <c r="F114" s="103"/>
      <c r="G114" s="103"/>
      <c r="H114" s="103"/>
      <c r="I114" s="173">
        <f>SUM(I106:I113)</f>
        <v>12409845935.5</v>
      </c>
      <c r="J114" s="102"/>
      <c r="K114" s="98">
        <f>SUM(K106:K113)</f>
        <v>3355.228575349387</v>
      </c>
      <c r="L114" s="178"/>
      <c r="M114" s="98"/>
      <c r="N114" s="98"/>
      <c r="O114" s="99"/>
      <c r="T114" s="224">
        <f>SUM(T106:T113)</f>
        <v>3355.228575349387</v>
      </c>
      <c r="U114" s="224">
        <f>SUM(U106:U113)</f>
        <v>0</v>
      </c>
    </row>
    <row r="115" spans="1:21">
      <c r="J115" s="83"/>
      <c r="K115" s="80"/>
      <c r="T115" s="80">
        <f>+J6*50%</f>
        <v>2295</v>
      </c>
      <c r="U115" s="80">
        <f>+J6*50%</f>
        <v>2295</v>
      </c>
    </row>
    <row r="116" spans="1:21" ht="30.75" customHeight="1">
      <c r="A116" s="294" t="s">
        <v>152</v>
      </c>
      <c r="B116" s="86" t="s">
        <v>60</v>
      </c>
      <c r="C116" s="86">
        <f>+C84</f>
        <v>3</v>
      </c>
      <c r="D116" s="86" t="s">
        <v>52</v>
      </c>
      <c r="E116" s="142" t="str">
        <f>VLOOKUP(C116,Directorio!$A$4:$V$6,3,FALSE)</f>
        <v>UT PROSEGUROS-ITAU FNA-VGHA-CM-004-2024</v>
      </c>
      <c r="F116" s="143"/>
      <c r="G116" s="143"/>
      <c r="H116" s="268" t="str">
        <f>+VLOOKUP(C116,Directorio!$A$1:$M$6,13,0)</f>
        <v>(UT PROSEGUROS-ITAU FNA-VGHA-CM-004-2024: PROSEGUROS CORREDORES DE SEGUROS S.A. 050% - ITAÚ CORREDOR DE SEGUROS COLOMBIA 050% -  000%)</v>
      </c>
      <c r="I116" s="268"/>
      <c r="J116" s="268"/>
      <c r="K116" s="268"/>
      <c r="L116" s="268"/>
      <c r="M116" s="269"/>
      <c r="N116" s="117" t="s">
        <v>120</v>
      </c>
      <c r="O116" s="202" t="s">
        <v>192</v>
      </c>
    </row>
    <row r="117" spans="1:21" s="84" customFormat="1" ht="25.5" hidden="1" customHeight="1" outlineLevel="1">
      <c r="A117" s="294"/>
      <c r="B117" s="144" t="s">
        <v>106</v>
      </c>
      <c r="C117" s="144" t="s">
        <v>146</v>
      </c>
      <c r="D117" s="144" t="s">
        <v>121</v>
      </c>
      <c r="E117" s="144" t="s">
        <v>107</v>
      </c>
      <c r="F117" s="144" t="s">
        <v>108</v>
      </c>
      <c r="G117" s="144" t="s">
        <v>127</v>
      </c>
      <c r="H117" s="144" t="s">
        <v>156</v>
      </c>
      <c r="I117" s="170" t="s">
        <v>143</v>
      </c>
      <c r="J117" s="144" t="s">
        <v>109</v>
      </c>
      <c r="K117" s="144" t="s">
        <v>123</v>
      </c>
      <c r="L117" s="144" t="s">
        <v>113</v>
      </c>
      <c r="M117" s="144" t="s">
        <v>110</v>
      </c>
      <c r="N117" s="144" t="s">
        <v>111</v>
      </c>
      <c r="O117" s="144" t="s">
        <v>112</v>
      </c>
    </row>
    <row r="118" spans="1:21" ht="12.75" hidden="1" customHeight="1" outlineLevel="1">
      <c r="A118" s="294"/>
      <c r="B118" s="84">
        <v>1</v>
      </c>
      <c r="C118" s="87"/>
      <c r="D118" s="92"/>
      <c r="E118" s="88"/>
      <c r="F118" s="89"/>
      <c r="G118" s="87"/>
      <c r="H118" s="90"/>
      <c r="I118" s="171"/>
      <c r="J118" s="126">
        <f>IF(H118&gt;0,VLOOKUP(YEAR(H118),SMMLV!A:B,2,FALSE),0)</f>
        <v>0</v>
      </c>
      <c r="K118" s="93">
        <f t="shared" ref="K118:K122" si="21">IF(AND(H118&gt;=$H$5,I118&gt;0),I118/J118*D118,0)</f>
        <v>0</v>
      </c>
      <c r="L118" s="94"/>
      <c r="M118" s="88"/>
      <c r="N118" s="97"/>
      <c r="O118" s="96"/>
    </row>
    <row r="119" spans="1:21" ht="12.75" hidden="1" customHeight="1" outlineLevel="1">
      <c r="A119" s="294"/>
      <c r="B119" s="84">
        <v>2</v>
      </c>
      <c r="C119" s="87"/>
      <c r="D119" s="92" t="s">
        <v>233</v>
      </c>
      <c r="E119" s="88"/>
      <c r="F119" s="89"/>
      <c r="G119" s="87"/>
      <c r="H119" s="90"/>
      <c r="I119" s="172"/>
      <c r="J119" s="91">
        <f>IF(H119&gt;0,VLOOKUP(YEAR(H119),SMMLV!A:B,2,FALSE),0)</f>
        <v>0</v>
      </c>
      <c r="K119" s="93">
        <f t="shared" si="21"/>
        <v>0</v>
      </c>
      <c r="L119" s="94"/>
      <c r="M119" s="88"/>
      <c r="N119" s="97"/>
      <c r="O119" s="95"/>
    </row>
    <row r="120" spans="1:21" ht="12.75" hidden="1" customHeight="1" outlineLevel="1">
      <c r="A120" s="294"/>
      <c r="B120" s="84">
        <v>3</v>
      </c>
      <c r="C120" s="87"/>
      <c r="D120" s="92"/>
      <c r="E120" s="88"/>
      <c r="F120" s="89"/>
      <c r="G120" s="87"/>
      <c r="H120" s="90"/>
      <c r="I120" s="172"/>
      <c r="J120" s="91">
        <f>IF(H120&gt;0,VLOOKUP(YEAR(H120),SMMLV!A:B,2,FALSE),0)</f>
        <v>0</v>
      </c>
      <c r="K120" s="93">
        <f t="shared" si="21"/>
        <v>0</v>
      </c>
      <c r="L120" s="94"/>
      <c r="M120" s="88"/>
      <c r="N120" s="97"/>
      <c r="O120" s="95"/>
    </row>
    <row r="121" spans="1:21" ht="12.75" hidden="1" customHeight="1" outlineLevel="1">
      <c r="A121" s="294"/>
      <c r="B121" s="84">
        <v>4</v>
      </c>
      <c r="C121" s="87"/>
      <c r="D121" s="92"/>
      <c r="E121" s="88"/>
      <c r="F121" s="89"/>
      <c r="G121" s="87"/>
      <c r="H121" s="90"/>
      <c r="I121" s="172"/>
      <c r="J121" s="91">
        <f>IF(H121&gt;0,VLOOKUP(YEAR(H121),SMMLV!A:B,2,FALSE),0)</f>
        <v>0</v>
      </c>
      <c r="K121" s="93">
        <f t="shared" si="21"/>
        <v>0</v>
      </c>
      <c r="L121" s="94"/>
      <c r="M121" s="88"/>
      <c r="N121" s="97"/>
      <c r="O121" s="95"/>
    </row>
    <row r="122" spans="1:21" ht="12.75" hidden="1" customHeight="1" outlineLevel="1">
      <c r="A122" s="294"/>
      <c r="B122" s="84">
        <v>5</v>
      </c>
      <c r="C122" s="87"/>
      <c r="D122" s="92"/>
      <c r="E122" s="88"/>
      <c r="F122" s="89"/>
      <c r="G122" s="87"/>
      <c r="H122" s="90"/>
      <c r="I122" s="172"/>
      <c r="J122" s="91">
        <f>IF(H122&gt;0,VLOOKUP(YEAR(H122),SMMLV!A:B,2,FALSE),0)</f>
        <v>0</v>
      </c>
      <c r="K122" s="93">
        <f t="shared" si="21"/>
        <v>0</v>
      </c>
      <c r="L122" s="94"/>
      <c r="M122" s="88"/>
      <c r="N122" s="97"/>
      <c r="O122" s="95"/>
    </row>
    <row r="123" spans="1:21" ht="12.75" hidden="1" customHeight="1" outlineLevel="1">
      <c r="A123" s="294"/>
      <c r="B123" s="237"/>
      <c r="C123" s="103"/>
      <c r="D123" s="100"/>
      <c r="E123" s="103"/>
      <c r="F123" s="103"/>
      <c r="G123" s="103"/>
      <c r="H123" s="103"/>
      <c r="I123" s="173">
        <f>SUM(I118:I122)</f>
        <v>0</v>
      </c>
      <c r="J123" s="102"/>
      <c r="K123" s="98">
        <f>SUM(K118:K122)</f>
        <v>0</v>
      </c>
      <c r="L123" s="178"/>
      <c r="M123" s="98"/>
      <c r="N123" s="98"/>
      <c r="O123" s="99"/>
    </row>
    <row r="124" spans="1:21" s="84" customFormat="1" ht="30.75" hidden="1" customHeight="1" outlineLevel="1">
      <c r="A124" s="294"/>
      <c r="B124" s="144" t="s">
        <v>106</v>
      </c>
      <c r="C124" s="144" t="s">
        <v>159</v>
      </c>
      <c r="D124" s="144" t="s">
        <v>121</v>
      </c>
      <c r="E124" s="144" t="s">
        <v>107</v>
      </c>
      <c r="F124" s="144" t="s">
        <v>108</v>
      </c>
      <c r="G124" s="144" t="s">
        <v>127</v>
      </c>
      <c r="H124" s="144" t="s">
        <v>155</v>
      </c>
      <c r="I124" s="170" t="s">
        <v>145</v>
      </c>
      <c r="J124" s="144" t="s">
        <v>109</v>
      </c>
      <c r="K124" s="144" t="s">
        <v>123</v>
      </c>
      <c r="L124" s="144" t="s">
        <v>113</v>
      </c>
      <c r="M124" s="144" t="s">
        <v>110</v>
      </c>
      <c r="N124" s="144" t="s">
        <v>111</v>
      </c>
      <c r="O124" s="144" t="s">
        <v>112</v>
      </c>
    </row>
    <row r="125" spans="1:21" ht="12.75" hidden="1" customHeight="1" outlineLevel="1">
      <c r="A125" s="294"/>
      <c r="B125" s="84">
        <v>1</v>
      </c>
      <c r="C125" s="87"/>
      <c r="D125" s="92"/>
      <c r="E125" s="88"/>
      <c r="F125" s="89"/>
      <c r="G125" s="87"/>
      <c r="H125" s="90"/>
      <c r="I125" s="171"/>
      <c r="J125" s="126">
        <f>IF(H125&gt;0,VLOOKUP(YEAR(H125),SMMLV!A:B,2,FALSE),0)</f>
        <v>0</v>
      </c>
      <c r="K125" s="93">
        <f t="shared" ref="K125:K129" si="22">IF(AND(H125&gt;=$H$5,I125&gt;0),I125/J125*D125,0)</f>
        <v>0</v>
      </c>
      <c r="L125" s="94"/>
      <c r="M125" s="88"/>
      <c r="N125" s="97"/>
      <c r="O125" s="96"/>
    </row>
    <row r="126" spans="1:21" ht="12.75" hidden="1" customHeight="1" outlineLevel="1">
      <c r="A126" s="294"/>
      <c r="B126" s="84">
        <v>2</v>
      </c>
      <c r="C126" s="87"/>
      <c r="D126" s="92"/>
      <c r="E126" s="88"/>
      <c r="F126" s="89"/>
      <c r="G126" s="87"/>
      <c r="H126" s="90"/>
      <c r="I126" s="172"/>
      <c r="J126" s="91">
        <f>IF(H126&gt;0,VLOOKUP(YEAR(H126),SMMLV!A:B,2,FALSE),0)</f>
        <v>0</v>
      </c>
      <c r="K126" s="93">
        <f t="shared" si="22"/>
        <v>0</v>
      </c>
      <c r="L126" s="94"/>
      <c r="M126" s="88"/>
      <c r="N126" s="97"/>
      <c r="O126" s="95"/>
    </row>
    <row r="127" spans="1:21" ht="12.75" hidden="1" customHeight="1" outlineLevel="1">
      <c r="A127" s="294"/>
      <c r="B127" s="84">
        <v>3</v>
      </c>
      <c r="C127" s="87"/>
      <c r="D127" s="92"/>
      <c r="E127" s="88"/>
      <c r="F127" s="89"/>
      <c r="G127" s="87"/>
      <c r="H127" s="90"/>
      <c r="I127" s="172"/>
      <c r="J127" s="91">
        <f>IF(H127&gt;0,VLOOKUP(YEAR(H127),SMMLV!A:B,2,FALSE),0)</f>
        <v>0</v>
      </c>
      <c r="K127" s="93">
        <f t="shared" si="22"/>
        <v>0</v>
      </c>
      <c r="L127" s="94"/>
      <c r="M127" s="88"/>
      <c r="N127" s="97"/>
      <c r="O127" s="95"/>
    </row>
    <row r="128" spans="1:21" ht="12.75" hidden="1" customHeight="1" outlineLevel="1">
      <c r="A128" s="294"/>
      <c r="B128" s="84">
        <v>4</v>
      </c>
      <c r="C128" s="87"/>
      <c r="D128" s="92"/>
      <c r="E128" s="88"/>
      <c r="F128" s="89"/>
      <c r="G128" s="87"/>
      <c r="H128" s="90"/>
      <c r="I128" s="172"/>
      <c r="J128" s="91">
        <f>IF(H128&gt;0,VLOOKUP(YEAR(H128),SMMLV!A:B,2,FALSE),0)</f>
        <v>0</v>
      </c>
      <c r="K128" s="93">
        <f t="shared" si="22"/>
        <v>0</v>
      </c>
      <c r="L128" s="94"/>
      <c r="M128" s="88"/>
      <c r="N128" s="97"/>
      <c r="O128" s="95"/>
    </row>
    <row r="129" spans="1:15" ht="12.75" hidden="1" customHeight="1" outlineLevel="1">
      <c r="A129" s="294"/>
      <c r="B129" s="84">
        <v>5</v>
      </c>
      <c r="C129" s="87"/>
      <c r="D129" s="92"/>
      <c r="E129" s="88"/>
      <c r="F129" s="89"/>
      <c r="G129" s="87"/>
      <c r="H129" s="90"/>
      <c r="I129" s="172"/>
      <c r="J129" s="91">
        <f>IF(H129&gt;0,VLOOKUP(YEAR(H129),SMMLV!A:B,2,FALSE),0)</f>
        <v>0</v>
      </c>
      <c r="K129" s="93">
        <f t="shared" si="22"/>
        <v>0</v>
      </c>
      <c r="L129" s="94"/>
      <c r="M129" s="88"/>
      <c r="N129" s="97"/>
      <c r="O129" s="95"/>
    </row>
    <row r="130" spans="1:15" collapsed="1">
      <c r="A130" s="294"/>
      <c r="B130" s="237"/>
      <c r="C130" s="103"/>
      <c r="D130" s="100"/>
      <c r="E130" s="103"/>
      <c r="F130" s="103"/>
      <c r="G130" s="103"/>
      <c r="H130" s="103"/>
      <c r="I130" s="173">
        <f>SUM(I125:I129)</f>
        <v>0</v>
      </c>
      <c r="J130" s="102"/>
      <c r="K130" s="98">
        <f>SUM(K125:K129)</f>
        <v>0</v>
      </c>
      <c r="L130" s="178"/>
      <c r="M130" s="98"/>
      <c r="N130" s="98"/>
      <c r="O130" s="99"/>
    </row>
  </sheetData>
  <sheetProtection algorithmName="SHA-512" hashValue="PEZAT3kkbutXega5cFAxKYWlA+U78Be6zszUvKS2BjV8pbKQbXS/qhQ8P26WSy/va/Roce495/+m6DHu1e8BEw==" saltValue="+8gl53LDQ9/Q9L0BcMtnFQ==" spinCount="100000" sheet="1" objects="1" scenarios="1" selectLockedCells="1" selectUnlockedCells="1"/>
  <mergeCells count="103">
    <mergeCell ref="M48:M50"/>
    <mergeCell ref="N48:N50"/>
    <mergeCell ref="O48:O50"/>
    <mergeCell ref="B48:B50"/>
    <mergeCell ref="G51:G55"/>
    <mergeCell ref="F51:F55"/>
    <mergeCell ref="E51:E55"/>
    <mergeCell ref="C51:C55"/>
    <mergeCell ref="B51:B55"/>
    <mergeCell ref="L51:L55"/>
    <mergeCell ref="M51:M55"/>
    <mergeCell ref="N51:N55"/>
    <mergeCell ref="O51:O55"/>
    <mergeCell ref="F48:F50"/>
    <mergeCell ref="C48:C50"/>
    <mergeCell ref="E48:E50"/>
    <mergeCell ref="B1:S1"/>
    <mergeCell ref="B3:S3"/>
    <mergeCell ref="B2:S2"/>
    <mergeCell ref="D4:E4"/>
    <mergeCell ref="I5:I8"/>
    <mergeCell ref="K5:K8"/>
    <mergeCell ref="A11:A20"/>
    <mergeCell ref="A22:A36"/>
    <mergeCell ref="A38:A66"/>
    <mergeCell ref="C40:C43"/>
    <mergeCell ref="E40:E43"/>
    <mergeCell ref="F40:F43"/>
    <mergeCell ref="G40:G43"/>
    <mergeCell ref="G44:G45"/>
    <mergeCell ref="F44:F45"/>
    <mergeCell ref="C44:C45"/>
    <mergeCell ref="E44:E45"/>
    <mergeCell ref="E46:E47"/>
    <mergeCell ref="C46:C47"/>
    <mergeCell ref="G48:G50"/>
    <mergeCell ref="A5:A6"/>
    <mergeCell ref="N44:N45"/>
    <mergeCell ref="O44:O45"/>
    <mergeCell ref="B44:B45"/>
    <mergeCell ref="O94:O98"/>
    <mergeCell ref="A68:A82"/>
    <mergeCell ref="A84:A114"/>
    <mergeCell ref="A116:A130"/>
    <mergeCell ref="A7:A8"/>
    <mergeCell ref="D5:E8"/>
    <mergeCell ref="F5:F8"/>
    <mergeCell ref="G5:G6"/>
    <mergeCell ref="G7:G8"/>
    <mergeCell ref="L40:L43"/>
    <mergeCell ref="M40:M43"/>
    <mergeCell ref="N40:N43"/>
    <mergeCell ref="O40:O43"/>
    <mergeCell ref="B40:B43"/>
    <mergeCell ref="B46:B47"/>
    <mergeCell ref="F46:F47"/>
    <mergeCell ref="G46:G47"/>
    <mergeCell ref="L44:L45"/>
    <mergeCell ref="M44:M45"/>
    <mergeCell ref="L48:L50"/>
    <mergeCell ref="L46:L47"/>
    <mergeCell ref="M46:M47"/>
    <mergeCell ref="N46:N47"/>
    <mergeCell ref="O46:O47"/>
    <mergeCell ref="O107:O110"/>
    <mergeCell ref="E87:E91"/>
    <mergeCell ref="F87:F91"/>
    <mergeCell ref="O87:O91"/>
    <mergeCell ref="B107:B110"/>
    <mergeCell ref="C107:C110"/>
    <mergeCell ref="D107:D110"/>
    <mergeCell ref="E107:E110"/>
    <mergeCell ref="F107:F110"/>
    <mergeCell ref="B99:B103"/>
    <mergeCell ref="F94:F98"/>
    <mergeCell ref="C94:C98"/>
    <mergeCell ref="E94:E98"/>
    <mergeCell ref="G94:G98"/>
    <mergeCell ref="B94:B98"/>
    <mergeCell ref="C99:C103"/>
    <mergeCell ref="E99:E103"/>
    <mergeCell ref="F99:F103"/>
    <mergeCell ref="L99:L103"/>
    <mergeCell ref="G99:G103"/>
    <mergeCell ref="N99:N103"/>
    <mergeCell ref="O99:O103"/>
    <mergeCell ref="L94:L98"/>
    <mergeCell ref="M94:M98"/>
    <mergeCell ref="N59:N65"/>
    <mergeCell ref="B59:B64"/>
    <mergeCell ref="H116:M116"/>
    <mergeCell ref="C59:C64"/>
    <mergeCell ref="E59:E64"/>
    <mergeCell ref="F59:F64"/>
    <mergeCell ref="G59:G64"/>
    <mergeCell ref="C87:C91"/>
    <mergeCell ref="B87:B91"/>
    <mergeCell ref="N87:N91"/>
    <mergeCell ref="H84:M84"/>
    <mergeCell ref="M99:M103"/>
    <mergeCell ref="L87:L91"/>
    <mergeCell ref="G107:G110"/>
    <mergeCell ref="N94:N98"/>
  </mergeCells>
  <phoneticPr fontId="0" type="noConversion"/>
  <conditionalFormatting sqref="H13:H14 H17:H19 H59:H65 H86:H103">
    <cfRule type="cellIs" dxfId="29" priority="2402" operator="lessThan">
      <formula>$H$5</formula>
    </cfRule>
  </conditionalFormatting>
  <conditionalFormatting sqref="H24:H28 H31:H35">
    <cfRule type="cellIs" dxfId="28" priority="27" operator="lessThan">
      <formula>$H$5</formula>
    </cfRule>
  </conditionalFormatting>
  <conditionalFormatting sqref="H40:H56">
    <cfRule type="cellIs" dxfId="27" priority="22" operator="lessThan">
      <formula>$H$5</formula>
    </cfRule>
  </conditionalFormatting>
  <conditionalFormatting sqref="H70:H74 H77:H81">
    <cfRule type="cellIs" dxfId="26" priority="17" operator="lessThan">
      <formula>$H$5</formula>
    </cfRule>
  </conditionalFormatting>
  <conditionalFormatting sqref="H106:H113">
    <cfRule type="cellIs" dxfId="25" priority="12" operator="lessThan">
      <formula>$H$5</formula>
    </cfRule>
  </conditionalFormatting>
  <conditionalFormatting sqref="H118:H122 H125:H129">
    <cfRule type="cellIs" dxfId="24" priority="7" operator="lessThan">
      <formula>$H$5</formula>
    </cfRule>
  </conditionalFormatting>
  <conditionalFormatting sqref="O13:O15 O56:O57 O59:O65 O86 O104">
    <cfRule type="containsText" dxfId="23" priority="70" operator="containsText" text="ACLARAR">
      <formula>NOT(ISERROR(SEARCH("ACLARAR",O13)))</formula>
    </cfRule>
    <cfRule type="containsText" dxfId="22" priority="71" operator="containsText" text="NO CUMPLE">
      <formula>NOT(ISERROR(SEARCH("NO CUMPLE",O13)))</formula>
    </cfRule>
  </conditionalFormatting>
  <conditionalFormatting sqref="O17:O19">
    <cfRule type="containsText" dxfId="21" priority="28" operator="containsText" text="ACLARAR">
      <formula>NOT(ISERROR(SEARCH("ACLARAR",O17)))</formula>
    </cfRule>
    <cfRule type="containsText" dxfId="20" priority="29" operator="containsText" text="NO CUMPLE">
      <formula>NOT(ISERROR(SEARCH("NO CUMPLE",O17)))</formula>
    </cfRule>
  </conditionalFormatting>
  <conditionalFormatting sqref="O24:O29">
    <cfRule type="containsText" dxfId="19" priority="25" operator="containsText" text="ACLARAR">
      <formula>NOT(ISERROR(SEARCH("ACLARAR",O24)))</formula>
    </cfRule>
    <cfRule type="containsText" dxfId="18" priority="26" operator="containsText" text="NO CUMPLE">
      <formula>NOT(ISERROR(SEARCH("NO CUMPLE",O24)))</formula>
    </cfRule>
  </conditionalFormatting>
  <conditionalFormatting sqref="O31:O35">
    <cfRule type="containsText" dxfId="17" priority="23" operator="containsText" text="ACLARAR">
      <formula>NOT(ISERROR(SEARCH("ACLARAR",O31)))</formula>
    </cfRule>
    <cfRule type="containsText" dxfId="16" priority="24" operator="containsText" text="NO CUMPLE">
      <formula>NOT(ISERROR(SEARCH("NO CUMPLE",O31)))</formula>
    </cfRule>
  </conditionalFormatting>
  <conditionalFormatting sqref="O40 O44 O48">
    <cfRule type="containsText" dxfId="15" priority="20" operator="containsText" text="ACLARAR">
      <formula>NOT(ISERROR(SEARCH("ACLARAR",O40)))</formula>
    </cfRule>
    <cfRule type="containsText" dxfId="14" priority="21" operator="containsText" text="NO CUMPLE">
      <formula>NOT(ISERROR(SEARCH("NO CUMPLE",O40)))</formula>
    </cfRule>
  </conditionalFormatting>
  <conditionalFormatting sqref="O70:O75">
    <cfRule type="containsText" dxfId="13" priority="15" operator="containsText" text="ACLARAR">
      <formula>NOT(ISERROR(SEARCH("ACLARAR",O70)))</formula>
    </cfRule>
    <cfRule type="containsText" dxfId="12" priority="16" operator="containsText" text="NO CUMPLE">
      <formula>NOT(ISERROR(SEARCH("NO CUMPLE",O70)))</formula>
    </cfRule>
  </conditionalFormatting>
  <conditionalFormatting sqref="O77:O81">
    <cfRule type="containsText" dxfId="11" priority="13" operator="containsText" text="ACLARAR">
      <formula>NOT(ISERROR(SEARCH("ACLARAR",O77)))</formula>
    </cfRule>
    <cfRule type="containsText" dxfId="10" priority="14" operator="containsText" text="NO CUMPLE">
      <formula>NOT(ISERROR(SEARCH("NO CUMPLE",O77)))</formula>
    </cfRule>
  </conditionalFormatting>
  <conditionalFormatting sqref="O92:O94">
    <cfRule type="containsText" dxfId="9" priority="1" operator="containsText" text="ACLARAR">
      <formula>NOT(ISERROR(SEARCH("ACLARAR",O92)))</formula>
    </cfRule>
    <cfRule type="containsText" dxfId="8" priority="2" operator="containsText" text="NO CUMPLE">
      <formula>NOT(ISERROR(SEARCH("NO CUMPLE",O92)))</formula>
    </cfRule>
  </conditionalFormatting>
  <conditionalFormatting sqref="O106:O107 O111:O113">
    <cfRule type="containsText" dxfId="7" priority="8" operator="containsText" text="ACLARAR">
      <formula>NOT(ISERROR(SEARCH("ACLARAR",O106)))</formula>
    </cfRule>
    <cfRule type="containsText" dxfId="6" priority="9" operator="containsText" text="NO CUMPLE">
      <formula>NOT(ISERROR(SEARCH("NO CUMPLE",O106)))</formula>
    </cfRule>
  </conditionalFormatting>
  <conditionalFormatting sqref="O118:O123">
    <cfRule type="containsText" dxfId="5" priority="5" operator="containsText" text="ACLARAR">
      <formula>NOT(ISERROR(SEARCH("ACLARAR",O118)))</formula>
    </cfRule>
    <cfRule type="containsText" dxfId="4" priority="6" operator="containsText" text="NO CUMPLE">
      <formula>NOT(ISERROR(SEARCH("NO CUMPLE",O118)))</formula>
    </cfRule>
  </conditionalFormatting>
  <conditionalFormatting sqref="O125:O129">
    <cfRule type="containsText" dxfId="3" priority="3" operator="containsText" text="ACLARAR">
      <formula>NOT(ISERROR(SEARCH("ACLARAR",O125)))</formula>
    </cfRule>
    <cfRule type="containsText" dxfId="2" priority="4" operator="containsText" text="NO CUMPLE">
      <formula>NOT(ISERROR(SEARCH("NO CUMPLE",O125)))</formula>
    </cfRule>
  </conditionalFormatting>
  <dataValidations count="1">
    <dataValidation type="list" allowBlank="1" showInputMessage="1" showErrorMessage="1" sqref="E13:E14 E125:E126 E24:E25 E31:E32 E17:E18 E118:E119 E70:E71 E77:E78" xr:uid="{82D0AF5D-1EB9-45CC-9F0A-E9DFA8C13489}">
      <formula1>#REF!</formula1>
    </dataValidation>
  </dataValidations>
  <printOptions horizontalCentered="1" verticalCentered="1"/>
  <pageMargins left="0.19685039370078741" right="0.15748031496062992" top="1.9685039370078741" bottom="0.74803149606299213" header="0" footer="0"/>
  <pageSetup paperSize="9" scale="48" fitToHeight="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EFCC3-4497-43A5-9C2A-78E00A33AD83}">
  <dimension ref="A1:J234"/>
  <sheetViews>
    <sheetView topLeftCell="C13" workbookViewId="0">
      <selection activeCell="H14" sqref="H14"/>
    </sheetView>
  </sheetViews>
  <sheetFormatPr baseColWidth="10" defaultColWidth="8" defaultRowHeight="12.75"/>
  <cols>
    <col min="1" max="1" width="8.5703125" style="206" customWidth="1"/>
    <col min="2" max="2" width="13.85546875" style="206" customWidth="1"/>
    <col min="3" max="3" width="16.5703125" style="206" customWidth="1"/>
    <col min="4" max="4" width="17" style="206" customWidth="1"/>
    <col min="5" max="5" width="15" style="206" customWidth="1"/>
    <col min="6" max="6" width="11.42578125" style="206" customWidth="1"/>
    <col min="7" max="7" width="10.42578125" style="206" customWidth="1"/>
    <col min="8" max="8" width="17.85546875" style="206" bestFit="1" customWidth="1"/>
    <col min="9" max="9" width="39.7109375" style="206" bestFit="1" customWidth="1"/>
    <col min="10" max="16384" width="8" style="206"/>
  </cols>
  <sheetData>
    <row r="1" spans="1:10" ht="14.25" customHeight="1">
      <c r="A1" s="308" t="s">
        <v>267</v>
      </c>
      <c r="B1" s="308"/>
      <c r="C1" s="308"/>
      <c r="D1" s="308"/>
      <c r="E1" s="308"/>
      <c r="F1" s="308"/>
      <c r="G1" s="308"/>
    </row>
    <row r="2" spans="1:10" ht="24.95" customHeight="1">
      <c r="A2" s="309" t="s">
        <v>268</v>
      </c>
      <c r="B2" s="309"/>
      <c r="C2" s="309"/>
      <c r="D2" s="309"/>
      <c r="E2" s="309"/>
      <c r="F2" s="309"/>
      <c r="G2" s="309"/>
    </row>
    <row r="3" spans="1:10" ht="50.25" customHeight="1">
      <c r="A3" s="310" t="s">
        <v>269</v>
      </c>
      <c r="B3" s="310"/>
      <c r="C3" s="310"/>
      <c r="D3" s="310"/>
      <c r="E3" s="310"/>
      <c r="F3" s="310"/>
      <c r="G3" s="310"/>
    </row>
    <row r="4" spans="1:10" ht="28.5" customHeight="1">
      <c r="A4" s="310" t="s">
        <v>270</v>
      </c>
      <c r="B4" s="310"/>
      <c r="C4" s="310"/>
      <c r="D4" s="310"/>
      <c r="E4" s="310"/>
      <c r="F4" s="310"/>
      <c r="G4" s="310"/>
    </row>
    <row r="5" spans="1:10" ht="37.700000000000003" customHeight="1">
      <c r="A5" s="310" t="s">
        <v>271</v>
      </c>
      <c r="B5" s="310"/>
      <c r="C5" s="310"/>
      <c r="D5" s="310"/>
      <c r="E5" s="310"/>
      <c r="F5" s="310"/>
      <c r="G5" s="310"/>
    </row>
    <row r="6" spans="1:10" ht="14.25" customHeight="1">
      <c r="A6" s="305" t="s">
        <v>272</v>
      </c>
      <c r="B6" s="305"/>
      <c r="C6" s="305"/>
      <c r="D6" s="305"/>
      <c r="E6" s="305"/>
      <c r="F6" s="305"/>
      <c r="G6" s="305"/>
    </row>
    <row r="7" spans="1:10" ht="24.95" customHeight="1">
      <c r="A7" s="305" t="s">
        <v>273</v>
      </c>
      <c r="B7" s="305"/>
      <c r="C7" s="305"/>
      <c r="D7" s="305"/>
      <c r="E7" s="305"/>
      <c r="F7" s="305"/>
      <c r="G7" s="305"/>
    </row>
    <row r="8" spans="1:10" ht="63" customHeight="1">
      <c r="A8" s="305" t="s">
        <v>274</v>
      </c>
      <c r="B8" s="305"/>
      <c r="C8" s="305"/>
      <c r="D8" s="305"/>
      <c r="E8" s="305"/>
      <c r="F8" s="305"/>
      <c r="G8" s="305"/>
    </row>
    <row r="9" spans="1:10" ht="16.5" customHeight="1">
      <c r="A9" s="306" t="s">
        <v>275</v>
      </c>
      <c r="B9" s="306"/>
      <c r="C9" s="306"/>
      <c r="D9" s="306"/>
      <c r="E9" s="306"/>
      <c r="F9" s="306"/>
    </row>
    <row r="10" spans="1:10" ht="49.35" customHeight="1">
      <c r="A10" s="207" t="s">
        <v>276</v>
      </c>
      <c r="B10" s="208" t="s">
        <v>277</v>
      </c>
      <c r="C10" s="209" t="s">
        <v>278</v>
      </c>
      <c r="D10" s="209" t="s">
        <v>279</v>
      </c>
      <c r="E10" s="207" t="s">
        <v>280</v>
      </c>
      <c r="F10" s="208" t="s">
        <v>281</v>
      </c>
    </row>
    <row r="11" spans="1:10">
      <c r="A11" s="210">
        <v>32811</v>
      </c>
      <c r="B11" s="211">
        <v>42735</v>
      </c>
      <c r="C11" s="211">
        <v>43380</v>
      </c>
      <c r="D11" s="212">
        <v>62705945</v>
      </c>
      <c r="E11" s="212">
        <v>12541189</v>
      </c>
      <c r="F11" s="213">
        <v>42859</v>
      </c>
      <c r="H11" s="220" t="s">
        <v>285</v>
      </c>
      <c r="I11" t="s">
        <v>291</v>
      </c>
      <c r="J11"/>
    </row>
    <row r="12" spans="1:10">
      <c r="A12" s="210">
        <v>32829</v>
      </c>
      <c r="B12" s="211">
        <v>42735</v>
      </c>
      <c r="C12" s="211">
        <v>43380</v>
      </c>
      <c r="D12" s="212">
        <v>62705944</v>
      </c>
      <c r="E12" s="212">
        <v>12541188.800000001</v>
      </c>
      <c r="F12" s="213">
        <v>42832</v>
      </c>
      <c r="H12" s="221" t="s">
        <v>287</v>
      </c>
      <c r="I12" s="222">
        <v>1877683959</v>
      </c>
      <c r="J12"/>
    </row>
    <row r="13" spans="1:10">
      <c r="A13" s="210">
        <v>32830</v>
      </c>
      <c r="B13" s="211">
        <v>42735</v>
      </c>
      <c r="C13" s="211">
        <v>43380</v>
      </c>
      <c r="D13" s="212">
        <v>62705944</v>
      </c>
      <c r="E13" s="212">
        <v>12541188.800000001</v>
      </c>
      <c r="F13" s="213">
        <v>42888</v>
      </c>
      <c r="H13" s="221" t="s">
        <v>288</v>
      </c>
      <c r="I13" s="222">
        <v>6505619019</v>
      </c>
      <c r="J13"/>
    </row>
    <row r="14" spans="1:10">
      <c r="A14" s="210">
        <v>32843</v>
      </c>
      <c r="B14" s="211">
        <v>42735</v>
      </c>
      <c r="C14" s="211">
        <v>43380</v>
      </c>
      <c r="D14" s="212">
        <v>62705944</v>
      </c>
      <c r="E14" s="212">
        <v>12541188.800000001</v>
      </c>
      <c r="F14" s="213">
        <v>42900</v>
      </c>
      <c r="H14" s="221" t="s">
        <v>289</v>
      </c>
      <c r="I14" s="222">
        <v>3245469847.5</v>
      </c>
      <c r="J14"/>
    </row>
    <row r="15" spans="1:10">
      <c r="A15" s="210">
        <v>32877</v>
      </c>
      <c r="B15" s="211">
        <v>42735</v>
      </c>
      <c r="C15" s="211">
        <v>43380</v>
      </c>
      <c r="D15" s="212">
        <v>62705945</v>
      </c>
      <c r="E15" s="212">
        <v>12541189</v>
      </c>
      <c r="F15" s="213">
        <v>42935</v>
      </c>
      <c r="H15" s="221" t="s">
        <v>290</v>
      </c>
      <c r="I15" s="222">
        <v>530238310</v>
      </c>
      <c r="J15"/>
    </row>
    <row r="16" spans="1:10">
      <c r="A16" s="210">
        <v>32878</v>
      </c>
      <c r="B16" s="211">
        <v>42735</v>
      </c>
      <c r="C16" s="211">
        <v>43380</v>
      </c>
      <c r="D16" s="212">
        <v>62705945</v>
      </c>
      <c r="E16" s="212">
        <v>12541189</v>
      </c>
      <c r="F16" s="213">
        <v>42963</v>
      </c>
      <c r="H16" s="221" t="s">
        <v>286</v>
      </c>
      <c r="I16" s="222">
        <v>12159011135.5</v>
      </c>
      <c r="J16"/>
    </row>
    <row r="17" spans="1:10">
      <c r="A17" s="210">
        <v>32893</v>
      </c>
      <c r="B17" s="211">
        <v>42735</v>
      </c>
      <c r="C17" s="211">
        <v>43380</v>
      </c>
      <c r="D17" s="212">
        <v>62705445</v>
      </c>
      <c r="E17" s="212">
        <v>12541089</v>
      </c>
      <c r="F17" s="213">
        <v>43018</v>
      </c>
      <c r="H17"/>
      <c r="I17"/>
      <c r="J17"/>
    </row>
    <row r="18" spans="1:10">
      <c r="A18" s="210">
        <v>32896</v>
      </c>
      <c r="B18" s="211">
        <v>42735</v>
      </c>
      <c r="C18" s="211">
        <v>43380</v>
      </c>
      <c r="D18" s="212">
        <v>62705945</v>
      </c>
      <c r="E18" s="212">
        <v>12541189</v>
      </c>
      <c r="F18" s="213">
        <v>43004</v>
      </c>
      <c r="H18"/>
      <c r="I18"/>
      <c r="J18"/>
    </row>
    <row r="19" spans="1:10">
      <c r="A19" s="210">
        <v>32915</v>
      </c>
      <c r="B19" s="211">
        <v>42735</v>
      </c>
      <c r="C19" s="211">
        <v>43380</v>
      </c>
      <c r="D19" s="212">
        <v>62705945</v>
      </c>
      <c r="E19" s="212">
        <v>12541189</v>
      </c>
      <c r="F19" s="213">
        <v>42921</v>
      </c>
      <c r="H19"/>
      <c r="I19"/>
      <c r="J19"/>
    </row>
    <row r="20" spans="1:10">
      <c r="A20" s="214">
        <v>32916</v>
      </c>
      <c r="B20" s="215">
        <v>42735</v>
      </c>
      <c r="C20" s="215">
        <v>43380</v>
      </c>
      <c r="D20" s="216">
        <v>36885850</v>
      </c>
      <c r="E20" s="216">
        <v>7377170</v>
      </c>
      <c r="F20" s="217">
        <v>42928</v>
      </c>
      <c r="H20"/>
      <c r="I20"/>
      <c r="J20"/>
    </row>
    <row r="21" spans="1:10">
      <c r="A21" s="210">
        <v>32917</v>
      </c>
      <c r="B21" s="211">
        <v>42735</v>
      </c>
      <c r="C21" s="211">
        <v>43380</v>
      </c>
      <c r="D21" s="212">
        <v>62705945</v>
      </c>
      <c r="E21" s="212">
        <v>12541189</v>
      </c>
      <c r="F21" s="213">
        <v>42940</v>
      </c>
      <c r="H21" t="s">
        <v>285</v>
      </c>
      <c r="I21" t="s">
        <v>291</v>
      </c>
      <c r="J21"/>
    </row>
    <row r="22" spans="1:10">
      <c r="A22" s="210">
        <v>32936</v>
      </c>
      <c r="B22" s="211">
        <v>42735</v>
      </c>
      <c r="C22" s="211">
        <v>43380</v>
      </c>
      <c r="D22" s="212">
        <v>62705944</v>
      </c>
      <c r="E22" s="212">
        <v>12541188.800000001</v>
      </c>
      <c r="F22" s="213">
        <v>42944</v>
      </c>
      <c r="H22" t="s">
        <v>287</v>
      </c>
      <c r="I22">
        <v>1877683959</v>
      </c>
      <c r="J22"/>
    </row>
    <row r="23" spans="1:10">
      <c r="A23" s="210">
        <v>32971</v>
      </c>
      <c r="B23" s="211">
        <v>42735</v>
      </c>
      <c r="C23" s="211">
        <v>43380</v>
      </c>
      <c r="D23" s="212">
        <v>36885850</v>
      </c>
      <c r="E23" s="212">
        <v>7377170</v>
      </c>
      <c r="F23" s="213">
        <v>42998</v>
      </c>
      <c r="H23" t="s">
        <v>288</v>
      </c>
      <c r="I23">
        <v>6505619019</v>
      </c>
      <c r="J23"/>
    </row>
    <row r="24" spans="1:10">
      <c r="A24" s="210">
        <v>32975</v>
      </c>
      <c r="B24" s="211">
        <v>42735</v>
      </c>
      <c r="C24" s="211">
        <v>43380</v>
      </c>
      <c r="D24" s="212">
        <v>36885850</v>
      </c>
      <c r="E24" s="212">
        <v>7377170</v>
      </c>
      <c r="F24" s="213">
        <v>42963</v>
      </c>
      <c r="H24" t="s">
        <v>289</v>
      </c>
      <c r="I24">
        <v>3245469847.5</v>
      </c>
      <c r="J24"/>
    </row>
    <row r="25" spans="1:10">
      <c r="A25" s="210">
        <v>32976</v>
      </c>
      <c r="B25" s="211">
        <v>42735</v>
      </c>
      <c r="C25" s="211">
        <v>43380</v>
      </c>
      <c r="D25" s="212">
        <v>317218310</v>
      </c>
      <c r="E25" s="212">
        <v>63443662</v>
      </c>
      <c r="F25" s="213">
        <v>43004</v>
      </c>
      <c r="H25" t="s">
        <v>290</v>
      </c>
      <c r="I25">
        <v>530238310</v>
      </c>
      <c r="J25"/>
    </row>
    <row r="26" spans="1:10">
      <c r="A26" s="210">
        <v>32998</v>
      </c>
      <c r="B26" s="211">
        <v>42735</v>
      </c>
      <c r="C26" s="211">
        <v>43380</v>
      </c>
      <c r="D26" s="212">
        <v>195000</v>
      </c>
      <c r="E26" s="212">
        <v>39000</v>
      </c>
      <c r="F26" s="213">
        <v>43074</v>
      </c>
      <c r="H26" t="s">
        <v>286</v>
      </c>
      <c r="I26">
        <v>12159011135.5</v>
      </c>
      <c r="J26"/>
    </row>
    <row r="27" spans="1:10">
      <c r="A27" s="210">
        <v>32999</v>
      </c>
      <c r="B27" s="211">
        <v>42735</v>
      </c>
      <c r="C27" s="211">
        <v>43380</v>
      </c>
      <c r="D27" s="212">
        <v>62705945</v>
      </c>
      <c r="E27" s="212">
        <v>12541189</v>
      </c>
      <c r="F27" s="213">
        <v>43018</v>
      </c>
      <c r="H27"/>
      <c r="I27"/>
      <c r="J27"/>
    </row>
    <row r="28" spans="1:10">
      <c r="A28" s="210">
        <v>33001</v>
      </c>
      <c r="B28" s="211">
        <v>42735</v>
      </c>
      <c r="C28" s="211">
        <v>43380</v>
      </c>
      <c r="D28" s="212">
        <v>36885850</v>
      </c>
      <c r="E28" s="212">
        <v>7377170</v>
      </c>
      <c r="F28" s="213">
        <v>43005</v>
      </c>
      <c r="H28"/>
      <c r="I28"/>
      <c r="J28"/>
    </row>
    <row r="29" spans="1:10">
      <c r="A29" s="210">
        <v>33012</v>
      </c>
      <c r="B29" s="211">
        <v>42735</v>
      </c>
      <c r="C29" s="211">
        <v>43380</v>
      </c>
      <c r="D29" s="212">
        <v>62705644</v>
      </c>
      <c r="E29" s="212">
        <v>12541128.800000001</v>
      </c>
      <c r="F29" s="213">
        <v>43028</v>
      </c>
      <c r="H29"/>
    </row>
    <row r="30" spans="1:10">
      <c r="A30" s="210">
        <v>33014</v>
      </c>
      <c r="B30" s="211">
        <v>42735</v>
      </c>
      <c r="C30" s="211">
        <v>43380</v>
      </c>
      <c r="D30" s="212">
        <v>62705944</v>
      </c>
      <c r="E30" s="212">
        <v>12541188.800000001</v>
      </c>
      <c r="F30" s="213">
        <v>43011</v>
      </c>
      <c r="H30"/>
    </row>
    <row r="31" spans="1:10">
      <c r="A31" s="210">
        <v>33027</v>
      </c>
      <c r="B31" s="211">
        <v>42735</v>
      </c>
      <c r="C31" s="211">
        <v>43380</v>
      </c>
      <c r="D31" s="212">
        <v>36885850</v>
      </c>
      <c r="E31" s="212">
        <v>7377170</v>
      </c>
      <c r="F31" s="213">
        <v>43021</v>
      </c>
      <c r="H31"/>
    </row>
    <row r="32" spans="1:10">
      <c r="A32" s="210">
        <v>33033</v>
      </c>
      <c r="B32" s="211">
        <v>42735</v>
      </c>
      <c r="C32" s="211">
        <v>43380</v>
      </c>
      <c r="D32" s="212">
        <v>62705945</v>
      </c>
      <c r="E32" s="212">
        <v>12541189</v>
      </c>
      <c r="F32" s="213">
        <v>43021</v>
      </c>
      <c r="H32"/>
    </row>
    <row r="33" spans="1:8">
      <c r="A33" s="210">
        <v>33034</v>
      </c>
      <c r="B33" s="211">
        <v>42735</v>
      </c>
      <c r="C33" s="211">
        <v>43380</v>
      </c>
      <c r="D33" s="212">
        <v>36885850</v>
      </c>
      <c r="E33" s="212">
        <v>7377170</v>
      </c>
      <c r="F33" s="213">
        <v>43013</v>
      </c>
      <c r="H33"/>
    </row>
    <row r="34" spans="1:8">
      <c r="A34" s="210">
        <v>33035</v>
      </c>
      <c r="B34" s="211">
        <v>42735</v>
      </c>
      <c r="C34" s="211">
        <v>43380</v>
      </c>
      <c r="D34" s="212">
        <v>36885850</v>
      </c>
      <c r="E34" s="212">
        <v>7377170</v>
      </c>
      <c r="F34" s="213">
        <v>43025</v>
      </c>
      <c r="H34"/>
    </row>
    <row r="35" spans="1:8">
      <c r="A35" s="210">
        <v>33037</v>
      </c>
      <c r="B35" s="211">
        <v>42735</v>
      </c>
      <c r="C35" s="211">
        <v>43380</v>
      </c>
      <c r="D35" s="212">
        <v>36885850</v>
      </c>
      <c r="E35" s="212">
        <v>7377170</v>
      </c>
      <c r="F35" s="213">
        <v>43021</v>
      </c>
      <c r="H35"/>
    </row>
    <row r="36" spans="1:8">
      <c r="A36" s="210">
        <v>33038</v>
      </c>
      <c r="B36" s="211">
        <v>42735</v>
      </c>
      <c r="C36" s="211">
        <v>43380</v>
      </c>
      <c r="D36" s="212">
        <v>36885850</v>
      </c>
      <c r="E36" s="212">
        <v>7377170</v>
      </c>
      <c r="F36" s="213">
        <v>43074</v>
      </c>
      <c r="H36"/>
    </row>
    <row r="37" spans="1:8">
      <c r="A37" s="210">
        <v>33067</v>
      </c>
      <c r="B37" s="211">
        <v>42735</v>
      </c>
      <c r="C37" s="211">
        <v>43380</v>
      </c>
      <c r="D37" s="212">
        <v>62705943</v>
      </c>
      <c r="E37" s="212">
        <v>12541188.6</v>
      </c>
      <c r="F37" s="213">
        <v>43111</v>
      </c>
      <c r="H37"/>
    </row>
    <row r="38" spans="1:8">
      <c r="A38" s="210">
        <v>33073</v>
      </c>
      <c r="B38" s="211">
        <v>42735</v>
      </c>
      <c r="C38" s="211">
        <v>43380</v>
      </c>
      <c r="D38" s="212">
        <v>36885850</v>
      </c>
      <c r="E38" s="212">
        <v>7377170</v>
      </c>
      <c r="F38" s="213">
        <v>43060</v>
      </c>
      <c r="H38"/>
    </row>
    <row r="39" spans="1:8">
      <c r="A39" s="210">
        <v>33080</v>
      </c>
      <c r="B39" s="211">
        <v>42735</v>
      </c>
      <c r="C39" s="211">
        <v>43380</v>
      </c>
      <c r="D39" s="212">
        <v>62705945</v>
      </c>
      <c r="E39" s="212">
        <v>12541189</v>
      </c>
      <c r="F39" s="213">
        <v>43048</v>
      </c>
      <c r="H39"/>
    </row>
    <row r="40" spans="1:8">
      <c r="A40" s="210">
        <v>33081</v>
      </c>
      <c r="B40" s="211">
        <v>42735</v>
      </c>
      <c r="C40" s="211">
        <v>43380</v>
      </c>
      <c r="D40" s="212">
        <v>62705945</v>
      </c>
      <c r="E40" s="212">
        <v>12541189</v>
      </c>
      <c r="F40" s="213">
        <v>43102</v>
      </c>
      <c r="H40"/>
    </row>
    <row r="41" spans="1:8">
      <c r="A41" s="210">
        <v>33104</v>
      </c>
      <c r="B41" s="211">
        <v>42735</v>
      </c>
      <c r="C41" s="211">
        <v>43380</v>
      </c>
      <c r="D41" s="212">
        <v>62705945</v>
      </c>
      <c r="E41" s="212">
        <v>12541189</v>
      </c>
      <c r="F41" s="213">
        <v>43084</v>
      </c>
      <c r="H41"/>
    </row>
    <row r="42" spans="1:8">
      <c r="A42" s="210">
        <v>33105</v>
      </c>
      <c r="B42" s="211">
        <v>42735</v>
      </c>
      <c r="C42" s="211">
        <v>43380</v>
      </c>
      <c r="D42" s="212">
        <v>62705945</v>
      </c>
      <c r="E42" s="212">
        <v>12541189</v>
      </c>
      <c r="F42" s="213">
        <v>43084</v>
      </c>
      <c r="H42"/>
    </row>
    <row r="43" spans="1:8">
      <c r="A43" s="210">
        <v>33106</v>
      </c>
      <c r="B43" s="211">
        <v>42735</v>
      </c>
      <c r="C43" s="211">
        <v>43380</v>
      </c>
      <c r="D43" s="212">
        <v>62705945</v>
      </c>
      <c r="E43" s="212">
        <v>12541189</v>
      </c>
      <c r="F43" s="213">
        <v>43084</v>
      </c>
      <c r="H43"/>
    </row>
    <row r="44" spans="1:8">
      <c r="A44" s="210">
        <v>33117</v>
      </c>
      <c r="B44" s="211">
        <v>42735</v>
      </c>
      <c r="C44" s="211">
        <v>43380</v>
      </c>
      <c r="D44" s="212">
        <v>62705945</v>
      </c>
      <c r="E44" s="212">
        <v>12541189</v>
      </c>
      <c r="F44" s="213">
        <v>43102</v>
      </c>
      <c r="H44"/>
    </row>
    <row r="45" spans="1:8">
      <c r="A45" s="210">
        <v>33126</v>
      </c>
      <c r="B45" s="211">
        <v>42735</v>
      </c>
      <c r="C45" s="211">
        <v>43380</v>
      </c>
      <c r="D45" s="212">
        <v>36885850</v>
      </c>
      <c r="E45" s="212">
        <v>7377170</v>
      </c>
      <c r="F45" s="213">
        <v>43102</v>
      </c>
      <c r="H45"/>
    </row>
    <row r="46" spans="1:8">
      <c r="A46" s="210">
        <v>33135</v>
      </c>
      <c r="B46" s="211">
        <v>42735</v>
      </c>
      <c r="C46" s="211">
        <v>43380</v>
      </c>
      <c r="D46" s="212">
        <v>37080850</v>
      </c>
      <c r="E46" s="212">
        <v>7416170</v>
      </c>
      <c r="F46" s="213">
        <v>43102</v>
      </c>
      <c r="H46"/>
    </row>
    <row r="47" spans="1:8">
      <c r="A47" s="210">
        <v>33153</v>
      </c>
      <c r="B47" s="211">
        <v>42735</v>
      </c>
      <c r="C47" s="211">
        <v>43380</v>
      </c>
      <c r="D47" s="212">
        <v>62705945</v>
      </c>
      <c r="E47" s="212">
        <v>12541189</v>
      </c>
      <c r="F47" s="213">
        <v>43166</v>
      </c>
      <c r="H47"/>
    </row>
    <row r="48" spans="1:8">
      <c r="A48" s="210">
        <v>33156</v>
      </c>
      <c r="B48" s="211">
        <v>42735</v>
      </c>
      <c r="C48" s="211">
        <v>43380</v>
      </c>
      <c r="D48" s="212">
        <v>37080850</v>
      </c>
      <c r="E48" s="212">
        <v>7416170</v>
      </c>
      <c r="F48" s="213">
        <v>43206</v>
      </c>
      <c r="H48"/>
    </row>
    <row r="49" spans="1:8">
      <c r="A49" s="210">
        <v>33158</v>
      </c>
      <c r="B49" s="211">
        <v>42735</v>
      </c>
      <c r="C49" s="211">
        <v>43380</v>
      </c>
      <c r="D49" s="212">
        <v>62705945</v>
      </c>
      <c r="E49" s="212">
        <v>12541189</v>
      </c>
      <c r="F49" s="213">
        <v>43182</v>
      </c>
      <c r="H49"/>
    </row>
    <row r="50" spans="1:8">
      <c r="A50" s="210">
        <v>33161</v>
      </c>
      <c r="B50" s="211">
        <v>42735</v>
      </c>
      <c r="C50" s="211">
        <v>43380</v>
      </c>
      <c r="D50" s="212">
        <v>62705944</v>
      </c>
      <c r="E50" s="212">
        <v>12541188.800000001</v>
      </c>
      <c r="F50" s="213">
        <v>43143</v>
      </c>
      <c r="H50"/>
    </row>
    <row r="51" spans="1:8">
      <c r="A51" s="210">
        <v>33164</v>
      </c>
      <c r="B51" s="211">
        <v>42736</v>
      </c>
      <c r="C51" s="211">
        <v>43380</v>
      </c>
      <c r="D51" s="212">
        <v>317218310</v>
      </c>
      <c r="E51" s="212">
        <v>63443662</v>
      </c>
      <c r="F51" s="213">
        <v>43102</v>
      </c>
      <c r="H51"/>
    </row>
    <row r="52" spans="1:8">
      <c r="A52" s="210">
        <v>33165</v>
      </c>
      <c r="B52" s="211">
        <v>42736</v>
      </c>
      <c r="C52" s="211">
        <v>43380</v>
      </c>
      <c r="D52" s="212">
        <v>36885850</v>
      </c>
      <c r="E52" s="212">
        <v>7377170</v>
      </c>
      <c r="F52" s="213">
        <v>43130</v>
      </c>
      <c r="H52"/>
    </row>
    <row r="53" spans="1:8">
      <c r="A53" s="210">
        <v>33166</v>
      </c>
      <c r="B53" s="211">
        <v>42736</v>
      </c>
      <c r="C53" s="211">
        <v>43380</v>
      </c>
      <c r="D53" s="212">
        <v>317218310</v>
      </c>
      <c r="E53" s="212">
        <v>63443662</v>
      </c>
      <c r="F53" s="213">
        <v>43102</v>
      </c>
      <c r="H53"/>
    </row>
    <row r="54" spans="1:8">
      <c r="A54" s="210">
        <v>33185</v>
      </c>
      <c r="B54" s="211">
        <v>42736</v>
      </c>
      <c r="C54" s="211">
        <v>43380</v>
      </c>
      <c r="D54" s="212">
        <v>36885850</v>
      </c>
      <c r="E54" s="212">
        <v>7377170</v>
      </c>
      <c r="F54" s="213">
        <v>43206</v>
      </c>
      <c r="H54"/>
    </row>
    <row r="55" spans="1:8">
      <c r="A55" s="210">
        <v>33187</v>
      </c>
      <c r="B55" s="211">
        <v>42736</v>
      </c>
      <c r="C55" s="211">
        <v>43380</v>
      </c>
      <c r="D55" s="212">
        <v>317218310</v>
      </c>
      <c r="E55" s="212">
        <v>63443662</v>
      </c>
      <c r="F55" s="213">
        <v>43130</v>
      </c>
      <c r="H55"/>
    </row>
    <row r="56" spans="1:8">
      <c r="A56" s="210">
        <v>33197</v>
      </c>
      <c r="B56" s="211">
        <v>42736</v>
      </c>
      <c r="C56" s="211">
        <v>43380</v>
      </c>
      <c r="D56" s="212">
        <v>37080850</v>
      </c>
      <c r="E56" s="212">
        <v>7416170</v>
      </c>
      <c r="F56" s="213">
        <v>43172</v>
      </c>
      <c r="H56"/>
    </row>
    <row r="57" spans="1:8">
      <c r="A57" s="210">
        <v>33200</v>
      </c>
      <c r="B57" s="211">
        <v>42736</v>
      </c>
      <c r="C57" s="211">
        <v>43380</v>
      </c>
      <c r="D57" s="212">
        <v>62705945</v>
      </c>
      <c r="E57" s="212">
        <v>12541189</v>
      </c>
      <c r="F57" s="213">
        <v>43503</v>
      </c>
      <c r="H57"/>
    </row>
    <row r="58" spans="1:8">
      <c r="A58" s="214">
        <v>33201</v>
      </c>
      <c r="B58" s="215">
        <v>42736</v>
      </c>
      <c r="C58" s="215">
        <v>43380</v>
      </c>
      <c r="D58" s="216">
        <v>62705945</v>
      </c>
      <c r="E58" s="216">
        <v>12541189</v>
      </c>
      <c r="F58" s="217">
        <v>43185</v>
      </c>
      <c r="H58"/>
    </row>
    <row r="59" spans="1:8">
      <c r="A59" s="210">
        <v>33203</v>
      </c>
      <c r="B59" s="211">
        <v>42736</v>
      </c>
      <c r="C59" s="211">
        <v>43380</v>
      </c>
      <c r="D59" s="212">
        <v>62705945</v>
      </c>
      <c r="E59" s="212">
        <v>12541189</v>
      </c>
      <c r="F59" s="213">
        <v>43166</v>
      </c>
      <c r="H59"/>
    </row>
    <row r="60" spans="1:8">
      <c r="A60" s="210">
        <v>33205</v>
      </c>
      <c r="B60" s="211">
        <v>42736</v>
      </c>
      <c r="C60" s="211">
        <v>43380</v>
      </c>
      <c r="D60" s="212">
        <v>62705945</v>
      </c>
      <c r="E60" s="212">
        <v>12541189</v>
      </c>
      <c r="F60" s="213">
        <v>43207</v>
      </c>
      <c r="H60"/>
    </row>
    <row r="61" spans="1:8">
      <c r="A61" s="210">
        <v>33238</v>
      </c>
      <c r="B61" s="211">
        <v>42736</v>
      </c>
      <c r="C61" s="211">
        <v>43380</v>
      </c>
      <c r="D61" s="212">
        <v>66405570</v>
      </c>
      <c r="E61" s="212">
        <v>13281114</v>
      </c>
      <c r="F61" s="213">
        <v>43161</v>
      </c>
      <c r="H61"/>
    </row>
    <row r="62" spans="1:8">
      <c r="A62" s="210">
        <v>33242</v>
      </c>
      <c r="B62" s="211">
        <v>42736</v>
      </c>
      <c r="C62" s="211">
        <v>43380</v>
      </c>
      <c r="D62" s="212">
        <v>36885850</v>
      </c>
      <c r="E62" s="212">
        <v>7377170</v>
      </c>
      <c r="F62" s="213">
        <v>43166</v>
      </c>
      <c r="H62"/>
    </row>
    <row r="63" spans="1:8">
      <c r="A63" s="210">
        <v>33243</v>
      </c>
      <c r="B63" s="211">
        <v>42736</v>
      </c>
      <c r="C63" s="211">
        <v>43380</v>
      </c>
      <c r="D63" s="212">
        <v>37080850</v>
      </c>
      <c r="E63" s="212">
        <v>7416170</v>
      </c>
      <c r="F63" s="213">
        <v>43263</v>
      </c>
      <c r="H63"/>
    </row>
    <row r="64" spans="1:8">
      <c r="A64" s="210">
        <v>33252</v>
      </c>
      <c r="B64" s="211">
        <v>42736</v>
      </c>
      <c r="C64" s="211">
        <v>43380</v>
      </c>
      <c r="D64" s="212">
        <v>317218310</v>
      </c>
      <c r="E64" s="212">
        <v>63443662</v>
      </c>
      <c r="F64" s="213">
        <v>43214</v>
      </c>
      <c r="H64"/>
    </row>
    <row r="65" spans="1:8">
      <c r="A65" s="210">
        <v>33253</v>
      </c>
      <c r="B65" s="211">
        <v>42736</v>
      </c>
      <c r="C65" s="211">
        <v>43380</v>
      </c>
      <c r="D65" s="212">
        <v>36885850</v>
      </c>
      <c r="E65" s="212">
        <v>7377170</v>
      </c>
      <c r="F65" s="213">
        <v>43173</v>
      </c>
      <c r="H65"/>
    </row>
    <row r="66" spans="1:8">
      <c r="A66" s="210">
        <v>33254</v>
      </c>
      <c r="B66" s="211">
        <v>42736</v>
      </c>
      <c r="C66" s="211">
        <v>43380</v>
      </c>
      <c r="D66" s="212">
        <v>36885850</v>
      </c>
      <c r="E66" s="212">
        <v>7377170</v>
      </c>
      <c r="F66" s="213">
        <v>43173</v>
      </c>
      <c r="H66"/>
    </row>
    <row r="67" spans="1:8">
      <c r="A67" s="210">
        <v>33255</v>
      </c>
      <c r="B67" s="211">
        <v>42736</v>
      </c>
      <c r="C67" s="211">
        <v>43380</v>
      </c>
      <c r="D67" s="212">
        <v>62705944</v>
      </c>
      <c r="E67" s="212">
        <v>12541188.800000001</v>
      </c>
      <c r="F67" s="213">
        <v>43206</v>
      </c>
      <c r="H67"/>
    </row>
    <row r="68" spans="1:8">
      <c r="A68" s="210">
        <v>33258</v>
      </c>
      <c r="B68" s="211">
        <v>42736</v>
      </c>
      <c r="C68" s="211">
        <v>43380</v>
      </c>
      <c r="D68" s="212">
        <v>36885850</v>
      </c>
      <c r="E68" s="212">
        <v>7377170</v>
      </c>
      <c r="F68" s="213">
        <v>43224</v>
      </c>
      <c r="H68"/>
    </row>
    <row r="69" spans="1:8">
      <c r="A69" s="210">
        <v>33261</v>
      </c>
      <c r="B69" s="211">
        <v>42736</v>
      </c>
      <c r="C69" s="211">
        <v>43380</v>
      </c>
      <c r="D69" s="212">
        <v>62705945</v>
      </c>
      <c r="E69" s="212">
        <v>12541189</v>
      </c>
      <c r="F69" s="213">
        <v>43210</v>
      </c>
      <c r="H69"/>
    </row>
    <row r="70" spans="1:8">
      <c r="A70" s="210">
        <v>33266</v>
      </c>
      <c r="B70" s="211">
        <v>42736</v>
      </c>
      <c r="C70" s="211">
        <v>43380</v>
      </c>
      <c r="D70" s="212">
        <v>62705945</v>
      </c>
      <c r="E70" s="212">
        <v>12541189</v>
      </c>
      <c r="F70" s="213">
        <v>43227</v>
      </c>
      <c r="H70"/>
    </row>
    <row r="71" spans="1:8">
      <c r="A71" s="210">
        <v>33282</v>
      </c>
      <c r="B71" s="211">
        <v>42736</v>
      </c>
      <c r="C71" s="211">
        <v>43380</v>
      </c>
      <c r="D71" s="212">
        <v>37080850</v>
      </c>
      <c r="E71" s="212">
        <v>7416170</v>
      </c>
      <c r="F71" s="213">
        <v>43263</v>
      </c>
      <c r="H71"/>
    </row>
    <row r="72" spans="1:8">
      <c r="A72" s="210">
        <v>33287</v>
      </c>
      <c r="B72" s="211">
        <v>42736</v>
      </c>
      <c r="C72" s="211">
        <v>43380</v>
      </c>
      <c r="D72" s="212">
        <v>62705945</v>
      </c>
      <c r="E72" s="212">
        <v>12541189</v>
      </c>
      <c r="F72" s="213">
        <v>43227</v>
      </c>
      <c r="H72"/>
    </row>
    <row r="73" spans="1:8">
      <c r="A73" s="210">
        <v>33288</v>
      </c>
      <c r="B73" s="211">
        <v>42736</v>
      </c>
      <c r="C73" s="211">
        <v>43380</v>
      </c>
      <c r="D73" s="212">
        <v>36885850</v>
      </c>
      <c r="E73" s="212">
        <v>7377170</v>
      </c>
      <c r="F73" s="213">
        <v>43258</v>
      </c>
      <c r="H73"/>
    </row>
    <row r="74" spans="1:8">
      <c r="A74" s="210">
        <v>33289</v>
      </c>
      <c r="B74" s="211">
        <v>42736</v>
      </c>
      <c r="C74" s="211">
        <v>43380</v>
      </c>
      <c r="D74" s="212">
        <v>62705945</v>
      </c>
      <c r="E74" s="212">
        <v>12541189</v>
      </c>
      <c r="F74" s="213">
        <v>43329</v>
      </c>
      <c r="H74"/>
    </row>
    <row r="75" spans="1:8">
      <c r="A75" s="210">
        <v>33292</v>
      </c>
      <c r="B75" s="211">
        <v>42736</v>
      </c>
      <c r="C75" s="211">
        <v>43380</v>
      </c>
      <c r="D75" s="212">
        <v>66405570</v>
      </c>
      <c r="E75" s="212">
        <v>13281114</v>
      </c>
      <c r="F75" s="213">
        <v>43231</v>
      </c>
      <c r="H75"/>
    </row>
    <row r="76" spans="1:8">
      <c r="A76" s="210">
        <v>33293</v>
      </c>
      <c r="B76" s="211">
        <v>42736</v>
      </c>
      <c r="C76" s="211">
        <v>43380</v>
      </c>
      <c r="D76" s="212">
        <v>37080850</v>
      </c>
      <c r="E76" s="212">
        <v>7416170</v>
      </c>
      <c r="F76" s="213">
        <v>43263</v>
      </c>
      <c r="H76"/>
    </row>
    <row r="77" spans="1:8">
      <c r="A77" s="210">
        <v>33294</v>
      </c>
      <c r="B77" s="211">
        <v>42736</v>
      </c>
      <c r="C77" s="211">
        <v>43380</v>
      </c>
      <c r="D77" s="212">
        <v>66405570</v>
      </c>
      <c r="E77" s="212">
        <v>13281114</v>
      </c>
      <c r="F77" s="213">
        <v>43249</v>
      </c>
      <c r="H77"/>
    </row>
    <row r="78" spans="1:8">
      <c r="A78" s="210">
        <v>33295</v>
      </c>
      <c r="B78" s="211">
        <v>42736</v>
      </c>
      <c r="C78" s="211">
        <v>43380</v>
      </c>
      <c r="D78" s="212">
        <v>66405570</v>
      </c>
      <c r="E78" s="212">
        <v>13281114</v>
      </c>
      <c r="F78" s="213">
        <v>43325</v>
      </c>
      <c r="H78"/>
    </row>
    <row r="79" spans="1:8">
      <c r="A79" s="210">
        <v>33296</v>
      </c>
      <c r="B79" s="211">
        <v>42736</v>
      </c>
      <c r="C79" s="211">
        <v>43380</v>
      </c>
      <c r="D79" s="212">
        <v>37080850</v>
      </c>
      <c r="E79" s="212">
        <v>7416170</v>
      </c>
      <c r="F79" s="213">
        <v>43294</v>
      </c>
      <c r="H79"/>
    </row>
    <row r="80" spans="1:8">
      <c r="A80" s="210">
        <v>33307</v>
      </c>
      <c r="B80" s="211">
        <v>42736</v>
      </c>
      <c r="C80" s="211">
        <v>43380</v>
      </c>
      <c r="D80" s="212">
        <v>66405570</v>
      </c>
      <c r="E80" s="212">
        <v>13281114</v>
      </c>
      <c r="F80" s="213">
        <v>43298</v>
      </c>
      <c r="H80"/>
    </row>
    <row r="81" spans="1:8">
      <c r="A81" s="210">
        <v>33351</v>
      </c>
      <c r="B81" s="211">
        <v>42736</v>
      </c>
      <c r="C81" s="211">
        <v>43380</v>
      </c>
      <c r="D81" s="212">
        <v>66405570</v>
      </c>
      <c r="E81" s="212">
        <v>13281114</v>
      </c>
      <c r="F81" s="213">
        <v>43266</v>
      </c>
      <c r="H81"/>
    </row>
    <row r="82" spans="1:8">
      <c r="A82" s="210">
        <v>33353</v>
      </c>
      <c r="B82" s="211">
        <v>42736</v>
      </c>
      <c r="C82" s="211">
        <v>43380</v>
      </c>
      <c r="D82" s="212">
        <v>66405570</v>
      </c>
      <c r="E82" s="212">
        <v>13281114</v>
      </c>
      <c r="F82" s="213">
        <v>43298</v>
      </c>
      <c r="H82"/>
    </row>
    <row r="83" spans="1:8">
      <c r="A83" s="210">
        <v>33354</v>
      </c>
      <c r="B83" s="211">
        <v>42736</v>
      </c>
      <c r="C83" s="211">
        <v>43380</v>
      </c>
      <c r="D83" s="212">
        <v>36885850</v>
      </c>
      <c r="E83" s="212">
        <v>7377170</v>
      </c>
      <c r="F83" s="213">
        <v>43258</v>
      </c>
      <c r="H83"/>
    </row>
    <row r="84" spans="1:8">
      <c r="A84" s="210">
        <v>33367</v>
      </c>
      <c r="B84" s="211">
        <v>42736</v>
      </c>
      <c r="C84" s="211">
        <v>43380</v>
      </c>
      <c r="D84" s="212">
        <v>39062100</v>
      </c>
      <c r="E84" s="212">
        <v>7812420</v>
      </c>
      <c r="F84" s="213">
        <v>43298</v>
      </c>
      <c r="H84"/>
    </row>
    <row r="85" spans="1:8">
      <c r="A85" s="210">
        <v>33368</v>
      </c>
      <c r="B85" s="211">
        <v>42736</v>
      </c>
      <c r="C85" s="211">
        <v>43380</v>
      </c>
      <c r="D85" s="212">
        <v>66405570</v>
      </c>
      <c r="E85" s="212">
        <v>13281114</v>
      </c>
      <c r="F85" s="213">
        <v>43270</v>
      </c>
      <c r="H85"/>
    </row>
    <row r="86" spans="1:8">
      <c r="A86" s="210">
        <v>33371</v>
      </c>
      <c r="B86" s="211">
        <v>42736</v>
      </c>
      <c r="C86" s="211">
        <v>43380</v>
      </c>
      <c r="D86" s="212">
        <v>66405570</v>
      </c>
      <c r="E86" s="212">
        <v>13281114</v>
      </c>
      <c r="F86" s="213">
        <v>43298</v>
      </c>
      <c r="H86"/>
    </row>
    <row r="87" spans="1:8">
      <c r="A87" s="210">
        <v>33375</v>
      </c>
      <c r="B87" s="211">
        <v>42736</v>
      </c>
      <c r="C87" s="211">
        <v>43380</v>
      </c>
      <c r="D87" s="212">
        <v>66405570</v>
      </c>
      <c r="E87" s="212">
        <v>13281114</v>
      </c>
      <c r="F87" s="213">
        <v>43392</v>
      </c>
      <c r="H87"/>
    </row>
    <row r="88" spans="1:8">
      <c r="A88" s="210">
        <v>33376</v>
      </c>
      <c r="B88" s="211">
        <v>42736</v>
      </c>
      <c r="C88" s="211">
        <v>43380</v>
      </c>
      <c r="D88" s="212">
        <v>39062100</v>
      </c>
      <c r="E88" s="212">
        <v>7812420</v>
      </c>
      <c r="F88" s="213">
        <v>43355</v>
      </c>
      <c r="H88"/>
    </row>
    <row r="89" spans="1:8">
      <c r="A89" s="210">
        <v>33382</v>
      </c>
      <c r="B89" s="211">
        <v>42736</v>
      </c>
      <c r="C89" s="211">
        <v>43380</v>
      </c>
      <c r="D89" s="212">
        <v>66405570</v>
      </c>
      <c r="E89" s="212">
        <v>13281114</v>
      </c>
      <c r="F89" s="213">
        <v>43297</v>
      </c>
      <c r="H89"/>
    </row>
    <row r="90" spans="1:8">
      <c r="A90" s="210">
        <v>33383</v>
      </c>
      <c r="B90" s="211">
        <v>42736</v>
      </c>
      <c r="C90" s="211">
        <v>43380</v>
      </c>
      <c r="D90" s="212">
        <v>66405570</v>
      </c>
      <c r="E90" s="212">
        <v>13281114</v>
      </c>
      <c r="F90" s="213">
        <v>43363</v>
      </c>
      <c r="H90"/>
    </row>
    <row r="91" spans="1:8">
      <c r="A91" s="210">
        <v>33384</v>
      </c>
      <c r="B91" s="211">
        <v>42736</v>
      </c>
      <c r="C91" s="211">
        <v>43380</v>
      </c>
      <c r="D91" s="212">
        <v>66405570</v>
      </c>
      <c r="E91" s="212">
        <v>13281114</v>
      </c>
      <c r="F91" s="213">
        <v>43272</v>
      </c>
      <c r="H91"/>
    </row>
    <row r="92" spans="1:8">
      <c r="A92" s="210">
        <v>33385</v>
      </c>
      <c r="B92" s="211">
        <v>42736</v>
      </c>
      <c r="C92" s="211">
        <v>43380</v>
      </c>
      <c r="D92" s="212">
        <v>66405569</v>
      </c>
      <c r="E92" s="212">
        <v>13281113.800000001</v>
      </c>
      <c r="F92" s="213">
        <v>43376</v>
      </c>
      <c r="H92"/>
    </row>
    <row r="93" spans="1:8">
      <c r="A93" s="210">
        <v>33386</v>
      </c>
      <c r="B93" s="211">
        <v>42736</v>
      </c>
      <c r="C93" s="211">
        <v>43380</v>
      </c>
      <c r="D93" s="212">
        <v>37080850</v>
      </c>
      <c r="E93" s="212">
        <v>7416170</v>
      </c>
      <c r="F93" s="213">
        <v>43343</v>
      </c>
      <c r="H93"/>
    </row>
    <row r="94" spans="1:8">
      <c r="A94" s="210">
        <v>33412</v>
      </c>
      <c r="B94" s="211">
        <v>42736</v>
      </c>
      <c r="C94" s="211">
        <v>43380</v>
      </c>
      <c r="D94" s="212">
        <v>66405571</v>
      </c>
      <c r="E94" s="212">
        <v>13281114.199999999</v>
      </c>
      <c r="F94" s="213">
        <v>43298</v>
      </c>
      <c r="H94"/>
    </row>
    <row r="95" spans="1:8">
      <c r="A95" s="210">
        <v>33416</v>
      </c>
      <c r="B95" s="211">
        <v>42736</v>
      </c>
      <c r="C95" s="211">
        <v>43380</v>
      </c>
      <c r="D95" s="212">
        <v>66405570</v>
      </c>
      <c r="E95" s="212">
        <v>13281114</v>
      </c>
      <c r="F95" s="213">
        <v>43426</v>
      </c>
      <c r="H95"/>
    </row>
    <row r="96" spans="1:8">
      <c r="A96" s="214">
        <v>33428</v>
      </c>
      <c r="B96" s="215">
        <v>42736</v>
      </c>
      <c r="C96" s="215">
        <v>43380</v>
      </c>
      <c r="D96" s="216">
        <v>66405570</v>
      </c>
      <c r="E96" s="216">
        <v>13281114</v>
      </c>
      <c r="F96" s="217">
        <v>43328</v>
      </c>
      <c r="H96"/>
    </row>
    <row r="97" spans="1:8">
      <c r="A97" s="210">
        <v>33435</v>
      </c>
      <c r="B97" s="211">
        <v>42736</v>
      </c>
      <c r="C97" s="211">
        <v>43380</v>
      </c>
      <c r="D97" s="212">
        <v>39257100</v>
      </c>
      <c r="E97" s="212">
        <v>7851420</v>
      </c>
      <c r="F97" s="213">
        <v>43333</v>
      </c>
      <c r="H97"/>
    </row>
    <row r="98" spans="1:8">
      <c r="A98" s="210">
        <v>33445</v>
      </c>
      <c r="B98" s="211">
        <v>42736</v>
      </c>
      <c r="C98" s="211">
        <v>43380</v>
      </c>
      <c r="D98" s="212">
        <v>66405570</v>
      </c>
      <c r="E98" s="212">
        <v>13281114</v>
      </c>
      <c r="F98" s="213">
        <v>43333</v>
      </c>
      <c r="H98"/>
    </row>
    <row r="99" spans="1:8">
      <c r="A99" s="210">
        <v>33449</v>
      </c>
      <c r="B99" s="211">
        <v>42736</v>
      </c>
      <c r="C99" s="211">
        <v>43380</v>
      </c>
      <c r="D99" s="212">
        <v>39257100</v>
      </c>
      <c r="E99" s="212">
        <v>7851420</v>
      </c>
      <c r="F99" s="213">
        <v>43355</v>
      </c>
      <c r="H99"/>
    </row>
    <row r="100" spans="1:8">
      <c r="A100" s="210">
        <v>33450</v>
      </c>
      <c r="B100" s="211">
        <v>42736</v>
      </c>
      <c r="C100" s="211">
        <v>43380</v>
      </c>
      <c r="D100" s="212">
        <v>195000</v>
      </c>
      <c r="E100" s="212">
        <v>39000</v>
      </c>
      <c r="F100" s="213">
        <v>43910</v>
      </c>
      <c r="H100"/>
    </row>
    <row r="101" spans="1:8">
      <c r="A101" s="210">
        <v>33451</v>
      </c>
      <c r="B101" s="211">
        <v>42736</v>
      </c>
      <c r="C101" s="211">
        <v>43380</v>
      </c>
      <c r="D101" s="212">
        <v>66405570</v>
      </c>
      <c r="E101" s="212">
        <v>13281114</v>
      </c>
      <c r="F101" s="213">
        <v>43362</v>
      </c>
      <c r="H101"/>
    </row>
    <row r="102" spans="1:8">
      <c r="A102" s="210">
        <v>33453</v>
      </c>
      <c r="B102" s="211">
        <v>42736</v>
      </c>
      <c r="C102" s="211">
        <v>43380</v>
      </c>
      <c r="D102" s="212">
        <v>62705944</v>
      </c>
      <c r="E102" s="212">
        <v>12541188.800000001</v>
      </c>
      <c r="F102" s="213">
        <v>43393</v>
      </c>
      <c r="H102"/>
    </row>
    <row r="103" spans="1:8">
      <c r="A103" s="210">
        <v>33457</v>
      </c>
      <c r="B103" s="211">
        <v>42736</v>
      </c>
      <c r="C103" s="211">
        <v>43380</v>
      </c>
      <c r="D103" s="212">
        <v>39062100</v>
      </c>
      <c r="E103" s="212">
        <v>7812420</v>
      </c>
      <c r="F103" s="213">
        <v>43355</v>
      </c>
      <c r="H103"/>
    </row>
    <row r="104" spans="1:8">
      <c r="A104" s="210">
        <v>33458</v>
      </c>
      <c r="B104" s="211">
        <v>42736</v>
      </c>
      <c r="C104" s="211">
        <v>43380</v>
      </c>
      <c r="D104" s="212">
        <v>36885850</v>
      </c>
      <c r="E104" s="212">
        <v>7377170</v>
      </c>
      <c r="F104" s="213">
        <v>43355</v>
      </c>
      <c r="H104"/>
    </row>
    <row r="105" spans="1:8">
      <c r="A105" s="210">
        <v>33459</v>
      </c>
      <c r="B105" s="211">
        <v>42736</v>
      </c>
      <c r="C105" s="211">
        <v>43380</v>
      </c>
      <c r="D105" s="212">
        <v>66405570</v>
      </c>
      <c r="E105" s="212">
        <v>13281114</v>
      </c>
      <c r="F105" s="213">
        <v>43350</v>
      </c>
      <c r="H105"/>
    </row>
    <row r="106" spans="1:8">
      <c r="A106" s="210">
        <v>33460</v>
      </c>
      <c r="B106" s="211">
        <v>42736</v>
      </c>
      <c r="C106" s="211">
        <v>43380</v>
      </c>
      <c r="D106" s="212">
        <v>36885850</v>
      </c>
      <c r="E106" s="212">
        <v>7377170</v>
      </c>
      <c r="F106" s="213">
        <v>43440</v>
      </c>
      <c r="H106"/>
    </row>
    <row r="107" spans="1:8">
      <c r="A107" s="210">
        <v>33461</v>
      </c>
      <c r="B107" s="211">
        <v>42736</v>
      </c>
      <c r="C107" s="211">
        <v>43380</v>
      </c>
      <c r="D107" s="212">
        <v>62705944.5</v>
      </c>
      <c r="E107" s="212">
        <v>12541188.9</v>
      </c>
      <c r="F107" s="213">
        <v>43804</v>
      </c>
      <c r="H107"/>
    </row>
    <row r="108" spans="1:8">
      <c r="A108" s="210">
        <v>33464</v>
      </c>
      <c r="B108" s="211">
        <v>42736</v>
      </c>
      <c r="C108" s="211">
        <v>43380</v>
      </c>
      <c r="D108" s="212">
        <v>66405570</v>
      </c>
      <c r="E108" s="212">
        <v>13281114</v>
      </c>
      <c r="F108" s="213">
        <v>43375</v>
      </c>
      <c r="H108"/>
    </row>
    <row r="109" spans="1:8">
      <c r="A109" s="210">
        <v>33465</v>
      </c>
      <c r="B109" s="211">
        <v>42736</v>
      </c>
      <c r="C109" s="211">
        <v>43380</v>
      </c>
      <c r="D109" s="212">
        <v>37080850</v>
      </c>
      <c r="E109" s="212">
        <v>7416170</v>
      </c>
      <c r="F109" s="213">
        <v>44001</v>
      </c>
      <c r="H109"/>
    </row>
    <row r="110" spans="1:8">
      <c r="A110" s="210">
        <v>33469</v>
      </c>
      <c r="B110" s="211">
        <v>42736</v>
      </c>
      <c r="C110" s="211">
        <v>43380</v>
      </c>
      <c r="D110" s="212">
        <v>39062100</v>
      </c>
      <c r="E110" s="212">
        <v>7812420</v>
      </c>
      <c r="F110" s="213">
        <v>43395</v>
      </c>
      <c r="H110"/>
    </row>
    <row r="111" spans="1:8">
      <c r="A111" s="210">
        <v>33470</v>
      </c>
      <c r="B111" s="211">
        <v>42736</v>
      </c>
      <c r="C111" s="211">
        <v>43380</v>
      </c>
      <c r="D111" s="212">
        <v>36885850</v>
      </c>
      <c r="E111" s="212">
        <v>7377170</v>
      </c>
      <c r="F111" s="213">
        <v>43362</v>
      </c>
      <c r="H111"/>
    </row>
    <row r="112" spans="1:8">
      <c r="A112" s="210">
        <v>33484</v>
      </c>
      <c r="B112" s="211">
        <v>42736</v>
      </c>
      <c r="C112" s="211">
        <v>43380</v>
      </c>
      <c r="D112" s="212">
        <v>66405570</v>
      </c>
      <c r="E112" s="212">
        <v>13281114</v>
      </c>
      <c r="F112" s="213">
        <v>43819</v>
      </c>
      <c r="H112"/>
    </row>
    <row r="113" spans="1:8">
      <c r="A113" s="210">
        <v>33485</v>
      </c>
      <c r="B113" s="211">
        <v>42736</v>
      </c>
      <c r="C113" s="211">
        <v>43380</v>
      </c>
      <c r="D113" s="212">
        <v>36885850</v>
      </c>
      <c r="E113" s="212">
        <v>7377170</v>
      </c>
      <c r="F113" s="213">
        <v>43363</v>
      </c>
      <c r="H113"/>
    </row>
    <row r="114" spans="1:8">
      <c r="A114" s="210">
        <v>33486</v>
      </c>
      <c r="B114" s="211">
        <v>42736</v>
      </c>
      <c r="C114" s="211">
        <v>43380</v>
      </c>
      <c r="D114" s="212">
        <v>36885850</v>
      </c>
      <c r="E114" s="212">
        <v>7377170</v>
      </c>
      <c r="F114" s="213">
        <v>43355</v>
      </c>
      <c r="H114"/>
    </row>
    <row r="115" spans="1:8">
      <c r="A115" s="210">
        <v>33487</v>
      </c>
      <c r="B115" s="211">
        <v>42736</v>
      </c>
      <c r="C115" s="211">
        <v>43380</v>
      </c>
      <c r="D115" s="212">
        <v>39062100</v>
      </c>
      <c r="E115" s="212">
        <v>7812420</v>
      </c>
      <c r="F115" s="213">
        <v>43404</v>
      </c>
      <c r="H115"/>
    </row>
    <row r="116" spans="1:8">
      <c r="A116" s="210">
        <v>33488</v>
      </c>
      <c r="B116" s="211">
        <v>42736</v>
      </c>
      <c r="C116" s="211">
        <v>43380</v>
      </c>
      <c r="D116" s="212">
        <v>39062100</v>
      </c>
      <c r="E116" s="212">
        <v>7812420</v>
      </c>
      <c r="F116" s="213">
        <v>43355</v>
      </c>
      <c r="H116"/>
    </row>
    <row r="117" spans="1:8">
      <c r="A117" s="210">
        <v>33492</v>
      </c>
      <c r="B117" s="211">
        <v>42736</v>
      </c>
      <c r="C117" s="211">
        <v>43380</v>
      </c>
      <c r="D117" s="212">
        <v>39257100</v>
      </c>
      <c r="E117" s="212">
        <v>7851420</v>
      </c>
      <c r="F117" s="213">
        <v>44049</v>
      </c>
      <c r="H117"/>
    </row>
    <row r="118" spans="1:8">
      <c r="A118" s="210">
        <v>33493</v>
      </c>
      <c r="B118" s="211">
        <v>42736</v>
      </c>
      <c r="C118" s="211">
        <v>43380</v>
      </c>
      <c r="D118" s="212">
        <v>39257100</v>
      </c>
      <c r="E118" s="212">
        <v>7851420</v>
      </c>
      <c r="F118" s="213">
        <v>43369</v>
      </c>
      <c r="H118"/>
    </row>
    <row r="119" spans="1:8">
      <c r="A119" s="210">
        <v>33496</v>
      </c>
      <c r="B119" s="211">
        <v>42736</v>
      </c>
      <c r="C119" s="211">
        <v>43380</v>
      </c>
      <c r="D119" s="212">
        <v>39257100</v>
      </c>
      <c r="E119" s="212">
        <v>7851420</v>
      </c>
      <c r="F119" s="213">
        <v>43375</v>
      </c>
      <c r="H119"/>
    </row>
    <row r="120" spans="1:8">
      <c r="A120" s="210">
        <v>33497</v>
      </c>
      <c r="B120" s="211">
        <v>42736</v>
      </c>
      <c r="C120" s="211">
        <v>43380</v>
      </c>
      <c r="D120" s="212">
        <v>66405570</v>
      </c>
      <c r="E120" s="212">
        <v>13281114</v>
      </c>
      <c r="F120" s="213">
        <v>43411</v>
      </c>
      <c r="H120"/>
    </row>
    <row r="121" spans="1:8">
      <c r="A121" s="210">
        <v>33499</v>
      </c>
      <c r="B121" s="211">
        <v>42736</v>
      </c>
      <c r="C121" s="211">
        <v>43380</v>
      </c>
      <c r="D121" s="212">
        <v>39062100</v>
      </c>
      <c r="E121" s="212">
        <v>7812420</v>
      </c>
      <c r="F121" s="213">
        <v>43362</v>
      </c>
      <c r="H121"/>
    </row>
    <row r="122" spans="1:8">
      <c r="A122" s="210">
        <v>33500</v>
      </c>
      <c r="B122" s="211">
        <v>42736</v>
      </c>
      <c r="C122" s="211">
        <v>43380</v>
      </c>
      <c r="D122" s="212">
        <v>37080850</v>
      </c>
      <c r="E122" s="212">
        <v>7416170</v>
      </c>
      <c r="F122" s="213">
        <v>43418</v>
      </c>
      <c r="H122"/>
    </row>
    <row r="123" spans="1:8">
      <c r="A123" s="210">
        <v>33502</v>
      </c>
      <c r="B123" s="211">
        <v>42736</v>
      </c>
      <c r="C123" s="211">
        <v>43380</v>
      </c>
      <c r="D123" s="212">
        <v>66405569</v>
      </c>
      <c r="E123" s="212">
        <v>13281113.800000001</v>
      </c>
      <c r="F123" s="213">
        <v>43404</v>
      </c>
      <c r="H123"/>
    </row>
    <row r="124" spans="1:8">
      <c r="A124" s="210">
        <v>33505</v>
      </c>
      <c r="B124" s="211">
        <v>42736</v>
      </c>
      <c r="C124" s="211">
        <v>43380</v>
      </c>
      <c r="D124" s="212">
        <v>39062100</v>
      </c>
      <c r="E124" s="212">
        <v>7812420</v>
      </c>
      <c r="F124" s="213">
        <v>43362</v>
      </c>
      <c r="H124"/>
    </row>
    <row r="125" spans="1:8">
      <c r="A125" s="210">
        <v>33511</v>
      </c>
      <c r="B125" s="211">
        <v>42736</v>
      </c>
      <c r="C125" s="211">
        <v>43380</v>
      </c>
      <c r="D125" s="212">
        <v>66405570</v>
      </c>
      <c r="E125" s="212">
        <v>13281114</v>
      </c>
      <c r="F125" s="213">
        <v>43425</v>
      </c>
      <c r="H125"/>
    </row>
    <row r="126" spans="1:8">
      <c r="A126" s="210">
        <v>33512</v>
      </c>
      <c r="B126" s="211">
        <v>42736</v>
      </c>
      <c r="C126" s="211">
        <v>43380</v>
      </c>
      <c r="D126" s="212">
        <v>36885850</v>
      </c>
      <c r="E126" s="212">
        <v>7377170</v>
      </c>
      <c r="F126" s="213">
        <v>43363</v>
      </c>
      <c r="H126"/>
    </row>
    <row r="127" spans="1:8">
      <c r="A127" s="210">
        <v>33526</v>
      </c>
      <c r="B127" s="211">
        <v>42736</v>
      </c>
      <c r="C127" s="211">
        <v>43380</v>
      </c>
      <c r="D127" s="212">
        <v>36885850</v>
      </c>
      <c r="E127" s="212">
        <v>7377170</v>
      </c>
      <c r="F127" s="213">
        <v>43395</v>
      </c>
      <c r="H127"/>
    </row>
    <row r="128" spans="1:8">
      <c r="A128" s="210">
        <v>33529</v>
      </c>
      <c r="B128" s="211">
        <v>42736</v>
      </c>
      <c r="C128" s="211">
        <v>43380</v>
      </c>
      <c r="D128" s="212">
        <v>36885850</v>
      </c>
      <c r="E128" s="212">
        <v>7377170</v>
      </c>
      <c r="F128" s="213">
        <v>43355</v>
      </c>
      <c r="H128"/>
    </row>
    <row r="129" spans="1:8">
      <c r="A129" s="210">
        <v>33536</v>
      </c>
      <c r="B129" s="211">
        <v>42736</v>
      </c>
      <c r="C129" s="211">
        <v>43380</v>
      </c>
      <c r="D129" s="212">
        <v>39062100</v>
      </c>
      <c r="E129" s="212">
        <v>7812420</v>
      </c>
      <c r="F129" s="213">
        <v>43432</v>
      </c>
      <c r="H129"/>
    </row>
    <row r="130" spans="1:8">
      <c r="A130" s="210">
        <v>33537</v>
      </c>
      <c r="B130" s="211">
        <v>42736</v>
      </c>
      <c r="C130" s="211">
        <v>43380</v>
      </c>
      <c r="D130" s="212">
        <v>39062100</v>
      </c>
      <c r="E130" s="212">
        <v>7812420</v>
      </c>
      <c r="F130" s="213">
        <v>43404</v>
      </c>
      <c r="H130"/>
    </row>
    <row r="131" spans="1:8">
      <c r="A131" s="210">
        <v>33544</v>
      </c>
      <c r="B131" s="211">
        <v>42736</v>
      </c>
      <c r="C131" s="211">
        <v>43380</v>
      </c>
      <c r="D131" s="212">
        <v>66405570</v>
      </c>
      <c r="E131" s="212">
        <v>13281114</v>
      </c>
      <c r="F131" s="213">
        <v>43404</v>
      </c>
      <c r="H131"/>
    </row>
    <row r="132" spans="1:8">
      <c r="A132" s="210">
        <v>33548</v>
      </c>
      <c r="B132" s="211">
        <v>42736</v>
      </c>
      <c r="C132" s="211">
        <v>43380</v>
      </c>
      <c r="D132" s="212">
        <v>36885850</v>
      </c>
      <c r="E132" s="212">
        <v>7377170</v>
      </c>
      <c r="F132" s="213">
        <v>43404</v>
      </c>
      <c r="H132"/>
    </row>
    <row r="133" spans="1:8">
      <c r="A133" s="210">
        <v>33550</v>
      </c>
      <c r="B133" s="211">
        <v>42736</v>
      </c>
      <c r="C133" s="211">
        <v>43380</v>
      </c>
      <c r="D133" s="212">
        <v>37080850</v>
      </c>
      <c r="E133" s="212">
        <v>7416170</v>
      </c>
      <c r="F133" s="213">
        <v>43404</v>
      </c>
      <c r="H133"/>
    </row>
    <row r="134" spans="1:8">
      <c r="A134" s="214">
        <v>33551</v>
      </c>
      <c r="B134" s="215">
        <v>42736</v>
      </c>
      <c r="C134" s="215">
        <v>43380</v>
      </c>
      <c r="D134" s="216">
        <v>195000</v>
      </c>
      <c r="E134" s="216">
        <v>39000</v>
      </c>
      <c r="F134" s="217">
        <v>43423</v>
      </c>
      <c r="H134"/>
    </row>
    <row r="135" spans="1:8">
      <c r="A135" s="210">
        <v>33552</v>
      </c>
      <c r="B135" s="211">
        <v>42736</v>
      </c>
      <c r="C135" s="211">
        <v>43380</v>
      </c>
      <c r="D135" s="212">
        <v>195000</v>
      </c>
      <c r="E135" s="212">
        <v>39000</v>
      </c>
      <c r="F135" s="213">
        <v>43446</v>
      </c>
      <c r="H135"/>
    </row>
    <row r="136" spans="1:8">
      <c r="A136" s="210">
        <v>33553</v>
      </c>
      <c r="B136" s="211">
        <v>42736</v>
      </c>
      <c r="C136" s="211">
        <v>43380</v>
      </c>
      <c r="D136" s="212">
        <v>39062100</v>
      </c>
      <c r="E136" s="212">
        <v>7812420</v>
      </c>
      <c r="F136" s="213">
        <v>43440</v>
      </c>
      <c r="H136"/>
    </row>
    <row r="137" spans="1:8">
      <c r="A137" s="210">
        <v>33558</v>
      </c>
      <c r="B137" s="211">
        <v>42736</v>
      </c>
      <c r="C137" s="211">
        <v>43380</v>
      </c>
      <c r="D137" s="212">
        <v>39062100</v>
      </c>
      <c r="E137" s="212">
        <v>7812420</v>
      </c>
      <c r="F137" s="213">
        <v>43424</v>
      </c>
      <c r="H137"/>
    </row>
    <row r="138" spans="1:8" ht="15" customHeight="1">
      <c r="A138" s="210">
        <v>33559</v>
      </c>
      <c r="B138" s="211">
        <v>42736</v>
      </c>
      <c r="C138" s="211">
        <v>43380</v>
      </c>
      <c r="D138" s="212">
        <v>195000</v>
      </c>
      <c r="E138" s="212">
        <v>39000</v>
      </c>
      <c r="F138" s="213">
        <v>43423</v>
      </c>
    </row>
    <row r="139" spans="1:8" ht="15" customHeight="1">
      <c r="A139" s="210">
        <v>33560</v>
      </c>
      <c r="B139" s="211">
        <v>42736</v>
      </c>
      <c r="C139" s="211">
        <v>43380</v>
      </c>
      <c r="D139" s="212">
        <v>39062100</v>
      </c>
      <c r="E139" s="212">
        <v>7812420</v>
      </c>
      <c r="F139" s="213">
        <v>43404</v>
      </c>
    </row>
    <row r="140" spans="1:8" ht="15" customHeight="1">
      <c r="A140" s="210">
        <v>33561</v>
      </c>
      <c r="B140" s="211">
        <v>42736</v>
      </c>
      <c r="C140" s="211">
        <v>43380</v>
      </c>
      <c r="D140" s="212">
        <v>39257100</v>
      </c>
      <c r="E140" s="212">
        <v>7851420</v>
      </c>
      <c r="F140" s="213">
        <v>43404</v>
      </c>
    </row>
    <row r="141" spans="1:8" ht="15" customHeight="1">
      <c r="A141" s="210">
        <v>33563</v>
      </c>
      <c r="B141" s="211">
        <v>42736</v>
      </c>
      <c r="C141" s="211">
        <v>43380</v>
      </c>
      <c r="D141" s="212">
        <v>39062100</v>
      </c>
      <c r="E141" s="212">
        <v>7812420</v>
      </c>
      <c r="F141" s="213">
        <v>43404</v>
      </c>
    </row>
    <row r="142" spans="1:8" ht="15" customHeight="1">
      <c r="A142" s="210">
        <v>33564</v>
      </c>
      <c r="B142" s="211">
        <v>42736</v>
      </c>
      <c r="C142" s="211">
        <v>43380</v>
      </c>
      <c r="D142" s="212">
        <v>36885850</v>
      </c>
      <c r="E142" s="212">
        <v>7377170</v>
      </c>
      <c r="F142" s="213">
        <v>43404</v>
      </c>
    </row>
    <row r="143" spans="1:8" ht="15" customHeight="1">
      <c r="A143" s="210">
        <v>33565</v>
      </c>
      <c r="B143" s="211">
        <v>42736</v>
      </c>
      <c r="C143" s="211">
        <v>43380</v>
      </c>
      <c r="D143" s="212">
        <v>39062100</v>
      </c>
      <c r="E143" s="212">
        <v>7812420</v>
      </c>
      <c r="F143" s="213">
        <v>43433</v>
      </c>
    </row>
    <row r="144" spans="1:8" ht="15" customHeight="1">
      <c r="A144" s="210">
        <v>33581</v>
      </c>
      <c r="B144" s="211">
        <v>42736</v>
      </c>
      <c r="C144" s="211">
        <v>43380</v>
      </c>
      <c r="D144" s="212">
        <v>66405570</v>
      </c>
      <c r="E144" s="212">
        <v>13281114</v>
      </c>
      <c r="F144" s="213">
        <v>43438</v>
      </c>
    </row>
    <row r="145" spans="1:6" ht="15" customHeight="1">
      <c r="A145" s="210">
        <v>33583</v>
      </c>
      <c r="B145" s="211">
        <v>42736</v>
      </c>
      <c r="C145" s="211">
        <v>43380</v>
      </c>
      <c r="D145" s="212">
        <v>62705944</v>
      </c>
      <c r="E145" s="212">
        <v>12541188.800000001</v>
      </c>
      <c r="F145" s="213">
        <v>43642</v>
      </c>
    </row>
    <row r="146" spans="1:6" ht="15" customHeight="1">
      <c r="A146" s="210">
        <v>33589</v>
      </c>
      <c r="B146" s="211">
        <v>42736</v>
      </c>
      <c r="C146" s="211">
        <v>43380</v>
      </c>
      <c r="D146" s="212">
        <v>39062100</v>
      </c>
      <c r="E146" s="212">
        <v>7812420</v>
      </c>
      <c r="F146" s="213">
        <v>43432</v>
      </c>
    </row>
    <row r="147" spans="1:6" ht="15" customHeight="1">
      <c r="A147" s="210">
        <v>33592</v>
      </c>
      <c r="B147" s="211">
        <v>42736</v>
      </c>
      <c r="C147" s="211">
        <v>43380</v>
      </c>
      <c r="D147" s="212">
        <v>36885850</v>
      </c>
      <c r="E147" s="212">
        <v>7377170</v>
      </c>
      <c r="F147" s="213">
        <v>43439</v>
      </c>
    </row>
    <row r="148" spans="1:6" ht="15" customHeight="1">
      <c r="A148" s="210">
        <v>33594</v>
      </c>
      <c r="B148" s="211">
        <v>42736</v>
      </c>
      <c r="C148" s="211">
        <v>43380</v>
      </c>
      <c r="D148" s="212">
        <v>39257100</v>
      </c>
      <c r="E148" s="212">
        <v>7851420</v>
      </c>
      <c r="F148" s="213">
        <v>43426</v>
      </c>
    </row>
    <row r="149" spans="1:6" ht="15" customHeight="1">
      <c r="A149" s="210">
        <v>33597</v>
      </c>
      <c r="B149" s="211">
        <v>42736</v>
      </c>
      <c r="C149" s="211">
        <v>43380</v>
      </c>
      <c r="D149" s="212">
        <v>39062100</v>
      </c>
      <c r="E149" s="212">
        <v>7812420</v>
      </c>
      <c r="F149" s="213">
        <v>43426</v>
      </c>
    </row>
    <row r="150" spans="1:6" ht="15" customHeight="1">
      <c r="A150" s="210">
        <v>33598</v>
      </c>
      <c r="B150" s="211">
        <v>42736</v>
      </c>
      <c r="C150" s="211">
        <v>43380</v>
      </c>
      <c r="D150" s="212">
        <v>39062100</v>
      </c>
      <c r="E150" s="212">
        <v>7812420</v>
      </c>
      <c r="F150" s="213">
        <v>43426</v>
      </c>
    </row>
    <row r="151" spans="1:6" ht="15" customHeight="1">
      <c r="A151" s="210">
        <v>33599</v>
      </c>
      <c r="B151" s="211">
        <v>42736</v>
      </c>
      <c r="C151" s="211">
        <v>43380</v>
      </c>
      <c r="D151" s="212">
        <v>39062100</v>
      </c>
      <c r="E151" s="212">
        <v>7812420</v>
      </c>
      <c r="F151" s="213">
        <v>43404</v>
      </c>
    </row>
    <row r="152" spans="1:6" ht="15" customHeight="1">
      <c r="A152" s="210">
        <v>33600</v>
      </c>
      <c r="B152" s="211">
        <v>42736</v>
      </c>
      <c r="C152" s="211">
        <v>43380</v>
      </c>
      <c r="D152" s="212">
        <v>39062100</v>
      </c>
      <c r="E152" s="212">
        <v>7812420</v>
      </c>
      <c r="F152" s="213">
        <v>43426</v>
      </c>
    </row>
    <row r="153" spans="1:6" ht="15" customHeight="1">
      <c r="A153" s="210">
        <v>33601</v>
      </c>
      <c r="B153" s="211">
        <v>42736</v>
      </c>
      <c r="C153" s="211">
        <v>43380</v>
      </c>
      <c r="D153" s="212">
        <v>39062100</v>
      </c>
      <c r="E153" s="212">
        <v>7812420</v>
      </c>
      <c r="F153" s="213">
        <v>43426</v>
      </c>
    </row>
    <row r="154" spans="1:6" ht="15" customHeight="1">
      <c r="A154" s="210">
        <v>33602</v>
      </c>
      <c r="B154" s="211">
        <v>42736</v>
      </c>
      <c r="C154" s="211">
        <v>43380</v>
      </c>
      <c r="D154" s="212">
        <v>195000</v>
      </c>
      <c r="E154" s="212">
        <v>39000</v>
      </c>
      <c r="F154" s="213">
        <v>43446</v>
      </c>
    </row>
    <row r="155" spans="1:6" ht="15" customHeight="1">
      <c r="A155" s="210">
        <v>33603</v>
      </c>
      <c r="B155" s="211">
        <v>42736</v>
      </c>
      <c r="C155" s="211">
        <v>43380</v>
      </c>
      <c r="D155" s="212">
        <v>66405570</v>
      </c>
      <c r="E155" s="212">
        <v>13281114</v>
      </c>
      <c r="F155" s="213">
        <v>43433</v>
      </c>
    </row>
    <row r="156" spans="1:6" ht="15" customHeight="1">
      <c r="A156" s="210">
        <v>33606</v>
      </c>
      <c r="B156" s="211">
        <v>42736</v>
      </c>
      <c r="C156" s="211">
        <v>43380</v>
      </c>
      <c r="D156" s="212">
        <v>66405570</v>
      </c>
      <c r="E156" s="212">
        <v>13281114</v>
      </c>
      <c r="F156" s="213">
        <v>43433</v>
      </c>
    </row>
    <row r="157" spans="1:6" ht="15" customHeight="1">
      <c r="A157" s="210">
        <v>33620</v>
      </c>
      <c r="B157" s="211">
        <v>42736</v>
      </c>
      <c r="C157" s="211">
        <v>43380</v>
      </c>
      <c r="D157" s="212">
        <v>39062100</v>
      </c>
      <c r="E157" s="212">
        <v>7812420</v>
      </c>
      <c r="F157" s="213">
        <v>43432</v>
      </c>
    </row>
    <row r="158" spans="1:6" ht="15" customHeight="1">
      <c r="A158" s="210">
        <v>33622</v>
      </c>
      <c r="B158" s="211">
        <v>42736</v>
      </c>
      <c r="C158" s="211">
        <v>43380</v>
      </c>
      <c r="D158" s="212">
        <v>39062100</v>
      </c>
      <c r="E158" s="212">
        <v>7812420</v>
      </c>
      <c r="F158" s="213">
        <v>43433</v>
      </c>
    </row>
    <row r="159" spans="1:6" ht="15" customHeight="1">
      <c r="A159" s="210">
        <v>33623</v>
      </c>
      <c r="B159" s="211">
        <v>42736</v>
      </c>
      <c r="C159" s="211">
        <v>43380</v>
      </c>
      <c r="D159" s="212">
        <v>195000</v>
      </c>
      <c r="E159" s="212">
        <v>39000</v>
      </c>
      <c r="F159" s="213">
        <v>43467</v>
      </c>
    </row>
    <row r="160" spans="1:6" ht="15" customHeight="1">
      <c r="A160" s="210">
        <v>33633</v>
      </c>
      <c r="B160" s="211">
        <v>42736</v>
      </c>
      <c r="C160" s="211">
        <v>43380</v>
      </c>
      <c r="D160" s="212">
        <v>195000</v>
      </c>
      <c r="E160" s="212">
        <v>39000</v>
      </c>
      <c r="F160" s="213">
        <v>43446</v>
      </c>
    </row>
    <row r="161" spans="1:6" ht="15" customHeight="1">
      <c r="A161" s="210">
        <v>33640</v>
      </c>
      <c r="B161" s="211">
        <v>42736</v>
      </c>
      <c r="C161" s="211">
        <v>43380</v>
      </c>
      <c r="D161" s="212">
        <v>36885850</v>
      </c>
      <c r="E161" s="212">
        <v>7377170</v>
      </c>
      <c r="F161" s="213">
        <v>43455</v>
      </c>
    </row>
    <row r="162" spans="1:6" ht="15" customHeight="1">
      <c r="A162" s="210">
        <v>33641</v>
      </c>
      <c r="B162" s="211">
        <v>42736</v>
      </c>
      <c r="C162" s="211">
        <v>43380</v>
      </c>
      <c r="D162" s="212">
        <v>195000</v>
      </c>
      <c r="E162" s="212">
        <v>39000</v>
      </c>
      <c r="F162" s="213">
        <v>43453</v>
      </c>
    </row>
    <row r="163" spans="1:6" ht="15" customHeight="1">
      <c r="A163" s="210">
        <v>33642</v>
      </c>
      <c r="B163" s="211">
        <v>42736</v>
      </c>
      <c r="C163" s="211">
        <v>43380</v>
      </c>
      <c r="D163" s="212">
        <v>39062100</v>
      </c>
      <c r="E163" s="212">
        <v>7812420</v>
      </c>
      <c r="F163" s="213">
        <v>43455</v>
      </c>
    </row>
    <row r="164" spans="1:6" ht="15" customHeight="1">
      <c r="A164" s="210">
        <v>33646</v>
      </c>
      <c r="B164" s="211">
        <v>42736</v>
      </c>
      <c r="C164" s="211">
        <v>43380</v>
      </c>
      <c r="D164" s="212">
        <v>66392288</v>
      </c>
      <c r="E164" s="212">
        <v>13278457.6</v>
      </c>
      <c r="F164" s="213">
        <v>43790</v>
      </c>
    </row>
    <row r="165" spans="1:6" ht="15" customHeight="1">
      <c r="A165" s="210">
        <v>33647</v>
      </c>
      <c r="B165" s="211">
        <v>42736</v>
      </c>
      <c r="C165" s="211">
        <v>43380</v>
      </c>
      <c r="D165" s="212">
        <v>39062100</v>
      </c>
      <c r="E165" s="212">
        <v>7812420</v>
      </c>
      <c r="F165" s="213">
        <v>43469</v>
      </c>
    </row>
    <row r="166" spans="1:6" ht="15" customHeight="1">
      <c r="A166" s="210">
        <v>33648</v>
      </c>
      <c r="B166" s="211">
        <v>42736</v>
      </c>
      <c r="C166" s="211">
        <v>43380</v>
      </c>
      <c r="D166" s="212">
        <v>39062100</v>
      </c>
      <c r="E166" s="212">
        <v>7812420</v>
      </c>
      <c r="F166" s="213">
        <v>43467</v>
      </c>
    </row>
    <row r="167" spans="1:6" ht="15" customHeight="1">
      <c r="A167" s="210">
        <v>33649</v>
      </c>
      <c r="B167" s="211">
        <v>42736</v>
      </c>
      <c r="C167" s="211">
        <v>43380</v>
      </c>
      <c r="D167" s="212">
        <v>39062100</v>
      </c>
      <c r="E167" s="212">
        <v>7812420</v>
      </c>
      <c r="F167" s="213">
        <v>43461</v>
      </c>
    </row>
    <row r="168" spans="1:6" ht="15" customHeight="1">
      <c r="A168" s="210">
        <v>33662</v>
      </c>
      <c r="B168" s="211">
        <v>42736</v>
      </c>
      <c r="C168" s="211">
        <v>43380</v>
      </c>
      <c r="D168" s="212">
        <v>39062100</v>
      </c>
      <c r="E168" s="212">
        <v>7812420</v>
      </c>
      <c r="F168" s="213">
        <v>43455</v>
      </c>
    </row>
    <row r="169" spans="1:6" ht="15" customHeight="1">
      <c r="A169" s="210">
        <v>33664</v>
      </c>
      <c r="B169" s="211">
        <v>42736</v>
      </c>
      <c r="C169" s="211">
        <v>43380</v>
      </c>
      <c r="D169" s="212">
        <v>36885850</v>
      </c>
      <c r="E169" s="212">
        <v>7377170</v>
      </c>
      <c r="F169" s="213">
        <v>43467</v>
      </c>
    </row>
    <row r="170" spans="1:6" ht="15" customHeight="1">
      <c r="A170" s="210">
        <v>33665</v>
      </c>
      <c r="B170" s="211">
        <v>42736</v>
      </c>
      <c r="C170" s="211">
        <v>43380</v>
      </c>
      <c r="D170" s="212">
        <v>335900466</v>
      </c>
      <c r="E170" s="212">
        <v>67180093.200000003</v>
      </c>
      <c r="F170" s="213">
        <v>43473</v>
      </c>
    </row>
    <row r="171" spans="1:6" ht="15" customHeight="1">
      <c r="A171" s="210">
        <v>33666</v>
      </c>
      <c r="B171" s="211">
        <v>42736</v>
      </c>
      <c r="C171" s="211">
        <v>43380</v>
      </c>
      <c r="D171" s="212">
        <v>39062100</v>
      </c>
      <c r="E171" s="212">
        <v>7812420</v>
      </c>
      <c r="F171" s="213">
        <v>43473</v>
      </c>
    </row>
    <row r="172" spans="1:6" ht="15" customHeight="1">
      <c r="A172" s="214">
        <v>33667</v>
      </c>
      <c r="B172" s="215">
        <v>42736</v>
      </c>
      <c r="C172" s="215">
        <v>43380</v>
      </c>
      <c r="D172" s="216">
        <v>66405569</v>
      </c>
      <c r="E172" s="216">
        <v>13281113.800000001</v>
      </c>
      <c r="F172" s="217">
        <v>43538</v>
      </c>
    </row>
    <row r="173" spans="1:6" ht="15" customHeight="1">
      <c r="A173" s="210">
        <v>33668</v>
      </c>
      <c r="B173" s="211">
        <v>42736</v>
      </c>
      <c r="C173" s="211">
        <v>43380</v>
      </c>
      <c r="D173" s="212">
        <v>66405570</v>
      </c>
      <c r="E173" s="212">
        <v>13281114</v>
      </c>
      <c r="F173" s="213">
        <v>43473</v>
      </c>
    </row>
    <row r="174" spans="1:6" ht="15" customHeight="1">
      <c r="A174" s="210">
        <v>33669</v>
      </c>
      <c r="B174" s="211">
        <v>42736</v>
      </c>
      <c r="C174" s="211">
        <v>43380</v>
      </c>
      <c r="D174" s="212">
        <v>39062100</v>
      </c>
      <c r="E174" s="212">
        <v>7812420</v>
      </c>
      <c r="F174" s="213">
        <v>43455</v>
      </c>
    </row>
    <row r="175" spans="1:6" ht="15" customHeight="1">
      <c r="A175" s="210">
        <v>33677</v>
      </c>
      <c r="B175" s="211">
        <v>42736</v>
      </c>
      <c r="C175" s="211">
        <v>43380</v>
      </c>
      <c r="D175" s="212">
        <v>66405570</v>
      </c>
      <c r="E175" s="212">
        <v>13281114</v>
      </c>
      <c r="F175" s="213">
        <v>43467</v>
      </c>
    </row>
    <row r="176" spans="1:6" ht="15" customHeight="1">
      <c r="A176" s="210">
        <v>33680</v>
      </c>
      <c r="B176" s="211">
        <v>42736</v>
      </c>
      <c r="C176" s="211">
        <v>43380</v>
      </c>
      <c r="D176" s="212">
        <v>36885850</v>
      </c>
      <c r="E176" s="212">
        <v>7377170</v>
      </c>
      <c r="F176" s="213">
        <v>43473</v>
      </c>
    </row>
    <row r="177" spans="1:6" ht="15" customHeight="1">
      <c r="A177" s="210">
        <v>33684</v>
      </c>
      <c r="B177" s="211">
        <v>42736</v>
      </c>
      <c r="C177" s="211">
        <v>43380</v>
      </c>
      <c r="D177" s="212">
        <v>39062100</v>
      </c>
      <c r="E177" s="212">
        <v>7812420</v>
      </c>
      <c r="F177" s="213">
        <v>43467</v>
      </c>
    </row>
    <row r="178" spans="1:6" ht="15" customHeight="1">
      <c r="A178" s="210">
        <v>33691</v>
      </c>
      <c r="B178" s="211">
        <v>42736</v>
      </c>
      <c r="C178" s="211">
        <v>43380</v>
      </c>
      <c r="D178" s="212">
        <v>39062100</v>
      </c>
      <c r="E178" s="212">
        <v>7812420</v>
      </c>
      <c r="F178" s="213">
        <v>43523</v>
      </c>
    </row>
    <row r="179" spans="1:6" ht="15" customHeight="1">
      <c r="A179" s="210">
        <v>33692</v>
      </c>
      <c r="B179" s="211">
        <v>42736</v>
      </c>
      <c r="C179" s="211">
        <v>43380</v>
      </c>
      <c r="D179" s="212">
        <v>62705945</v>
      </c>
      <c r="E179" s="212">
        <v>12541189</v>
      </c>
      <c r="F179" s="213">
        <v>43738</v>
      </c>
    </row>
    <row r="180" spans="1:6" ht="15" customHeight="1">
      <c r="A180" s="210">
        <v>33693</v>
      </c>
      <c r="B180" s="211">
        <v>42736</v>
      </c>
      <c r="C180" s="211">
        <v>43380</v>
      </c>
      <c r="D180" s="212">
        <v>39062100</v>
      </c>
      <c r="E180" s="212">
        <v>7812420</v>
      </c>
      <c r="F180" s="213">
        <v>43515</v>
      </c>
    </row>
    <row r="181" spans="1:6" ht="15" customHeight="1">
      <c r="A181" s="210">
        <v>33695</v>
      </c>
      <c r="B181" s="211">
        <v>42736</v>
      </c>
      <c r="C181" s="211">
        <v>43380</v>
      </c>
      <c r="D181" s="212">
        <v>39062100</v>
      </c>
      <c r="E181" s="212">
        <v>7812420</v>
      </c>
      <c r="F181" s="213">
        <v>43467</v>
      </c>
    </row>
    <row r="182" spans="1:6" ht="15" customHeight="1">
      <c r="A182" s="210">
        <v>33697</v>
      </c>
      <c r="B182" s="211">
        <v>42736</v>
      </c>
      <c r="C182" s="211">
        <v>43380</v>
      </c>
      <c r="D182" s="212">
        <v>39062100</v>
      </c>
      <c r="E182" s="212">
        <v>7812420</v>
      </c>
      <c r="F182" s="213">
        <v>43537</v>
      </c>
    </row>
    <row r="183" spans="1:6" ht="15" customHeight="1">
      <c r="A183" s="210">
        <v>33698</v>
      </c>
      <c r="B183" s="211">
        <v>42736</v>
      </c>
      <c r="C183" s="211">
        <v>43380</v>
      </c>
      <c r="D183" s="212">
        <v>335934060</v>
      </c>
      <c r="E183" s="212">
        <v>67186812</v>
      </c>
      <c r="F183" s="213">
        <v>43543</v>
      </c>
    </row>
    <row r="184" spans="1:6" ht="15" customHeight="1">
      <c r="A184" s="210">
        <v>33700</v>
      </c>
      <c r="B184" s="211">
        <v>42736</v>
      </c>
      <c r="C184" s="211">
        <v>43380</v>
      </c>
      <c r="D184" s="212">
        <v>39062100</v>
      </c>
      <c r="E184" s="212">
        <v>7812420</v>
      </c>
      <c r="F184" s="213">
        <v>43501</v>
      </c>
    </row>
    <row r="185" spans="1:6" ht="15" customHeight="1">
      <c r="A185" s="210">
        <v>33701</v>
      </c>
      <c r="B185" s="211">
        <v>42736</v>
      </c>
      <c r="C185" s="211">
        <v>43380</v>
      </c>
      <c r="D185" s="212">
        <v>195000</v>
      </c>
      <c r="E185" s="212">
        <v>39000</v>
      </c>
      <c r="F185" s="213">
        <v>43467</v>
      </c>
    </row>
    <row r="186" spans="1:6" ht="15" customHeight="1">
      <c r="A186" s="210">
        <v>33711</v>
      </c>
      <c r="B186" s="211">
        <v>42736</v>
      </c>
      <c r="C186" s="211">
        <v>43380</v>
      </c>
      <c r="D186" s="212">
        <v>39062100</v>
      </c>
      <c r="E186" s="212">
        <v>7812420</v>
      </c>
      <c r="F186" s="213">
        <v>43515</v>
      </c>
    </row>
    <row r="187" spans="1:6" ht="15" customHeight="1">
      <c r="A187" s="210">
        <v>33713</v>
      </c>
      <c r="B187" s="211">
        <v>42736</v>
      </c>
      <c r="C187" s="211">
        <v>43380</v>
      </c>
      <c r="D187" s="212">
        <v>39062100</v>
      </c>
      <c r="E187" s="212">
        <v>7812420</v>
      </c>
      <c r="F187" s="213">
        <v>43537</v>
      </c>
    </row>
    <row r="188" spans="1:6" ht="15" customHeight="1">
      <c r="A188" s="210">
        <v>33714</v>
      </c>
      <c r="B188" s="211">
        <v>42736</v>
      </c>
      <c r="C188" s="211">
        <v>43380</v>
      </c>
      <c r="D188" s="212">
        <v>66405569</v>
      </c>
      <c r="E188" s="212">
        <v>13281113.800000001</v>
      </c>
      <c r="F188" s="213">
        <v>43598</v>
      </c>
    </row>
    <row r="189" spans="1:6" ht="15" customHeight="1">
      <c r="A189" s="210">
        <v>33729</v>
      </c>
      <c r="B189" s="211">
        <v>42736</v>
      </c>
      <c r="C189" s="211">
        <v>43380</v>
      </c>
      <c r="D189" s="212">
        <v>66405570</v>
      </c>
      <c r="E189" s="212">
        <v>13281114</v>
      </c>
      <c r="F189" s="213">
        <v>43615</v>
      </c>
    </row>
    <row r="190" spans="1:6" ht="15" customHeight="1">
      <c r="A190" s="210">
        <v>33730</v>
      </c>
      <c r="B190" s="211">
        <v>42736</v>
      </c>
      <c r="C190" s="211">
        <v>43380</v>
      </c>
      <c r="D190" s="212">
        <v>39062100</v>
      </c>
      <c r="E190" s="212">
        <v>7812420</v>
      </c>
      <c r="F190" s="213">
        <v>43538</v>
      </c>
    </row>
    <row r="191" spans="1:6" ht="15" customHeight="1">
      <c r="A191" s="210">
        <v>33731</v>
      </c>
      <c r="B191" s="211">
        <v>42736</v>
      </c>
      <c r="C191" s="211">
        <v>43380</v>
      </c>
      <c r="D191" s="212">
        <v>39062100</v>
      </c>
      <c r="E191" s="212">
        <v>7812420</v>
      </c>
      <c r="F191" s="213">
        <v>43552</v>
      </c>
    </row>
    <row r="192" spans="1:6" ht="15" customHeight="1">
      <c r="A192" s="210">
        <v>33732</v>
      </c>
      <c r="B192" s="211">
        <v>42736</v>
      </c>
      <c r="C192" s="211">
        <v>43380</v>
      </c>
      <c r="D192" s="212">
        <v>66405570</v>
      </c>
      <c r="E192" s="212">
        <v>13281114</v>
      </c>
      <c r="F192" s="213">
        <v>43579</v>
      </c>
    </row>
    <row r="193" spans="1:6" ht="15" customHeight="1">
      <c r="A193" s="210">
        <v>33733</v>
      </c>
      <c r="B193" s="211">
        <v>42736</v>
      </c>
      <c r="C193" s="211">
        <v>43380</v>
      </c>
      <c r="D193" s="212">
        <v>39062100</v>
      </c>
      <c r="E193" s="212">
        <v>7812420</v>
      </c>
      <c r="F193" s="213">
        <v>43543</v>
      </c>
    </row>
    <row r="194" spans="1:6" ht="15" customHeight="1">
      <c r="A194" s="210">
        <v>33804</v>
      </c>
      <c r="B194" s="211">
        <v>42736</v>
      </c>
      <c r="C194" s="211">
        <v>43380</v>
      </c>
      <c r="D194" s="212">
        <v>39062100</v>
      </c>
      <c r="E194" s="212">
        <v>7812420</v>
      </c>
      <c r="F194" s="213">
        <v>43552</v>
      </c>
    </row>
    <row r="195" spans="1:6" ht="15" customHeight="1">
      <c r="A195" s="210">
        <v>33805</v>
      </c>
      <c r="B195" s="211">
        <v>42736</v>
      </c>
      <c r="C195" s="211">
        <v>43380</v>
      </c>
      <c r="D195" s="212">
        <v>66405569</v>
      </c>
      <c r="E195" s="212">
        <v>13281113.800000001</v>
      </c>
      <c r="F195" s="213">
        <v>43585</v>
      </c>
    </row>
    <row r="196" spans="1:6" ht="15" customHeight="1">
      <c r="A196" s="210">
        <v>33815</v>
      </c>
      <c r="B196" s="211">
        <v>42736</v>
      </c>
      <c r="C196" s="211">
        <v>43380</v>
      </c>
      <c r="D196" s="212">
        <v>39062100</v>
      </c>
      <c r="E196" s="212">
        <v>7812420</v>
      </c>
      <c r="F196" s="213">
        <v>43670</v>
      </c>
    </row>
    <row r="197" spans="1:6" ht="15" customHeight="1">
      <c r="A197" s="210">
        <v>33818</v>
      </c>
      <c r="B197" s="211">
        <v>42736</v>
      </c>
      <c r="C197" s="211">
        <v>43380</v>
      </c>
      <c r="D197" s="212">
        <v>39062100</v>
      </c>
      <c r="E197" s="212">
        <v>7812420</v>
      </c>
      <c r="F197" s="213">
        <v>43563</v>
      </c>
    </row>
    <row r="198" spans="1:6" ht="15" customHeight="1">
      <c r="A198" s="210">
        <v>33820</v>
      </c>
      <c r="B198" s="211">
        <v>42736</v>
      </c>
      <c r="C198" s="211">
        <v>43380</v>
      </c>
      <c r="D198" s="212">
        <v>66405568</v>
      </c>
      <c r="E198" s="212">
        <v>13281113.6</v>
      </c>
      <c r="F198" s="213">
        <v>43578</v>
      </c>
    </row>
    <row r="199" spans="1:6" ht="15" customHeight="1">
      <c r="A199" s="210">
        <v>33821</v>
      </c>
      <c r="B199" s="211">
        <v>42736</v>
      </c>
      <c r="C199" s="211">
        <v>43380</v>
      </c>
      <c r="D199" s="212">
        <v>195000</v>
      </c>
      <c r="E199" s="212">
        <v>39000</v>
      </c>
      <c r="F199" s="213">
        <v>43570</v>
      </c>
    </row>
    <row r="200" spans="1:6" ht="15" customHeight="1">
      <c r="A200" s="210">
        <v>33824</v>
      </c>
      <c r="B200" s="211">
        <v>42736</v>
      </c>
      <c r="C200" s="211">
        <v>43380</v>
      </c>
      <c r="D200" s="212">
        <v>39257100</v>
      </c>
      <c r="E200" s="212">
        <v>7851420</v>
      </c>
      <c r="F200" s="213">
        <v>43563</v>
      </c>
    </row>
    <row r="201" spans="1:6" ht="15" customHeight="1">
      <c r="A201" s="210">
        <v>33836</v>
      </c>
      <c r="B201" s="211">
        <v>42736</v>
      </c>
      <c r="C201" s="211">
        <v>43380</v>
      </c>
      <c r="D201" s="212">
        <v>36885850</v>
      </c>
      <c r="E201" s="212">
        <v>7377170</v>
      </c>
      <c r="F201" s="213">
        <v>43563</v>
      </c>
    </row>
    <row r="202" spans="1:6" ht="15" customHeight="1">
      <c r="A202" s="210">
        <v>33837</v>
      </c>
      <c r="B202" s="211">
        <v>42736</v>
      </c>
      <c r="C202" s="211">
        <v>43380</v>
      </c>
      <c r="D202" s="212">
        <v>66405570</v>
      </c>
      <c r="E202" s="212">
        <v>13281114</v>
      </c>
      <c r="F202" s="213">
        <v>43718</v>
      </c>
    </row>
    <row r="203" spans="1:6" ht="15" customHeight="1">
      <c r="A203" s="210">
        <v>33838</v>
      </c>
      <c r="B203" s="211">
        <v>42736</v>
      </c>
      <c r="C203" s="211">
        <v>43380</v>
      </c>
      <c r="D203" s="212">
        <v>36885850</v>
      </c>
      <c r="E203" s="212">
        <v>7377170</v>
      </c>
      <c r="F203" s="213">
        <v>43741</v>
      </c>
    </row>
    <row r="204" spans="1:6" ht="15" customHeight="1">
      <c r="A204" s="210">
        <v>33866</v>
      </c>
      <c r="B204" s="211">
        <v>42736</v>
      </c>
      <c r="C204" s="211">
        <v>43380</v>
      </c>
      <c r="D204" s="212">
        <v>195000</v>
      </c>
      <c r="E204" s="212">
        <v>39000</v>
      </c>
      <c r="F204" s="213">
        <v>43633</v>
      </c>
    </row>
    <row r="205" spans="1:6" ht="15" customHeight="1">
      <c r="A205" s="210">
        <v>33867</v>
      </c>
      <c r="B205" s="211">
        <v>42736</v>
      </c>
      <c r="C205" s="211">
        <v>43380</v>
      </c>
      <c r="D205" s="212">
        <v>39257100</v>
      </c>
      <c r="E205" s="212">
        <v>7851420</v>
      </c>
      <c r="F205" s="213">
        <v>43633</v>
      </c>
    </row>
    <row r="206" spans="1:6" ht="15" customHeight="1">
      <c r="A206" s="210">
        <v>33878</v>
      </c>
      <c r="B206" s="211">
        <v>42736</v>
      </c>
      <c r="C206" s="211">
        <v>43380</v>
      </c>
      <c r="D206" s="212">
        <v>39062100</v>
      </c>
      <c r="E206" s="212">
        <v>7812420</v>
      </c>
      <c r="F206" s="213">
        <v>43591</v>
      </c>
    </row>
    <row r="207" spans="1:6" ht="15" customHeight="1">
      <c r="A207" s="210">
        <v>33910</v>
      </c>
      <c r="B207" s="211">
        <v>42736</v>
      </c>
      <c r="C207" s="211">
        <v>43380</v>
      </c>
      <c r="D207" s="212">
        <v>39062100</v>
      </c>
      <c r="E207" s="212">
        <v>7812420</v>
      </c>
      <c r="F207" s="213">
        <v>43615</v>
      </c>
    </row>
    <row r="208" spans="1:6" ht="15" customHeight="1">
      <c r="A208" s="210">
        <v>33913</v>
      </c>
      <c r="B208" s="211">
        <v>42736</v>
      </c>
      <c r="C208" s="211">
        <v>43380</v>
      </c>
      <c r="D208" s="212">
        <v>36885850</v>
      </c>
      <c r="E208" s="212">
        <v>7377170</v>
      </c>
      <c r="F208" s="213">
        <v>43551</v>
      </c>
    </row>
    <row r="209" spans="1:6" ht="15" customHeight="1">
      <c r="A209" s="210">
        <v>33916</v>
      </c>
      <c r="B209" s="211">
        <v>42736</v>
      </c>
      <c r="C209" s="211">
        <v>43380</v>
      </c>
      <c r="D209" s="212">
        <v>39062100</v>
      </c>
      <c r="E209" s="212">
        <v>7812420</v>
      </c>
      <c r="F209" s="213">
        <v>43588</v>
      </c>
    </row>
    <row r="210" spans="1:6" ht="15" customHeight="1">
      <c r="A210" s="214">
        <v>33948</v>
      </c>
      <c r="B210" s="215">
        <v>42736</v>
      </c>
      <c r="C210" s="215">
        <v>43380</v>
      </c>
      <c r="D210" s="216">
        <v>195000</v>
      </c>
      <c r="E210" s="216">
        <v>39000</v>
      </c>
      <c r="F210" s="217">
        <v>43633</v>
      </c>
    </row>
    <row r="211" spans="1:6" ht="15" customHeight="1">
      <c r="A211" s="210">
        <v>33966</v>
      </c>
      <c r="B211" s="211">
        <v>42736</v>
      </c>
      <c r="C211" s="211">
        <v>43380</v>
      </c>
      <c r="D211" s="212">
        <v>39062100</v>
      </c>
      <c r="E211" s="212">
        <v>7812420</v>
      </c>
      <c r="F211" s="213">
        <v>43598</v>
      </c>
    </row>
    <row r="212" spans="1:6" ht="15" customHeight="1">
      <c r="A212" s="210">
        <v>33995</v>
      </c>
      <c r="B212" s="211">
        <v>42736</v>
      </c>
      <c r="C212" s="211">
        <v>43380</v>
      </c>
      <c r="D212" s="212">
        <v>39062100</v>
      </c>
      <c r="E212" s="212">
        <v>7812420</v>
      </c>
      <c r="F212" s="213">
        <v>43693</v>
      </c>
    </row>
    <row r="213" spans="1:6" ht="15" customHeight="1">
      <c r="A213" s="210">
        <v>33997</v>
      </c>
      <c r="B213" s="211">
        <v>42736</v>
      </c>
      <c r="C213" s="211">
        <v>43380</v>
      </c>
      <c r="D213" s="212">
        <v>39257100</v>
      </c>
      <c r="E213" s="212">
        <v>7851420</v>
      </c>
      <c r="F213" s="213">
        <v>43796</v>
      </c>
    </row>
    <row r="214" spans="1:6" ht="15" customHeight="1">
      <c r="A214" s="210">
        <v>34049</v>
      </c>
      <c r="B214" s="211">
        <v>42736</v>
      </c>
      <c r="C214" s="211">
        <v>43380</v>
      </c>
      <c r="D214" s="212">
        <v>37080850</v>
      </c>
      <c r="E214" s="212">
        <v>7416170</v>
      </c>
      <c r="F214" s="213">
        <v>43633</v>
      </c>
    </row>
    <row r="215" spans="1:6" ht="15" customHeight="1">
      <c r="A215" s="210">
        <v>34071</v>
      </c>
      <c r="B215" s="211">
        <v>42736</v>
      </c>
      <c r="C215" s="211">
        <v>43380</v>
      </c>
      <c r="D215" s="212">
        <v>39062100</v>
      </c>
      <c r="E215" s="212">
        <v>7812420</v>
      </c>
      <c r="F215" s="213">
        <v>43657</v>
      </c>
    </row>
    <row r="216" spans="1:6" ht="15" customHeight="1">
      <c r="A216" s="210">
        <v>34098</v>
      </c>
      <c r="B216" s="211">
        <v>42736</v>
      </c>
      <c r="C216" s="211">
        <v>43380</v>
      </c>
      <c r="D216" s="212">
        <v>66405570</v>
      </c>
      <c r="E216" s="212">
        <v>13281114</v>
      </c>
      <c r="F216" s="213">
        <v>43787</v>
      </c>
    </row>
    <row r="217" spans="1:6" ht="15" customHeight="1">
      <c r="A217" s="210">
        <v>34121</v>
      </c>
      <c r="B217" s="211">
        <v>42736</v>
      </c>
      <c r="C217" s="211">
        <v>43380</v>
      </c>
      <c r="D217" s="212">
        <v>195000</v>
      </c>
      <c r="E217" s="212">
        <v>39000</v>
      </c>
      <c r="F217" s="213">
        <v>43818</v>
      </c>
    </row>
    <row r="218" spans="1:6" ht="15" customHeight="1">
      <c r="A218" s="210">
        <v>34139</v>
      </c>
      <c r="B218" s="211">
        <v>42736</v>
      </c>
      <c r="C218" s="211">
        <v>43380</v>
      </c>
      <c r="D218" s="212">
        <v>195000</v>
      </c>
      <c r="E218" s="212">
        <v>39000</v>
      </c>
      <c r="F218" s="213">
        <v>43819</v>
      </c>
    </row>
    <row r="219" spans="1:6" ht="15" customHeight="1">
      <c r="A219" s="210">
        <v>34192</v>
      </c>
      <c r="B219" s="211">
        <v>42736</v>
      </c>
      <c r="C219" s="211">
        <v>43380</v>
      </c>
      <c r="D219" s="212">
        <v>39062100</v>
      </c>
      <c r="E219" s="212">
        <v>7812420</v>
      </c>
      <c r="F219" s="213">
        <v>43741</v>
      </c>
    </row>
    <row r="220" spans="1:6" ht="15" customHeight="1">
      <c r="A220" s="210">
        <v>34275</v>
      </c>
      <c r="B220" s="211">
        <v>42736</v>
      </c>
      <c r="C220" s="211">
        <v>43380</v>
      </c>
      <c r="D220" s="212">
        <v>39062100</v>
      </c>
      <c r="E220" s="212">
        <v>7812420</v>
      </c>
      <c r="F220" s="213">
        <v>43727</v>
      </c>
    </row>
    <row r="221" spans="1:6" ht="15" customHeight="1">
      <c r="A221" s="210">
        <v>34276</v>
      </c>
      <c r="B221" s="211">
        <v>42736</v>
      </c>
      <c r="C221" s="211">
        <v>43380</v>
      </c>
      <c r="D221" s="212">
        <v>39062100</v>
      </c>
      <c r="E221" s="212">
        <v>7812420</v>
      </c>
      <c r="F221" s="213">
        <v>43727</v>
      </c>
    </row>
    <row r="222" spans="1:6" ht="15" customHeight="1">
      <c r="A222" s="210">
        <v>34408</v>
      </c>
      <c r="B222" s="211">
        <v>42736</v>
      </c>
      <c r="C222" s="211">
        <v>43380</v>
      </c>
      <c r="D222" s="212">
        <v>39257100</v>
      </c>
      <c r="E222" s="212">
        <v>7851420</v>
      </c>
      <c r="F222" s="213">
        <v>43993</v>
      </c>
    </row>
    <row r="223" spans="1:6" ht="15" customHeight="1">
      <c r="A223" s="210">
        <v>34471</v>
      </c>
      <c r="B223" s="211">
        <v>42736</v>
      </c>
      <c r="C223" s="211">
        <v>43380</v>
      </c>
      <c r="D223" s="212">
        <v>335934060</v>
      </c>
      <c r="E223" s="212">
        <v>67186812</v>
      </c>
      <c r="F223" s="213">
        <v>43844</v>
      </c>
    </row>
    <row r="224" spans="1:6" ht="15" customHeight="1">
      <c r="A224" s="210">
        <v>34477</v>
      </c>
      <c r="B224" s="211">
        <v>42736</v>
      </c>
      <c r="C224" s="211">
        <v>43380</v>
      </c>
      <c r="D224" s="212">
        <v>66405570</v>
      </c>
      <c r="E224" s="212">
        <v>13281114</v>
      </c>
      <c r="F224" s="213">
        <v>43804</v>
      </c>
    </row>
    <row r="225" spans="1:7" ht="15" customHeight="1">
      <c r="A225" s="210">
        <v>34491</v>
      </c>
      <c r="B225" s="211">
        <v>42736</v>
      </c>
      <c r="C225" s="211">
        <v>43380</v>
      </c>
      <c r="D225" s="212">
        <v>36885850</v>
      </c>
      <c r="E225" s="212">
        <v>7377170</v>
      </c>
      <c r="F225" s="213">
        <v>43804</v>
      </c>
    </row>
    <row r="226" spans="1:7" ht="15" customHeight="1">
      <c r="A226" s="210">
        <v>34560</v>
      </c>
      <c r="B226" s="211">
        <v>42736</v>
      </c>
      <c r="C226" s="211">
        <v>43380</v>
      </c>
      <c r="D226" s="212">
        <v>66405570</v>
      </c>
      <c r="E226" s="212">
        <v>13281114</v>
      </c>
      <c r="F226" s="213">
        <v>43822</v>
      </c>
    </row>
    <row r="227" spans="1:7" ht="15" customHeight="1">
      <c r="A227" s="210">
        <v>34659</v>
      </c>
      <c r="B227" s="211">
        <v>42736</v>
      </c>
      <c r="C227" s="211">
        <v>43380</v>
      </c>
      <c r="D227" s="212">
        <v>39257100</v>
      </c>
      <c r="E227" s="212">
        <v>7851420</v>
      </c>
      <c r="F227" s="213">
        <v>43915</v>
      </c>
    </row>
    <row r="228" spans="1:7" ht="15" customHeight="1">
      <c r="A228" s="210">
        <v>34671</v>
      </c>
      <c r="B228" s="211">
        <v>42736</v>
      </c>
      <c r="C228" s="211">
        <v>43380</v>
      </c>
      <c r="D228" s="212">
        <v>195000</v>
      </c>
      <c r="E228" s="212">
        <v>39000</v>
      </c>
      <c r="F228" s="213">
        <v>43907</v>
      </c>
    </row>
    <row r="229" spans="1:7" ht="15" customHeight="1">
      <c r="A229" s="210">
        <v>34766</v>
      </c>
      <c r="B229" s="211">
        <v>42736</v>
      </c>
      <c r="C229" s="211">
        <v>43380</v>
      </c>
      <c r="D229" s="212">
        <v>39062100</v>
      </c>
      <c r="E229" s="212">
        <v>7812420</v>
      </c>
      <c r="F229" s="213">
        <v>43992</v>
      </c>
    </row>
    <row r="230" spans="1:7" ht="14.25" customHeight="1">
      <c r="A230" s="305" t="s">
        <v>282</v>
      </c>
      <c r="B230" s="305"/>
      <c r="C230" s="305"/>
      <c r="D230" s="305"/>
      <c r="E230" s="305"/>
      <c r="F230" s="305"/>
      <c r="G230" s="305"/>
    </row>
    <row r="231" spans="1:7" ht="14.25" customHeight="1">
      <c r="A231" s="305" t="s">
        <v>283</v>
      </c>
      <c r="B231" s="305"/>
      <c r="C231" s="305"/>
      <c r="D231" s="305"/>
      <c r="E231" s="305"/>
      <c r="F231" s="305"/>
      <c r="G231" s="305"/>
    </row>
    <row r="232" spans="1:7" ht="42.75" customHeight="1">
      <c r="A232" s="307" t="s">
        <v>284</v>
      </c>
      <c r="B232" s="307"/>
      <c r="C232" s="307"/>
      <c r="D232" s="307"/>
      <c r="E232" s="307"/>
      <c r="F232" s="307"/>
      <c r="G232" s="307"/>
    </row>
    <row r="233" spans="1:7" ht="408.95" customHeight="1"/>
    <row r="234" spans="1:7" ht="383.1" customHeight="1"/>
  </sheetData>
  <autoFilter ref="A10:G10" xr:uid="{EBEEFCC3-4497-43A5-9C2A-78E00A33AD83}"/>
  <mergeCells count="12">
    <mergeCell ref="A232:G232"/>
    <mergeCell ref="A1:G1"/>
    <mergeCell ref="A2:G2"/>
    <mergeCell ref="A3:G3"/>
    <mergeCell ref="A4:G4"/>
    <mergeCell ref="A5:G5"/>
    <mergeCell ref="A6:G6"/>
    <mergeCell ref="A7:G7"/>
    <mergeCell ref="A8:G8"/>
    <mergeCell ref="A9:F9"/>
    <mergeCell ref="A230:G230"/>
    <mergeCell ref="A231:G231"/>
  </mergeCell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FFD26-D5C7-443F-B464-F19BEFDB18EC}">
  <dimension ref="D4:G4"/>
  <sheetViews>
    <sheetView workbookViewId="0">
      <selection activeCell="E4" sqref="E4"/>
    </sheetView>
  </sheetViews>
  <sheetFormatPr baseColWidth="10" defaultRowHeight="12.75"/>
  <sheetData>
    <row r="4" spans="4:7">
      <c r="D4" s="193">
        <v>42783</v>
      </c>
      <c r="E4" s="193">
        <f>D4+G4</f>
        <v>44223</v>
      </c>
      <c r="F4">
        <v>48</v>
      </c>
      <c r="G4">
        <f>F4*30</f>
        <v>1440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0"/>
  <sheetViews>
    <sheetView workbookViewId="0">
      <pane xSplit="1" ySplit="3" topLeftCell="Q4" activePane="bottomRight" state="frozen"/>
      <selection pane="topRight" activeCell="B1" sqref="B1"/>
      <selection pane="bottomLeft" activeCell="A4" sqref="A4"/>
      <selection pane="bottomRight" activeCell="A5" sqref="A5"/>
    </sheetView>
  </sheetViews>
  <sheetFormatPr baseColWidth="10" defaultColWidth="11.42578125" defaultRowHeight="12.75"/>
  <cols>
    <col min="1" max="1" width="89.140625" style="115" customWidth="1"/>
    <col min="2" max="3" width="3.85546875" style="107" customWidth="1"/>
    <col min="4" max="4" width="6.28515625" style="107" customWidth="1"/>
    <col min="5" max="5" width="19.140625" style="107" customWidth="1"/>
    <col min="6" max="7" width="3.85546875" style="107" customWidth="1"/>
    <col min="8" max="8" width="6.28515625" style="107" customWidth="1"/>
    <col min="9" max="9" width="19.42578125" style="107" customWidth="1"/>
    <col min="10" max="11" width="3.85546875" style="107" customWidth="1"/>
    <col min="12" max="12" width="6.28515625" style="107" customWidth="1"/>
    <col min="13" max="13" width="24.7109375" style="107" customWidth="1"/>
    <col min="14" max="15" width="3.85546875" style="107" customWidth="1"/>
    <col min="16" max="16" width="6.28515625" style="107" customWidth="1"/>
    <col min="17" max="17" width="16.85546875" style="107" bestFit="1" customWidth="1"/>
    <col min="18" max="19" width="3.85546875" style="107" customWidth="1"/>
    <col min="20" max="20" width="6.28515625" style="107" customWidth="1"/>
    <col min="21" max="21" width="24.7109375" style="107" customWidth="1"/>
    <col min="22" max="23" width="3.85546875" style="107" customWidth="1"/>
    <col min="24" max="24" width="6.28515625" style="107" customWidth="1"/>
    <col min="25" max="25" width="24.7109375" style="107" customWidth="1"/>
    <col min="26" max="16384" width="11.42578125" style="107"/>
  </cols>
  <sheetData>
    <row r="1" spans="1:25" s="78" customFormat="1">
      <c r="A1" s="311" t="s">
        <v>56</v>
      </c>
      <c r="B1" s="185">
        <v>1</v>
      </c>
      <c r="C1" s="318" t="str">
        <f>VLOOKUP(B1,Directorio!$A$4:$V$6,3,FALSE)</f>
        <v>ARTHUR J GALLAGHER CORREDORES DE SEGUROS S.A.</v>
      </c>
      <c r="D1" s="318"/>
      <c r="E1" s="318"/>
      <c r="F1" s="318"/>
      <c r="G1" s="318"/>
      <c r="H1" s="318"/>
      <c r="I1" s="318"/>
      <c r="J1" s="185">
        <v>2</v>
      </c>
      <c r="K1" s="314" t="str">
        <f>VLOOKUP(J1,Directorio!$A$4:$V$6,3,FALSE)</f>
        <v>CORRECOL CORREDORES COLOMBIANOS DE SEGUROS CORREDORES DE SEGUROS S.A</v>
      </c>
      <c r="L1" s="314"/>
      <c r="M1" s="314"/>
      <c r="N1" s="314"/>
      <c r="O1" s="314"/>
      <c r="P1" s="314"/>
      <c r="Q1" s="314"/>
      <c r="R1" s="185">
        <v>3</v>
      </c>
      <c r="S1" s="314" t="str">
        <f>VLOOKUP(R1,Directorio!$A$4:$V$6,3,FALSE)</f>
        <v>UT PROSEGUROS-ITAU FNA-VGHA-CM-004-2024</v>
      </c>
      <c r="T1" s="314"/>
      <c r="U1" s="314"/>
      <c r="V1" s="314"/>
      <c r="W1" s="314"/>
      <c r="X1" s="314"/>
      <c r="Y1" s="314"/>
    </row>
    <row r="2" spans="1:25" s="118" customFormat="1" ht="11.25" customHeight="1">
      <c r="A2" s="312"/>
      <c r="B2" s="118" t="str">
        <f>VLOOKUP(B1,Directorio!$A$4:$V$6,13,FALSE)</f>
        <v>(ARTHUR J GALLAGHER CORREDORES DE SEGUROS S.A.:  000% -  000% -  000%)</v>
      </c>
      <c r="C2" s="150"/>
      <c r="D2" s="150"/>
      <c r="E2" s="150"/>
      <c r="F2" s="150"/>
      <c r="G2" s="150"/>
      <c r="H2" s="150"/>
      <c r="I2" s="150"/>
      <c r="J2" s="118" t="str">
        <f>VLOOKUP(J1,Directorio!$A$4:$V$6,13,FALSE)</f>
        <v>(CORRECOL CORREDORES COLOMBIANOS DE SEGUROS CORREDORES DE SEGUROS S.A:  000% -  000% -  000%)</v>
      </c>
      <c r="K2" s="150"/>
      <c r="L2" s="150"/>
      <c r="M2" s="150"/>
      <c r="N2" s="150"/>
      <c r="O2" s="150"/>
      <c r="P2" s="150"/>
      <c r="Q2" s="150"/>
      <c r="R2" s="118" t="str">
        <f>VLOOKUP(R1,Directorio!$A$4:$V$6,13,FALSE)</f>
        <v>(UT PROSEGUROS-ITAU FNA-VGHA-CM-004-2024: PROSEGUROS CORREDORES DE SEGUROS S.A. 050% - ITAÚ CORREDOR DE SEGUROS COLOMBIA 050% -  000%)</v>
      </c>
      <c r="S2" s="150"/>
      <c r="T2" s="150"/>
      <c r="U2" s="150"/>
      <c r="V2" s="150"/>
      <c r="W2" s="150"/>
      <c r="X2" s="150"/>
      <c r="Y2" s="150"/>
    </row>
    <row r="3" spans="1:25" s="118" customFormat="1" ht="25.5" customHeight="1">
      <c r="A3" s="108" t="s">
        <v>252</v>
      </c>
      <c r="B3" s="313" t="s">
        <v>144</v>
      </c>
      <c r="C3" s="313"/>
      <c r="D3" s="313"/>
      <c r="E3" s="313"/>
      <c r="F3" s="313" t="s">
        <v>152</v>
      </c>
      <c r="G3" s="313"/>
      <c r="H3" s="313"/>
      <c r="I3" s="313"/>
      <c r="J3" s="313" t="s">
        <v>144</v>
      </c>
      <c r="K3" s="313"/>
      <c r="L3" s="313"/>
      <c r="M3" s="313"/>
      <c r="N3" s="313" t="s">
        <v>152</v>
      </c>
      <c r="O3" s="313"/>
      <c r="P3" s="313"/>
      <c r="Q3" s="313"/>
      <c r="R3" s="313" t="s">
        <v>144</v>
      </c>
      <c r="S3" s="313"/>
      <c r="T3" s="313"/>
      <c r="U3" s="313"/>
      <c r="V3" s="313" t="s">
        <v>152</v>
      </c>
      <c r="W3" s="313"/>
      <c r="X3" s="313"/>
      <c r="Y3" s="313"/>
    </row>
    <row r="4" spans="1:25">
      <c r="A4" s="110" t="s">
        <v>162</v>
      </c>
      <c r="B4" s="183" t="s">
        <v>115</v>
      </c>
      <c r="C4" s="183" t="s">
        <v>116</v>
      </c>
      <c r="D4" s="184" t="s">
        <v>106</v>
      </c>
      <c r="E4" s="183" t="s">
        <v>117</v>
      </c>
      <c r="F4" s="183" t="s">
        <v>115</v>
      </c>
      <c r="G4" s="183" t="s">
        <v>116</v>
      </c>
      <c r="H4" s="184" t="s">
        <v>106</v>
      </c>
      <c r="I4" s="183" t="s">
        <v>117</v>
      </c>
      <c r="J4" s="183" t="s">
        <v>115</v>
      </c>
      <c r="K4" s="183" t="s">
        <v>116</v>
      </c>
      <c r="L4" s="184" t="s">
        <v>106</v>
      </c>
      <c r="M4" s="183" t="s">
        <v>117</v>
      </c>
      <c r="N4" s="183" t="s">
        <v>115</v>
      </c>
      <c r="O4" s="183" t="s">
        <v>116</v>
      </c>
      <c r="P4" s="184" t="s">
        <v>106</v>
      </c>
      <c r="Q4" s="183" t="s">
        <v>117</v>
      </c>
      <c r="R4" s="183" t="s">
        <v>115</v>
      </c>
      <c r="S4" s="183" t="s">
        <v>116</v>
      </c>
      <c r="T4" s="184" t="s">
        <v>106</v>
      </c>
      <c r="U4" s="183" t="s">
        <v>117</v>
      </c>
      <c r="V4" s="183" t="s">
        <v>115</v>
      </c>
      <c r="W4" s="183" t="s">
        <v>116</v>
      </c>
      <c r="X4" s="184" t="s">
        <v>106</v>
      </c>
      <c r="Y4" s="183" t="s">
        <v>117</v>
      </c>
    </row>
    <row r="5" spans="1:25" ht="135.75" customHeight="1">
      <c r="A5" s="111" t="s">
        <v>160</v>
      </c>
      <c r="B5" s="112" t="s">
        <v>115</v>
      </c>
      <c r="C5" s="101"/>
      <c r="D5" s="113" t="s">
        <v>202</v>
      </c>
      <c r="E5" s="114" t="s">
        <v>200</v>
      </c>
      <c r="F5" s="112"/>
      <c r="G5" s="101"/>
      <c r="H5" s="113"/>
      <c r="I5" s="114"/>
      <c r="J5" s="112" t="s">
        <v>115</v>
      </c>
      <c r="K5" s="101"/>
      <c r="L5" s="113"/>
      <c r="M5" s="114" t="s">
        <v>200</v>
      </c>
      <c r="N5" s="112"/>
      <c r="O5" s="101"/>
      <c r="P5" s="113"/>
      <c r="Q5" s="114"/>
      <c r="R5" s="112" t="s">
        <v>115</v>
      </c>
      <c r="S5" s="101"/>
      <c r="T5" s="113"/>
      <c r="U5" s="114" t="s">
        <v>200</v>
      </c>
      <c r="V5" s="112"/>
      <c r="W5" s="101"/>
      <c r="X5" s="113"/>
      <c r="Y5" s="114"/>
    </row>
    <row r="6" spans="1:25" s="106" customFormat="1">
      <c r="A6" s="104" t="s">
        <v>118</v>
      </c>
      <c r="B6" s="315">
        <f>+B1</f>
        <v>1</v>
      </c>
      <c r="C6" s="316"/>
      <c r="D6" s="317"/>
      <c r="E6" s="105" t="s">
        <v>122</v>
      </c>
      <c r="F6" s="315">
        <f>+B6</f>
        <v>1</v>
      </c>
      <c r="G6" s="316"/>
      <c r="H6" s="317"/>
      <c r="I6" s="105" t="s">
        <v>192</v>
      </c>
      <c r="J6" s="315">
        <f>+J1</f>
        <v>2</v>
      </c>
      <c r="K6" s="316"/>
      <c r="L6" s="317"/>
      <c r="M6" s="105" t="s">
        <v>122</v>
      </c>
      <c r="N6" s="315">
        <f>+J6</f>
        <v>2</v>
      </c>
      <c r="O6" s="316"/>
      <c r="P6" s="317"/>
      <c r="Q6" s="105" t="s">
        <v>192</v>
      </c>
      <c r="R6" s="315">
        <f>+R1</f>
        <v>3</v>
      </c>
      <c r="S6" s="316"/>
      <c r="T6" s="317"/>
      <c r="U6" s="105" t="s">
        <v>122</v>
      </c>
      <c r="V6" s="315">
        <f>+R6</f>
        <v>3</v>
      </c>
      <c r="W6" s="316"/>
      <c r="X6" s="317"/>
      <c r="Y6" s="105" t="s">
        <v>192</v>
      </c>
    </row>
    <row r="7" spans="1:25" s="106" customFormat="1"/>
    <row r="8" spans="1:25">
      <c r="A8" s="110" t="s">
        <v>163</v>
      </c>
      <c r="B8" s="104" t="s">
        <v>115</v>
      </c>
      <c r="C8" s="104" t="s">
        <v>116</v>
      </c>
      <c r="D8" s="109" t="s">
        <v>106</v>
      </c>
      <c r="E8" s="104" t="s">
        <v>117</v>
      </c>
      <c r="F8" s="104" t="s">
        <v>115</v>
      </c>
      <c r="G8" s="104" t="s">
        <v>116</v>
      </c>
      <c r="H8" s="109" t="s">
        <v>106</v>
      </c>
      <c r="I8" s="104" t="s">
        <v>117</v>
      </c>
      <c r="J8" s="104" t="s">
        <v>115</v>
      </c>
      <c r="K8" s="104" t="s">
        <v>116</v>
      </c>
      <c r="L8" s="109" t="s">
        <v>106</v>
      </c>
      <c r="M8" s="104" t="s">
        <v>117</v>
      </c>
      <c r="N8" s="104" t="s">
        <v>115</v>
      </c>
      <c r="O8" s="104" t="s">
        <v>116</v>
      </c>
      <c r="P8" s="109" t="s">
        <v>106</v>
      </c>
      <c r="Q8" s="104" t="s">
        <v>117</v>
      </c>
      <c r="R8" s="104" t="s">
        <v>115</v>
      </c>
      <c r="S8" s="104" t="s">
        <v>116</v>
      </c>
      <c r="T8" s="109" t="s">
        <v>106</v>
      </c>
      <c r="U8" s="104" t="s">
        <v>117</v>
      </c>
      <c r="V8" s="104" t="s">
        <v>115</v>
      </c>
      <c r="W8" s="104" t="s">
        <v>116</v>
      </c>
      <c r="X8" s="109" t="s">
        <v>106</v>
      </c>
      <c r="Y8" s="104" t="s">
        <v>117</v>
      </c>
    </row>
    <row r="9" spans="1:25" ht="66.75" customHeight="1">
      <c r="A9" s="111" t="s">
        <v>222</v>
      </c>
      <c r="B9" s="112" t="s">
        <v>198</v>
      </c>
      <c r="C9" s="101"/>
      <c r="D9" s="113" t="s">
        <v>201</v>
      </c>
      <c r="E9" s="114" t="s">
        <v>199</v>
      </c>
      <c r="F9" s="112"/>
      <c r="G9" s="101"/>
      <c r="H9" s="113"/>
      <c r="I9" s="114"/>
      <c r="J9" s="112" t="s">
        <v>198</v>
      </c>
      <c r="K9" s="101"/>
      <c r="L9" s="113"/>
      <c r="M9" s="114" t="s">
        <v>199</v>
      </c>
      <c r="N9" s="112"/>
      <c r="O9" s="101"/>
      <c r="P9" s="113"/>
      <c r="Q9" s="114"/>
      <c r="R9" s="112" t="s">
        <v>198</v>
      </c>
      <c r="S9" s="101"/>
      <c r="T9" s="113"/>
      <c r="U9" s="114" t="s">
        <v>199</v>
      </c>
      <c r="V9" s="112"/>
      <c r="W9" s="101"/>
      <c r="X9" s="113"/>
      <c r="Y9" s="114"/>
    </row>
    <row r="10" spans="1:25" s="106" customFormat="1">
      <c r="A10" s="104" t="s">
        <v>118</v>
      </c>
      <c r="B10" s="315">
        <f>+B1</f>
        <v>1</v>
      </c>
      <c r="C10" s="316"/>
      <c r="D10" s="317"/>
      <c r="E10" s="105" t="s">
        <v>122</v>
      </c>
      <c r="F10" s="315">
        <f>+B10</f>
        <v>1</v>
      </c>
      <c r="G10" s="316"/>
      <c r="H10" s="317"/>
      <c r="I10" s="105" t="s">
        <v>192</v>
      </c>
      <c r="J10" s="315">
        <f>+J1</f>
        <v>2</v>
      </c>
      <c r="K10" s="316"/>
      <c r="L10" s="317"/>
      <c r="M10" s="105" t="s">
        <v>122</v>
      </c>
      <c r="N10" s="315">
        <f>+J10</f>
        <v>2</v>
      </c>
      <c r="O10" s="316"/>
      <c r="P10" s="317"/>
      <c r="Q10" s="105" t="s">
        <v>192</v>
      </c>
      <c r="R10" s="315">
        <f>+R1</f>
        <v>3</v>
      </c>
      <c r="S10" s="316"/>
      <c r="T10" s="317"/>
      <c r="U10" s="105" t="s">
        <v>122</v>
      </c>
      <c r="V10" s="315">
        <f>+R10</f>
        <v>3</v>
      </c>
      <c r="W10" s="316"/>
      <c r="X10" s="317"/>
      <c r="Y10" s="105" t="s">
        <v>192</v>
      </c>
    </row>
  </sheetData>
  <mergeCells count="22">
    <mergeCell ref="F10:H10"/>
    <mergeCell ref="F6:H6"/>
    <mergeCell ref="F3:I3"/>
    <mergeCell ref="B10:D10"/>
    <mergeCell ref="R10:T10"/>
    <mergeCell ref="V10:X10"/>
    <mergeCell ref="R6:T6"/>
    <mergeCell ref="V6:X6"/>
    <mergeCell ref="J6:L6"/>
    <mergeCell ref="N6:P6"/>
    <mergeCell ref="J10:L10"/>
    <mergeCell ref="N10:P10"/>
    <mergeCell ref="A1:A2"/>
    <mergeCell ref="R3:U3"/>
    <mergeCell ref="V3:Y3"/>
    <mergeCell ref="S1:Y1"/>
    <mergeCell ref="B6:D6"/>
    <mergeCell ref="C1:I1"/>
    <mergeCell ref="K1:Q1"/>
    <mergeCell ref="B3:E3"/>
    <mergeCell ref="J3:M3"/>
    <mergeCell ref="N3:Q3"/>
  </mergeCells>
  <printOptions horizontalCentered="1" verticalCentered="1"/>
  <pageMargins left="0.19685039370078741" right="0.15748031496062992" top="1.9685039370078741" bottom="0.74803149606299213" header="0" footer="0"/>
  <pageSetup paperSize="9" scale="86" fitToWidth="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191D4-B3FA-49F5-AD34-31960FB8DED1}">
  <dimension ref="B2:H56"/>
  <sheetViews>
    <sheetView topLeftCell="A45" zoomScale="80" zoomScaleNormal="80" workbookViewId="0">
      <pane xSplit="4" topLeftCell="E1" activePane="topRight" state="frozen"/>
      <selection activeCell="A24" sqref="A24"/>
      <selection pane="topRight" activeCell="E44" sqref="E44"/>
    </sheetView>
  </sheetViews>
  <sheetFormatPr baseColWidth="10" defaultColWidth="11.42578125" defaultRowHeight="14.25" outlineLevelRow="1"/>
  <cols>
    <col min="1" max="1" width="3.28515625" style="127" customWidth="1"/>
    <col min="2" max="2" width="4.140625" style="127" customWidth="1"/>
    <col min="3" max="3" width="5" style="127" customWidth="1"/>
    <col min="4" max="4" width="46.85546875" style="127" customWidth="1"/>
    <col min="5" max="5" width="56.42578125" style="127" customWidth="1"/>
    <col min="6" max="6" width="17.85546875" style="127" customWidth="1"/>
    <col min="7" max="7" width="15.42578125" style="128" customWidth="1"/>
    <col min="8" max="8" width="72.85546875" style="127" customWidth="1"/>
    <col min="9" max="16384" width="11.42578125" style="127"/>
  </cols>
  <sheetData>
    <row r="2" spans="2:8">
      <c r="C2" s="148">
        <v>1</v>
      </c>
      <c r="D2" s="148" t="s">
        <v>52</v>
      </c>
      <c r="E2" s="162" t="str">
        <f>VLOOKUP(C2,Directorio!$A$4:$V$6,3,FALSE)</f>
        <v>ARTHUR J GALLAGHER CORREDORES DE SEGUROS S.A.</v>
      </c>
      <c r="F2" s="163"/>
      <c r="G2" s="163"/>
      <c r="H2" s="163"/>
    </row>
    <row r="3" spans="2:8" s="129" customFormat="1">
      <c r="B3" s="319" t="s">
        <v>144</v>
      </c>
      <c r="C3" s="320" t="s">
        <v>169</v>
      </c>
      <c r="D3" s="321"/>
      <c r="E3" s="141" t="s">
        <v>168</v>
      </c>
      <c r="F3" s="141" t="s">
        <v>173</v>
      </c>
      <c r="G3" s="141" t="s">
        <v>132</v>
      </c>
      <c r="H3" s="141" t="s">
        <v>133</v>
      </c>
    </row>
    <row r="4" spans="2:8" s="192" customFormat="1" ht="15.75">
      <c r="B4" s="319"/>
      <c r="C4" s="186" t="s">
        <v>136</v>
      </c>
      <c r="D4" s="187"/>
      <c r="E4" s="188" t="s">
        <v>223</v>
      </c>
      <c r="F4" s="189"/>
      <c r="G4" s="189"/>
      <c r="H4" s="190"/>
    </row>
    <row r="5" spans="2:8" ht="185.25" outlineLevel="1">
      <c r="B5" s="319"/>
      <c r="C5" s="322" t="s">
        <v>134</v>
      </c>
      <c r="D5" s="130" t="s">
        <v>165</v>
      </c>
      <c r="E5" s="130" t="s">
        <v>224</v>
      </c>
      <c r="F5" s="130"/>
      <c r="G5" s="131" t="s">
        <v>122</v>
      </c>
      <c r="H5" s="132"/>
    </row>
    <row r="6" spans="2:8" ht="171" outlineLevel="1">
      <c r="B6" s="319"/>
      <c r="C6" s="323"/>
      <c r="D6" s="130" t="s">
        <v>166</v>
      </c>
      <c r="E6" s="130" t="s">
        <v>193</v>
      </c>
      <c r="F6" s="130"/>
      <c r="G6" s="131" t="s">
        <v>122</v>
      </c>
      <c r="H6" s="132"/>
    </row>
    <row r="7" spans="2:8" ht="79.5" outlineLevel="1">
      <c r="B7" s="319"/>
      <c r="C7" s="152" t="s">
        <v>135</v>
      </c>
      <c r="D7" s="326" t="s">
        <v>167</v>
      </c>
      <c r="E7" s="130" t="s">
        <v>196</v>
      </c>
      <c r="F7" s="133" t="s">
        <v>194</v>
      </c>
      <c r="G7" s="131" t="s">
        <v>114</v>
      </c>
      <c r="H7" s="134" t="s">
        <v>308</v>
      </c>
    </row>
    <row r="8" spans="2:8" ht="114" outlineLevel="1">
      <c r="B8" s="319"/>
      <c r="C8" s="152" t="s">
        <v>135</v>
      </c>
      <c r="D8" s="327"/>
      <c r="E8" s="130" t="s">
        <v>197</v>
      </c>
      <c r="F8" s="133" t="s">
        <v>195</v>
      </c>
      <c r="G8" s="131" t="s">
        <v>114</v>
      </c>
      <c r="H8" s="134" t="s">
        <v>226</v>
      </c>
    </row>
    <row r="9" spans="2:8">
      <c r="B9" s="319"/>
      <c r="C9" s="135" t="s">
        <v>164</v>
      </c>
      <c r="D9" s="136"/>
      <c r="E9" s="136"/>
      <c r="F9" s="136"/>
      <c r="G9" s="136" t="s">
        <v>114</v>
      </c>
      <c r="H9" s="136"/>
    </row>
    <row r="11" spans="2:8">
      <c r="C11" s="148">
        <f>+C2</f>
        <v>1</v>
      </c>
      <c r="D11" s="148" t="s">
        <v>52</v>
      </c>
      <c r="E11" s="324" t="str">
        <f>VLOOKUP(C11,Directorio!$A$4:$V$6,3,FALSE)</f>
        <v>ARTHUR J GALLAGHER CORREDORES DE SEGUROS S.A.</v>
      </c>
      <c r="F11" s="325"/>
      <c r="G11" s="325"/>
      <c r="H11" s="325"/>
    </row>
    <row r="12" spans="2:8" s="129" customFormat="1">
      <c r="B12" s="319" t="s">
        <v>152</v>
      </c>
      <c r="C12" s="320" t="s">
        <v>169</v>
      </c>
      <c r="D12" s="321"/>
      <c r="E12" s="141" t="s">
        <v>168</v>
      </c>
      <c r="F12" s="141" t="s">
        <v>173</v>
      </c>
      <c r="G12" s="141" t="s">
        <v>132</v>
      </c>
      <c r="H12" s="141" t="s">
        <v>133</v>
      </c>
    </row>
    <row r="13" spans="2:8" s="192" customFormat="1" ht="15.75">
      <c r="B13" s="319"/>
      <c r="C13" s="186" t="s">
        <v>180</v>
      </c>
      <c r="D13" s="187"/>
      <c r="E13" s="188" t="s">
        <v>192</v>
      </c>
      <c r="F13" s="189"/>
      <c r="G13" s="189"/>
      <c r="H13" s="190"/>
    </row>
    <row r="14" spans="2:8" ht="185.25" hidden="1" outlineLevel="1">
      <c r="B14" s="319"/>
      <c r="C14" s="322" t="s">
        <v>134</v>
      </c>
      <c r="D14" s="130" t="s">
        <v>165</v>
      </c>
      <c r="E14" s="133"/>
      <c r="F14" s="130"/>
      <c r="G14" s="131"/>
      <c r="H14" s="132"/>
    </row>
    <row r="15" spans="2:8" ht="171" hidden="1" outlineLevel="1">
      <c r="B15" s="319"/>
      <c r="C15" s="323"/>
      <c r="D15" s="130" t="s">
        <v>174</v>
      </c>
      <c r="E15" s="130"/>
      <c r="F15" s="130"/>
      <c r="G15" s="131"/>
      <c r="H15" s="132"/>
    </row>
    <row r="16" spans="2:8" ht="85.5" hidden="1" outlineLevel="1">
      <c r="B16" s="319"/>
      <c r="C16" s="152" t="s">
        <v>135</v>
      </c>
      <c r="D16" s="130" t="s">
        <v>175</v>
      </c>
      <c r="E16" s="130"/>
      <c r="F16" s="133"/>
      <c r="G16" s="131"/>
      <c r="H16" s="134"/>
    </row>
    <row r="17" spans="2:8" collapsed="1">
      <c r="B17" s="319"/>
      <c r="C17" s="135" t="s">
        <v>164</v>
      </c>
      <c r="D17" s="135"/>
      <c r="E17" s="135"/>
      <c r="F17" s="135"/>
      <c r="G17" s="136" t="s">
        <v>192</v>
      </c>
      <c r="H17" s="135"/>
    </row>
    <row r="21" spans="2:8">
      <c r="C21" s="148">
        <v>2</v>
      </c>
      <c r="D21" s="148" t="s">
        <v>52</v>
      </c>
      <c r="E21" s="162" t="str">
        <f>VLOOKUP(C21,Directorio!$A$4:$V$6,3,FALSE)</f>
        <v>CORRECOL CORREDORES COLOMBIANOS DE SEGUROS CORREDORES DE SEGUROS S.A</v>
      </c>
      <c r="F21" s="163"/>
      <c r="G21" s="163"/>
      <c r="H21" s="163"/>
    </row>
    <row r="22" spans="2:8">
      <c r="B22" s="319" t="s">
        <v>144</v>
      </c>
      <c r="C22" s="320" t="s">
        <v>169</v>
      </c>
      <c r="D22" s="321"/>
      <c r="E22" s="141" t="s">
        <v>168</v>
      </c>
      <c r="F22" s="141" t="s">
        <v>173</v>
      </c>
      <c r="G22" s="141" t="s">
        <v>132</v>
      </c>
      <c r="H22" s="141" t="s">
        <v>133</v>
      </c>
    </row>
    <row r="23" spans="2:8" s="191" customFormat="1" ht="15.75">
      <c r="B23" s="319"/>
      <c r="C23" s="186" t="s">
        <v>136</v>
      </c>
      <c r="D23" s="187"/>
      <c r="E23" s="188" t="s">
        <v>225</v>
      </c>
      <c r="F23" s="189"/>
      <c r="G23" s="189"/>
      <c r="H23" s="190"/>
    </row>
    <row r="24" spans="2:8" ht="185.25" outlineLevel="1">
      <c r="B24" s="319"/>
      <c r="C24" s="322" t="s">
        <v>134</v>
      </c>
      <c r="D24" s="130" t="s">
        <v>165</v>
      </c>
      <c r="E24" s="130" t="s">
        <v>228</v>
      </c>
      <c r="F24" s="130"/>
      <c r="G24" s="131" t="s">
        <v>122</v>
      </c>
      <c r="H24" s="132"/>
    </row>
    <row r="25" spans="2:8" ht="171" outlineLevel="1">
      <c r="B25" s="319"/>
      <c r="C25" s="323"/>
      <c r="D25" s="130" t="s">
        <v>166</v>
      </c>
      <c r="E25" s="181" t="s">
        <v>227</v>
      </c>
      <c r="F25" s="130"/>
      <c r="G25" s="131" t="s">
        <v>122</v>
      </c>
      <c r="H25" s="132"/>
    </row>
    <row r="26" spans="2:8" ht="99.75" outlineLevel="1">
      <c r="B26" s="319"/>
      <c r="C26" s="152" t="s">
        <v>135</v>
      </c>
      <c r="D26" s="326" t="s">
        <v>167</v>
      </c>
      <c r="E26" s="130" t="s">
        <v>238</v>
      </c>
      <c r="F26" s="133" t="s">
        <v>194</v>
      </c>
      <c r="G26" s="131" t="s">
        <v>114</v>
      </c>
      <c r="H26" s="134" t="s">
        <v>236</v>
      </c>
    </row>
    <row r="27" spans="2:8" ht="99.75" outlineLevel="1">
      <c r="B27" s="319"/>
      <c r="C27" s="152" t="s">
        <v>135</v>
      </c>
      <c r="D27" s="327"/>
      <c r="E27" s="130" t="s">
        <v>237</v>
      </c>
      <c r="F27" s="133" t="s">
        <v>194</v>
      </c>
      <c r="G27" s="131" t="s">
        <v>114</v>
      </c>
      <c r="H27" s="134" t="s">
        <v>236</v>
      </c>
    </row>
    <row r="28" spans="2:8" ht="99.75" outlineLevel="1">
      <c r="B28" s="319"/>
      <c r="C28" s="152" t="s">
        <v>135</v>
      </c>
      <c r="D28" s="327"/>
      <c r="E28" s="130" t="s">
        <v>239</v>
      </c>
      <c r="F28" s="133" t="s">
        <v>194</v>
      </c>
      <c r="G28" s="131" t="s">
        <v>114</v>
      </c>
      <c r="H28" s="134" t="s">
        <v>236</v>
      </c>
    </row>
    <row r="29" spans="2:8" ht="142.5" customHeight="1" outlineLevel="1">
      <c r="B29" s="319"/>
      <c r="C29" s="152" t="s">
        <v>135</v>
      </c>
      <c r="D29" s="328"/>
      <c r="E29" s="130" t="s">
        <v>250</v>
      </c>
      <c r="F29" s="133" t="s">
        <v>246</v>
      </c>
      <c r="G29" s="131" t="s">
        <v>122</v>
      </c>
      <c r="H29" s="134" t="s">
        <v>251</v>
      </c>
    </row>
    <row r="30" spans="2:8">
      <c r="B30" s="319"/>
      <c r="C30" s="135" t="s">
        <v>164</v>
      </c>
      <c r="D30" s="136"/>
      <c r="E30" s="136"/>
      <c r="F30" s="136"/>
      <c r="G30" s="136" t="s">
        <v>122</v>
      </c>
      <c r="H30" s="136"/>
    </row>
    <row r="32" spans="2:8">
      <c r="C32" s="148">
        <f>+C21</f>
        <v>2</v>
      </c>
      <c r="D32" s="148" t="s">
        <v>52</v>
      </c>
      <c r="E32" s="324" t="str">
        <f>VLOOKUP(C32,Directorio!$A$4:$V$6,3,FALSE)</f>
        <v>CORRECOL CORREDORES COLOMBIANOS DE SEGUROS CORREDORES DE SEGUROS S.A</v>
      </c>
      <c r="F32" s="325"/>
      <c r="G32" s="325"/>
      <c r="H32" s="325"/>
    </row>
    <row r="33" spans="2:8">
      <c r="B33" s="319" t="s">
        <v>152</v>
      </c>
      <c r="C33" s="320" t="s">
        <v>169</v>
      </c>
      <c r="D33" s="321"/>
      <c r="E33" s="141" t="s">
        <v>168</v>
      </c>
      <c r="F33" s="141" t="s">
        <v>173</v>
      </c>
      <c r="G33" s="141" t="s">
        <v>132</v>
      </c>
      <c r="H33" s="141" t="s">
        <v>133</v>
      </c>
    </row>
    <row r="34" spans="2:8" s="191" customFormat="1" ht="15.75">
      <c r="B34" s="319"/>
      <c r="C34" s="186" t="s">
        <v>181</v>
      </c>
      <c r="D34" s="187"/>
      <c r="E34" s="188" t="s">
        <v>192</v>
      </c>
      <c r="F34" s="189"/>
      <c r="G34" s="189"/>
      <c r="H34" s="190"/>
    </row>
    <row r="35" spans="2:8" ht="185.25" hidden="1" outlineLevel="1">
      <c r="B35" s="319"/>
      <c r="C35" s="322" t="s">
        <v>134</v>
      </c>
      <c r="D35" s="130" t="s">
        <v>165</v>
      </c>
      <c r="E35" s="130"/>
      <c r="F35" s="130"/>
      <c r="G35" s="131"/>
      <c r="H35" s="132"/>
    </row>
    <row r="36" spans="2:8" ht="171" hidden="1" outlineLevel="1">
      <c r="B36" s="319"/>
      <c r="C36" s="323"/>
      <c r="D36" s="130" t="s">
        <v>174</v>
      </c>
      <c r="E36" s="130"/>
      <c r="F36" s="130"/>
      <c r="G36" s="131"/>
      <c r="H36" s="132"/>
    </row>
    <row r="37" spans="2:8" ht="85.5" hidden="1" outlineLevel="1">
      <c r="B37" s="319"/>
      <c r="C37" s="152" t="s">
        <v>135</v>
      </c>
      <c r="D37" s="130" t="s">
        <v>175</v>
      </c>
      <c r="E37" s="130"/>
      <c r="F37" s="133"/>
      <c r="G37" s="131"/>
      <c r="H37" s="134"/>
    </row>
    <row r="38" spans="2:8" collapsed="1">
      <c r="B38" s="319"/>
      <c r="C38" s="135" t="s">
        <v>164</v>
      </c>
      <c r="D38" s="135"/>
      <c r="E38" s="135"/>
      <c r="F38" s="135"/>
      <c r="G38" s="136" t="s">
        <v>192</v>
      </c>
      <c r="H38" s="135"/>
    </row>
    <row r="41" spans="2:8">
      <c r="C41" s="148">
        <v>3</v>
      </c>
      <c r="D41" s="148" t="s">
        <v>52</v>
      </c>
      <c r="E41" s="162" t="str">
        <f>VLOOKUP(C41,Directorio!$A$4:$V$6,3,FALSE)</f>
        <v>UT PROSEGUROS-ITAU FNA-VGHA-CM-004-2024</v>
      </c>
      <c r="F41" s="163"/>
      <c r="G41" s="163"/>
      <c r="H41" s="163"/>
    </row>
    <row r="42" spans="2:8">
      <c r="B42" s="319" t="s">
        <v>144</v>
      </c>
      <c r="C42" s="320" t="s">
        <v>169</v>
      </c>
      <c r="D42" s="321"/>
      <c r="E42" s="141" t="s">
        <v>168</v>
      </c>
      <c r="F42" s="141" t="s">
        <v>173</v>
      </c>
      <c r="G42" s="141" t="s">
        <v>132</v>
      </c>
      <c r="H42" s="141" t="s">
        <v>133</v>
      </c>
    </row>
    <row r="43" spans="2:8" s="191" customFormat="1" ht="15.75">
      <c r="B43" s="319"/>
      <c r="C43" s="186" t="s">
        <v>136</v>
      </c>
      <c r="D43" s="187"/>
      <c r="E43" s="188" t="s">
        <v>254</v>
      </c>
      <c r="F43" s="189"/>
      <c r="G43" s="189"/>
      <c r="H43" s="190"/>
    </row>
    <row r="44" spans="2:8" ht="185.25" outlineLevel="1">
      <c r="B44" s="319"/>
      <c r="C44" s="322" t="s">
        <v>134</v>
      </c>
      <c r="D44" s="130" t="s">
        <v>165</v>
      </c>
      <c r="E44" s="130" t="s">
        <v>257</v>
      </c>
      <c r="F44" s="130"/>
      <c r="G44" s="131" t="s">
        <v>122</v>
      </c>
      <c r="H44" s="132"/>
    </row>
    <row r="45" spans="2:8" ht="171" outlineLevel="1">
      <c r="B45" s="319"/>
      <c r="C45" s="323"/>
      <c r="D45" s="130" t="s">
        <v>166</v>
      </c>
      <c r="E45" s="130" t="s">
        <v>256</v>
      </c>
      <c r="F45" s="130"/>
      <c r="G45" s="131" t="s">
        <v>122</v>
      </c>
      <c r="H45" s="132"/>
    </row>
    <row r="46" spans="2:8" ht="114" outlineLevel="1">
      <c r="B46" s="319"/>
      <c r="C46" s="152" t="s">
        <v>135</v>
      </c>
      <c r="D46" s="326" t="s">
        <v>167</v>
      </c>
      <c r="E46" s="130" t="s">
        <v>260</v>
      </c>
      <c r="F46" s="133" t="s">
        <v>258</v>
      </c>
      <c r="G46" s="131" t="s">
        <v>114</v>
      </c>
      <c r="H46" s="134" t="s">
        <v>259</v>
      </c>
    </row>
    <row r="47" spans="2:8" ht="142.5" outlineLevel="1">
      <c r="B47" s="319"/>
      <c r="C47" s="152" t="s">
        <v>135</v>
      </c>
      <c r="D47" s="328"/>
      <c r="E47" s="130" t="s">
        <v>263</v>
      </c>
      <c r="F47" s="133" t="s">
        <v>264</v>
      </c>
      <c r="G47" s="131" t="s">
        <v>122</v>
      </c>
      <c r="H47" s="134" t="s">
        <v>262</v>
      </c>
    </row>
    <row r="48" spans="2:8">
      <c r="B48" s="319"/>
      <c r="C48" s="135" t="s">
        <v>164</v>
      </c>
      <c r="D48" s="136"/>
      <c r="E48" s="136"/>
      <c r="F48" s="136"/>
      <c r="G48" s="136" t="s">
        <v>122</v>
      </c>
      <c r="H48" s="136"/>
    </row>
    <row r="50" spans="2:8">
      <c r="C50" s="148">
        <f>+C41</f>
        <v>3</v>
      </c>
      <c r="D50" s="148" t="s">
        <v>52</v>
      </c>
      <c r="E50" s="324" t="str">
        <f>VLOOKUP(C50,Directorio!$A$4:$V$6,3,FALSE)</f>
        <v>UT PROSEGUROS-ITAU FNA-VGHA-CM-004-2024</v>
      </c>
      <c r="F50" s="325"/>
      <c r="G50" s="325"/>
      <c r="H50" s="325"/>
    </row>
    <row r="51" spans="2:8">
      <c r="B51" s="319" t="s">
        <v>152</v>
      </c>
      <c r="C51" s="320" t="s">
        <v>169</v>
      </c>
      <c r="D51" s="321"/>
      <c r="E51" s="141" t="s">
        <v>168</v>
      </c>
      <c r="F51" s="141" t="s">
        <v>173</v>
      </c>
      <c r="G51" s="141" t="s">
        <v>132</v>
      </c>
      <c r="H51" s="141" t="s">
        <v>133</v>
      </c>
    </row>
    <row r="52" spans="2:8">
      <c r="B52" s="319"/>
      <c r="C52" s="166" t="s">
        <v>182</v>
      </c>
      <c r="D52" s="149"/>
      <c r="E52" s="145" t="s">
        <v>192</v>
      </c>
      <c r="F52" s="146"/>
      <c r="G52" s="146"/>
      <c r="H52" s="147"/>
    </row>
    <row r="53" spans="2:8" ht="185.25" hidden="1" outlineLevel="1">
      <c r="B53" s="319"/>
      <c r="C53" s="322" t="s">
        <v>134</v>
      </c>
      <c r="D53" s="130" t="s">
        <v>165</v>
      </c>
      <c r="E53" s="130" t="s">
        <v>137</v>
      </c>
      <c r="F53" s="130"/>
      <c r="G53" s="131" t="s">
        <v>122</v>
      </c>
      <c r="H53" s="132"/>
    </row>
    <row r="54" spans="2:8" ht="171" hidden="1" outlineLevel="1">
      <c r="B54" s="319"/>
      <c r="C54" s="323"/>
      <c r="D54" s="130" t="s">
        <v>174</v>
      </c>
      <c r="E54" s="130" t="s">
        <v>138</v>
      </c>
      <c r="F54" s="130"/>
      <c r="G54" s="131" t="s">
        <v>122</v>
      </c>
      <c r="H54" s="132"/>
    </row>
    <row r="55" spans="2:8" ht="99.75" hidden="1" outlineLevel="1">
      <c r="B55" s="319"/>
      <c r="C55" s="152" t="s">
        <v>135</v>
      </c>
      <c r="D55" s="130" t="s">
        <v>175</v>
      </c>
      <c r="E55" s="130" t="s">
        <v>139</v>
      </c>
      <c r="F55" s="133" t="s">
        <v>140</v>
      </c>
      <c r="G55" s="131" t="s">
        <v>122</v>
      </c>
      <c r="H55" s="134"/>
    </row>
    <row r="56" spans="2:8" collapsed="1">
      <c r="B56" s="319"/>
      <c r="C56" s="135" t="s">
        <v>164</v>
      </c>
      <c r="D56" s="135"/>
      <c r="E56" s="135"/>
      <c r="F56" s="135"/>
      <c r="G56" s="136" t="s">
        <v>192</v>
      </c>
      <c r="H56" s="135"/>
    </row>
  </sheetData>
  <mergeCells count="24">
    <mergeCell ref="B42:B48"/>
    <mergeCell ref="C42:D42"/>
    <mergeCell ref="C44:C45"/>
    <mergeCell ref="E50:H50"/>
    <mergeCell ref="B51:B56"/>
    <mergeCell ref="C51:D51"/>
    <mergeCell ref="C53:C54"/>
    <mergeCell ref="D46:D47"/>
    <mergeCell ref="E11:H11"/>
    <mergeCell ref="C12:D12"/>
    <mergeCell ref="C14:C15"/>
    <mergeCell ref="B12:B17"/>
    <mergeCell ref="B3:B9"/>
    <mergeCell ref="C3:D3"/>
    <mergeCell ref="C5:C6"/>
    <mergeCell ref="D7:D8"/>
    <mergeCell ref="B22:B30"/>
    <mergeCell ref="C22:D22"/>
    <mergeCell ref="C24:C25"/>
    <mergeCell ref="E32:H32"/>
    <mergeCell ref="B33:B38"/>
    <mergeCell ref="C33:D33"/>
    <mergeCell ref="C35:C36"/>
    <mergeCell ref="D26:D29"/>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R28"/>
  <sheetViews>
    <sheetView topLeftCell="D10" workbookViewId="0">
      <selection activeCell="K19" sqref="K19"/>
    </sheetView>
  </sheetViews>
  <sheetFormatPr baseColWidth="10" defaultColWidth="11.42578125" defaultRowHeight="12.75"/>
  <cols>
    <col min="1" max="1" width="6.7109375" style="25" customWidth="1"/>
    <col min="2" max="2" width="6.42578125" style="25" bestFit="1" customWidth="1"/>
    <col min="3" max="3" width="32.140625" style="25" customWidth="1"/>
    <col min="4" max="4" width="20.140625" style="25" customWidth="1"/>
    <col min="5" max="8" width="18" style="25" customWidth="1"/>
    <col min="9" max="9" width="6.140625" style="25" customWidth="1"/>
    <col min="10" max="13" width="18" style="25" customWidth="1"/>
    <col min="14" max="16384" width="11.42578125" style="25"/>
  </cols>
  <sheetData>
    <row r="2" spans="1:18" ht="15.75" customHeight="1">
      <c r="A2" s="331" t="str">
        <f>General!D1</f>
        <v>FONDO NACIONAL DEL AHORRO</v>
      </c>
      <c r="B2" s="331"/>
      <c r="C2" s="331"/>
      <c r="D2" s="331"/>
      <c r="E2" s="331"/>
      <c r="F2" s="331"/>
      <c r="G2" s="331"/>
      <c r="H2" s="331"/>
      <c r="I2" s="331"/>
      <c r="J2" s="331"/>
      <c r="K2" s="331"/>
      <c r="L2" s="331"/>
      <c r="M2" s="331"/>
    </row>
    <row r="3" spans="1:18" ht="15.75">
      <c r="A3" s="26"/>
      <c r="B3" s="26"/>
      <c r="C3" s="26"/>
      <c r="D3" s="26"/>
      <c r="E3" s="26"/>
      <c r="F3" s="26"/>
      <c r="G3" s="26"/>
      <c r="H3" s="26"/>
      <c r="I3" s="26"/>
    </row>
    <row r="4" spans="1:18" ht="21" customHeight="1">
      <c r="A4" s="331" t="str">
        <f>General!B1</f>
        <v>FNA-VGHA-CM-004-2024</v>
      </c>
      <c r="B4" s="331"/>
      <c r="C4" s="331"/>
      <c r="D4" s="331"/>
      <c r="E4" s="331"/>
      <c r="F4" s="331"/>
      <c r="G4" s="331"/>
      <c r="H4" s="331"/>
      <c r="I4" s="331"/>
      <c r="J4" s="331"/>
      <c r="K4" s="331"/>
      <c r="L4" s="331"/>
      <c r="M4" s="331"/>
    </row>
    <row r="5" spans="1:18" ht="4.5" hidden="1" customHeight="1">
      <c r="A5" s="27"/>
      <c r="B5" s="27"/>
      <c r="C5" s="27"/>
      <c r="D5" s="27"/>
      <c r="E5" s="27"/>
      <c r="F5" s="27"/>
      <c r="G5" s="27"/>
      <c r="H5" s="27"/>
      <c r="I5" s="27"/>
    </row>
    <row r="6" spans="1:18" ht="71.25" customHeight="1">
      <c r="A6" s="331" t="str">
        <f>General!B2</f>
        <v>PRESTACIÓN DEL SERVICIO DE INTERMEDIACIÓN DE SEGUROS PARA ASESORAR DE MANERA INTEGRAL A LA ENTIDAD EN LA ADMINISTRACIÓN DE LOS RIESGOS, PROCESOS DE CONTRATACIÓN, GESTIÓN DE LOS ASPECTOS TÉCNICOS, ADMINISTRATIVOS, OPERATIVOS Y COMERCIALES DE LAS PÓLIZAS QUE INTEGRAN EL PROGRAMA DE SEGUROS DEUDORES EN EL CUAL EL FONDO NACIONAL DEL AHORRO ACTÚA COMO TOMADOR POR CUENTA DE SUS DEUDORES Y/O LOCATARIOS</v>
      </c>
      <c r="B6" s="331"/>
      <c r="C6" s="331"/>
      <c r="D6" s="331"/>
      <c r="E6" s="331"/>
      <c r="F6" s="331"/>
      <c r="G6" s="331"/>
      <c r="H6" s="331"/>
      <c r="I6" s="331"/>
      <c r="J6" s="331"/>
      <c r="K6" s="331"/>
      <c r="L6" s="331"/>
      <c r="M6" s="331"/>
      <c r="R6" s="25" t="s">
        <v>53</v>
      </c>
    </row>
    <row r="7" spans="1:18" ht="36.75" customHeight="1">
      <c r="A7" s="26" t="s">
        <v>119</v>
      </c>
      <c r="B7" s="26"/>
      <c r="C7" s="26"/>
      <c r="D7" s="26"/>
      <c r="E7" s="26"/>
      <c r="F7" s="26"/>
      <c r="G7" s="26"/>
      <c r="H7" s="26"/>
      <c r="I7" s="76"/>
    </row>
    <row r="8" spans="1:18" ht="39.75" customHeight="1">
      <c r="A8" s="332" t="s">
        <v>54</v>
      </c>
      <c r="B8" s="333"/>
      <c r="C8" s="333"/>
      <c r="D8" s="333"/>
      <c r="E8" s="333"/>
      <c r="F8" s="333"/>
      <c r="G8" s="333"/>
      <c r="H8" s="333"/>
      <c r="I8" s="333"/>
    </row>
    <row r="9" spans="1:18" ht="36" customHeight="1">
      <c r="A9" s="28"/>
      <c r="B9" s="28"/>
      <c r="C9" s="28"/>
      <c r="D9" s="28"/>
      <c r="E9" s="329" t="s">
        <v>170</v>
      </c>
      <c r="F9" s="330"/>
      <c r="G9" s="330"/>
      <c r="H9" s="330"/>
      <c r="I9" s="28"/>
      <c r="J9" s="329" t="s">
        <v>172</v>
      </c>
      <c r="K9" s="330"/>
      <c r="L9" s="330"/>
      <c r="M9" s="330"/>
    </row>
    <row r="10" spans="1:18" ht="83.25" customHeight="1">
      <c r="A10" s="28"/>
      <c r="B10" s="151" t="s">
        <v>55</v>
      </c>
      <c r="C10" s="335" t="s">
        <v>56</v>
      </c>
      <c r="D10" s="336"/>
      <c r="E10" s="151" t="s">
        <v>171</v>
      </c>
      <c r="F10" s="165" t="str">
        <f>+'Requisitos Técnicos'!A4</f>
        <v>4.2.4.	COMPROMISO PERSONAL MÍNIMO</v>
      </c>
      <c r="G10" s="165" t="str">
        <f>+'Requisitos Técnicos'!A8</f>
        <v>4.2.6.	MANIFESTACIÓN DE ACEPTACIÓN DE REQUERIMIENTOS MÍNIMOS OBLIGATORIO</v>
      </c>
      <c r="H10" s="165" t="str">
        <f>+Coord!C9</f>
        <v>4.2.5.	FORMACIÓN, EXPERIENCIA Y DEDICACIÓN DEL PERSONAL MÍNIMO REQUERIDO HABILITANTE</v>
      </c>
      <c r="I10" s="164"/>
      <c r="J10" s="151" t="s">
        <v>171</v>
      </c>
      <c r="K10" s="165" t="str">
        <f>+'Requisitos Técnicos'!A4</f>
        <v>4.2.4.	COMPROMISO PERSONAL MÍNIMO</v>
      </c>
      <c r="L10" s="165" t="str">
        <f>+'Requisitos Técnicos'!A8</f>
        <v>4.2.6.	MANIFESTACIÓN DE ACEPTACIÓN DE REQUERIMIENTOS MÍNIMOS OBLIGATORIO</v>
      </c>
      <c r="M10" s="165" t="str">
        <f>+Coord!C17</f>
        <v>4.2.5.	FORMACIÓN, EXPERIENCIA Y DEDICACIÓN DEL PERSONAL MÍNIMO REQUERIDO HABILITANTE</v>
      </c>
    </row>
    <row r="11" spans="1:18" ht="36" customHeight="1">
      <c r="A11" s="28"/>
      <c r="B11" s="29">
        <v>1</v>
      </c>
      <c r="C11" s="337" t="str">
        <f>VLOOKUP(B11,Directorio!$A$4:$C$7,3)</f>
        <v>ARTHUR J GALLAGHER CORREDORES DE SEGUROS S.A.</v>
      </c>
      <c r="D11" s="338"/>
      <c r="E11" s="137" t="str">
        <f>+'Exp. Proponente'!O11</f>
        <v>CUMPLE</v>
      </c>
      <c r="F11" s="138" t="str">
        <f>+'Requisitos Técnicos'!E6</f>
        <v>CUMPLE</v>
      </c>
      <c r="G11" s="138" t="str">
        <f>+'Requisitos Técnicos'!E10</f>
        <v>CUMPLE</v>
      </c>
      <c r="H11" s="139" t="str">
        <f>+Coord!G9</f>
        <v>NO CUMPLE</v>
      </c>
      <c r="J11" s="137" t="str">
        <f>+'Exp. Proponente'!O22</f>
        <v>N/A</v>
      </c>
      <c r="K11" s="138" t="str">
        <f>+'Requisitos Técnicos'!I6</f>
        <v>N/A</v>
      </c>
      <c r="L11" s="138" t="str">
        <f>+'Requisitos Técnicos'!I10</f>
        <v>N/A</v>
      </c>
      <c r="M11" s="139" t="str">
        <f>+Coord!G17</f>
        <v>N/A</v>
      </c>
    </row>
    <row r="12" spans="1:18" ht="36" customHeight="1">
      <c r="A12" s="28"/>
      <c r="B12" s="29">
        <v>2</v>
      </c>
      <c r="C12" s="337" t="str">
        <f>VLOOKUP(B12,Directorio!$A$4:$C$7,3)</f>
        <v>CORRECOL CORREDORES COLOMBIANOS DE SEGUROS CORREDORES DE SEGUROS S.A</v>
      </c>
      <c r="D12" s="338"/>
      <c r="E12" s="137" t="str">
        <f>+'Exp. Proponente'!O38</f>
        <v>CUMPLE</v>
      </c>
      <c r="F12" s="138" t="str">
        <f>+'Requisitos Técnicos'!M6</f>
        <v>CUMPLE</v>
      </c>
      <c r="G12" s="138" t="str">
        <f>+'Requisitos Técnicos'!M10</f>
        <v>CUMPLE</v>
      </c>
      <c r="H12" s="139" t="str">
        <f>+Coord!G30</f>
        <v>CUMPLE</v>
      </c>
      <c r="J12" s="137" t="str">
        <f>+'Exp. Proponente'!O68</f>
        <v>N/A</v>
      </c>
      <c r="K12" s="138" t="str">
        <f>+'Requisitos Técnicos'!Q6</f>
        <v>N/A</v>
      </c>
      <c r="L12" s="138" t="str">
        <f>+'Requisitos Técnicos'!Q10</f>
        <v>N/A</v>
      </c>
      <c r="M12" s="139" t="str">
        <f>+Coord!G38</f>
        <v>N/A</v>
      </c>
    </row>
    <row r="13" spans="1:18" ht="36" customHeight="1">
      <c r="A13" s="28"/>
      <c r="B13" s="29">
        <v>3</v>
      </c>
      <c r="C13" s="337" t="str">
        <f>VLOOKUP(B13,Directorio!$A$4:$C$7,3)</f>
        <v>UT PROSEGUROS-ITAU FNA-VGHA-CM-004-2024</v>
      </c>
      <c r="D13" s="338"/>
      <c r="E13" s="137" t="str">
        <f>+'Exp. Proponente'!O84</f>
        <v>NO CUMPLE</v>
      </c>
      <c r="F13" s="138" t="str">
        <f>+'Requisitos Técnicos'!U6</f>
        <v>CUMPLE</v>
      </c>
      <c r="G13" s="138" t="str">
        <f>+'Requisitos Técnicos'!U10</f>
        <v>CUMPLE</v>
      </c>
      <c r="H13" s="139" t="str">
        <f>+Coord!G48</f>
        <v>CUMPLE</v>
      </c>
      <c r="J13" s="137" t="str">
        <f>+'Exp. Proponente'!O116</f>
        <v>N/A</v>
      </c>
      <c r="K13" s="138" t="str">
        <f>+'Requisitos Técnicos'!Y6</f>
        <v>N/A</v>
      </c>
      <c r="L13" s="138" t="str">
        <f>+'Requisitos Técnicos'!Y10</f>
        <v>N/A</v>
      </c>
      <c r="M13" s="139" t="str">
        <f>+Coord!G56</f>
        <v>N/A</v>
      </c>
    </row>
    <row r="14" spans="1:18" ht="9.75" customHeight="1">
      <c r="A14" s="31"/>
      <c r="B14" s="31"/>
      <c r="C14" s="31"/>
      <c r="D14" s="31"/>
      <c r="E14" s="31"/>
      <c r="F14" s="31"/>
      <c r="G14" s="31"/>
      <c r="H14" s="31"/>
      <c r="I14" s="31"/>
    </row>
    <row r="15" spans="1:18" ht="12.75" customHeight="1">
      <c r="A15" s="31"/>
      <c r="B15" s="74"/>
      <c r="C15" s="74"/>
      <c r="D15" s="74"/>
      <c r="E15" s="74"/>
      <c r="F15" s="74"/>
      <c r="G15" s="74"/>
      <c r="H15" s="74"/>
      <c r="I15" s="31"/>
    </row>
    <row r="16" spans="1:18" ht="16.5">
      <c r="A16" s="32" t="s">
        <v>303</v>
      </c>
      <c r="B16" s="31"/>
      <c r="C16" s="31"/>
      <c r="D16" s="74"/>
      <c r="E16" s="31"/>
      <c r="F16" s="31"/>
      <c r="G16" s="31"/>
      <c r="H16" s="31"/>
      <c r="I16" s="31"/>
    </row>
    <row r="17" spans="1:9" ht="36" customHeight="1">
      <c r="A17" s="334"/>
      <c r="B17" s="334"/>
      <c r="C17" s="334"/>
      <c r="D17" s="74"/>
      <c r="E17" s="31"/>
      <c r="F17" s="140"/>
      <c r="G17" s="140"/>
      <c r="H17" s="140"/>
      <c r="I17" s="140"/>
    </row>
    <row r="18" spans="1:9" s="36" customFormat="1" ht="10.5" customHeight="1">
      <c r="A18" s="334"/>
      <c r="B18" s="334"/>
      <c r="C18" s="334"/>
      <c r="D18" s="74"/>
      <c r="E18" s="35"/>
      <c r="F18" s="140"/>
      <c r="G18" s="140"/>
      <c r="H18" s="140"/>
      <c r="I18" s="140"/>
    </row>
    <row r="19" spans="1:9" ht="16.5">
      <c r="A19" s="30" t="s">
        <v>58</v>
      </c>
      <c r="B19" s="28"/>
      <c r="C19" s="30"/>
      <c r="D19" s="74"/>
      <c r="E19" s="30" t="s">
        <v>304</v>
      </c>
      <c r="F19" s="30"/>
      <c r="G19" s="30"/>
      <c r="I19" s="28"/>
    </row>
    <row r="20" spans="1:9" ht="16.5">
      <c r="A20" s="28" t="s">
        <v>59</v>
      </c>
      <c r="B20" s="28"/>
      <c r="C20" s="28"/>
      <c r="D20" s="74"/>
      <c r="E20" s="28" t="s">
        <v>59</v>
      </c>
      <c r="F20" s="28"/>
      <c r="G20" s="28"/>
      <c r="H20" s="28"/>
      <c r="I20" s="28"/>
    </row>
    <row r="21" spans="1:9" ht="16.5">
      <c r="A21" s="28"/>
      <c r="B21" s="28"/>
      <c r="C21" s="28"/>
      <c r="D21" s="28"/>
      <c r="E21" s="28"/>
      <c r="F21" s="28"/>
      <c r="G21" s="28"/>
      <c r="H21" s="28"/>
      <c r="I21" s="28"/>
    </row>
    <row r="22" spans="1:9" ht="3" customHeight="1">
      <c r="A22" s="33"/>
      <c r="B22" s="33"/>
      <c r="C22" s="33"/>
      <c r="D22" s="33" t="s">
        <v>57</v>
      </c>
      <c r="E22" s="33"/>
      <c r="F22" s="33"/>
      <c r="G22" s="33"/>
      <c r="H22" s="33"/>
      <c r="I22" s="28"/>
    </row>
    <row r="23" spans="1:9">
      <c r="A23" s="34"/>
      <c r="B23" s="34"/>
    </row>
    <row r="27" spans="1:9" ht="7.5" customHeight="1"/>
    <row r="28" spans="1:9" hidden="1"/>
  </sheetData>
  <sheetProtection algorithmName="SHA-512" hashValue="1Al3JQdnW1hulq82Cuptci96WsOd5RdFMIFsfwXCPBMrXnMq8I6ivbtIj7zKTB2y3DHiDEGNbiHzV4OCCaDBjw==" saltValue="dZPpjKLGQjIZRcHxdkXugA==" spinCount="100000" sheet="1" objects="1" scenarios="1" selectLockedCells="1" selectUnlockedCells="1"/>
  <protectedRanges>
    <protectedRange algorithmName="SHA-512" hashValue="p0NIOLdrcL3yqy8H25E7lerKhX3ZqXlZaQIj3D4XqH51QL19DMfEZjdAToT/w8FLlVTjXwEI7f1MRjGljjvHkg==" saltValue="IvuJiIY/6haMQ6gKME3Ofg==" spinCount="100000" sqref="A16:C20 E20" name="Rango1"/>
  </protectedRanges>
  <mergeCells count="11">
    <mergeCell ref="A17:C18"/>
    <mergeCell ref="C10:D10"/>
    <mergeCell ref="C11:D11"/>
    <mergeCell ref="E9:H9"/>
    <mergeCell ref="C12:D12"/>
    <mergeCell ref="C13:D13"/>
    <mergeCell ref="J9:M9"/>
    <mergeCell ref="A6:M6"/>
    <mergeCell ref="A2:M2"/>
    <mergeCell ref="A4:M4"/>
    <mergeCell ref="A8:I8"/>
  </mergeCells>
  <conditionalFormatting sqref="E11:H13">
    <cfRule type="cellIs" dxfId="1" priority="3" operator="equal">
      <formula>"NO CUMPLE"</formula>
    </cfRule>
  </conditionalFormatting>
  <conditionalFormatting sqref="J11:M13">
    <cfRule type="cellIs" dxfId="0" priority="1" operator="equal">
      <formula>"NO CUMPLE"</formula>
    </cfRule>
  </conditionalFormatting>
  <printOptions horizontalCentered="1" verticalCentered="1"/>
  <pageMargins left="0.19685039370078741" right="0.15748031496062992" top="1.9685039370078741" bottom="0.74803149606299213" header="0" footer="0"/>
  <pageSetup paperSize="9" scale="86" orientation="landscape" r:id="rId1"/>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_dlc_DocId xmlns="f4d05912-b1f4-4631-ab3d-1c98aa4d2b28">K5ZKFRP4R23U-12-2398</_dlc_DocId>
    <_dlc_DocIdUrl xmlns="f4d05912-b1f4-4631-ab3d-1c98aa4d2b28">
      <Url>http://www.fonade.gov.co/subg/subContratacion/Evaluacion/_layouts/DocIdRedir.aspx?ID=K5ZKFRP4R23U-12-2398</Url>
      <Description>K5ZKFRP4R23U-12-2398</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BF26B23-3A68-419E-968F-C630DD4E5D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EAE4AF-901C-444D-B760-72729E1118EE}">
  <ds:schemaRefs>
    <ds:schemaRef ds:uri="http://schemas.openxmlformats.org/package/2006/metadata/core-properties"/>
    <ds:schemaRef ds:uri="http://schemas.microsoft.com/office/2006/metadata/properties"/>
    <ds:schemaRef ds:uri="f4d05912-b1f4-4631-ab3d-1c98aa4d2b28"/>
    <ds:schemaRef ds:uri="http://schemas.microsoft.com/office/2006/documentManagement/types"/>
    <ds:schemaRef ds:uri="http://purl.org/dc/terms/"/>
    <ds:schemaRef ds:uri="http://purl.org/dc/elements/1.1/"/>
    <ds:schemaRef ds:uri="http://www.w3.org/XML/1998/namespace"/>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A72746B2-BEFE-426C-BB7E-F5AB0BAD3345}">
  <ds:schemaRefs>
    <ds:schemaRef ds:uri="http://schemas.microsoft.com/sharepoint/v3/contenttype/forms"/>
  </ds:schemaRefs>
</ds:datastoreItem>
</file>

<file path=customXml/itemProps4.xml><?xml version="1.0" encoding="utf-8"?>
<ds:datastoreItem xmlns:ds="http://schemas.openxmlformats.org/officeDocument/2006/customXml" ds:itemID="{B636EF5A-0AD8-4781-8755-AAB2B8D8E21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5</vt:i4>
      </vt:variant>
    </vt:vector>
  </HeadingPairs>
  <TitlesOfParts>
    <vt:vector size="14" baseType="lpstr">
      <vt:lpstr>SMMLV</vt:lpstr>
      <vt:lpstr>General</vt:lpstr>
      <vt:lpstr>Directorio</vt:lpstr>
      <vt:lpstr>Exp. Proponente</vt:lpstr>
      <vt:lpstr>Relación Siniestros</vt:lpstr>
      <vt:lpstr>Hoja1</vt:lpstr>
      <vt:lpstr>Requisitos Técnicos</vt:lpstr>
      <vt:lpstr>Coord</vt:lpstr>
      <vt:lpstr>Conclusión de Evaluación</vt:lpstr>
      <vt:lpstr>'Conclusión de Evaluación'!Área_de_impresión</vt:lpstr>
      <vt:lpstr>Directorio!Área_de_impresión</vt:lpstr>
      <vt:lpstr>'Exp. Proponente'!Área_de_impresión</vt:lpstr>
      <vt:lpstr>'Requisitos Técnicos'!Área_de_impresión</vt:lpstr>
      <vt:lpstr>'Requisitos Técnicos'!Títulos_a_imprimir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Paola Andrea Gaitan Guerra</cp:lastModifiedBy>
  <cp:revision/>
  <cp:lastPrinted>2023-11-27T22:02:02Z</cp:lastPrinted>
  <dcterms:created xsi:type="dcterms:W3CDTF">2007-06-12T13:40:37Z</dcterms:created>
  <dcterms:modified xsi:type="dcterms:W3CDTF">2024-09-13T23:27:28Z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cbb736f3-92aa-4733-b93b-c43ad6a375ce</vt:lpwstr>
  </property>
</Properties>
</file>