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ONITOREO SUBSIDIO OFERTA\2024\SEGUNDO SEMESTRE DE 2024\"/>
    </mc:Choice>
  </mc:AlternateContent>
  <bookViews>
    <workbookView xWindow="-120" yWindow="-120" windowWidth="29040" windowHeight="15840"/>
  </bookViews>
  <sheets>
    <sheet name="RISARALD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11" i="2" l="1"/>
  <c r="X17" i="2" l="1"/>
  <c r="T17" i="2"/>
  <c r="R17" i="2"/>
  <c r="R6" i="2"/>
  <c r="R7" i="2"/>
  <c r="R8" i="2"/>
  <c r="R9" i="2"/>
  <c r="R10" i="2"/>
  <c r="R5" i="2"/>
  <c r="P11" i="2"/>
  <c r="O11" i="2"/>
  <c r="X9" i="2" s="1"/>
  <c r="N11" i="2"/>
  <c r="V10" i="2" l="1"/>
  <c r="V5" i="2"/>
  <c r="V6" i="2"/>
  <c r="V7" i="2"/>
  <c r="V9" i="2"/>
  <c r="V8" i="2"/>
  <c r="R12" i="2"/>
  <c r="Y7" i="2" s="1"/>
  <c r="X10" i="2"/>
  <c r="X6" i="2"/>
  <c r="X7" i="2"/>
  <c r="X5" i="2"/>
  <c r="X8" i="2"/>
  <c r="P21" i="2"/>
  <c r="X20" i="2"/>
  <c r="T20" i="2"/>
  <c r="R20" i="2"/>
  <c r="X19" i="2"/>
  <c r="T19" i="2"/>
  <c r="R19" i="2"/>
  <c r="X18" i="2"/>
  <c r="T18" i="2"/>
  <c r="R18" i="2"/>
  <c r="V17" i="2"/>
  <c r="V16" i="2"/>
  <c r="Z16" i="2" s="1"/>
  <c r="R11" i="2"/>
  <c r="M11" i="2"/>
  <c r="W10" i="2"/>
  <c r="U10" i="2"/>
  <c r="Q10" i="2"/>
  <c r="AA11" i="2"/>
  <c r="W9" i="2"/>
  <c r="U9" i="2"/>
  <c r="Q9" i="2"/>
  <c r="W8" i="2"/>
  <c r="U8" i="2"/>
  <c r="Q8" i="2"/>
  <c r="W7" i="2"/>
  <c r="U7" i="2"/>
  <c r="Q7" i="2"/>
  <c r="W6" i="2"/>
  <c r="U6" i="2"/>
  <c r="Q6" i="2"/>
  <c r="W5" i="2"/>
  <c r="U5" i="2"/>
  <c r="Q5" i="2"/>
  <c r="Z10" i="2" l="1"/>
  <c r="Y6" i="2"/>
  <c r="AI6" i="2"/>
  <c r="AN6" i="2"/>
  <c r="Z6" i="2"/>
  <c r="Z7" i="2"/>
  <c r="Z8" i="2"/>
  <c r="AE5" i="2"/>
  <c r="AE6" i="2"/>
  <c r="AE10" i="2"/>
  <c r="AE7" i="2"/>
  <c r="AE8" i="2"/>
  <c r="AE9" i="2"/>
  <c r="T6" i="2"/>
  <c r="AC6" i="2" s="1"/>
  <c r="T5" i="2"/>
  <c r="T7" i="2"/>
  <c r="AC7" i="2" s="1"/>
  <c r="T8" i="2"/>
  <c r="AC8" i="2" s="1"/>
  <c r="T9" i="2"/>
  <c r="AC9" i="2" s="1"/>
  <c r="T10" i="2"/>
  <c r="AC10" i="2" s="1"/>
  <c r="AD6" i="2"/>
  <c r="AD7" i="2"/>
  <c r="AD8" i="2"/>
  <c r="AD9" i="2"/>
  <c r="AD10" i="2"/>
  <c r="AD5" i="2"/>
  <c r="Z9" i="2"/>
  <c r="Z5" i="2"/>
  <c r="AH9" i="2"/>
  <c r="Y10" i="2"/>
  <c r="AI8" i="2"/>
  <c r="X11" i="2"/>
  <c r="Y9" i="2"/>
  <c r="Y5" i="2"/>
  <c r="Y8" i="2"/>
  <c r="AI5" i="2"/>
  <c r="AH6" i="2"/>
  <c r="AI7" i="2"/>
  <c r="AN5" i="2"/>
  <c r="AH8" i="2"/>
  <c r="AI9" i="2"/>
  <c r="AM8" i="2"/>
  <c r="AN8" i="2"/>
  <c r="AM9" i="2"/>
  <c r="AM6" i="2"/>
  <c r="AM10" i="2"/>
  <c r="T21" i="2"/>
  <c r="V19" i="2"/>
  <c r="S5" i="2"/>
  <c r="S6" i="2"/>
  <c r="AM7" i="2"/>
  <c r="W11" i="2"/>
  <c r="V11" i="2"/>
  <c r="U11" i="2"/>
  <c r="AM5" i="2"/>
  <c r="S9" i="2"/>
  <c r="S7" i="2"/>
  <c r="S8" i="2"/>
  <c r="S11" i="2"/>
  <c r="S10" i="2"/>
  <c r="AN10" i="2"/>
  <c r="AH5" i="2"/>
  <c r="AN7" i="2"/>
  <c r="V18" i="2"/>
  <c r="V20" i="2"/>
  <c r="AH10" i="2"/>
  <c r="AH7" i="2"/>
  <c r="AN9" i="2"/>
  <c r="AI10" i="2"/>
  <c r="R21" i="2"/>
  <c r="Y11" i="2" l="1"/>
  <c r="AL5" i="2"/>
  <c r="AC5" i="2"/>
  <c r="Z11" i="2"/>
  <c r="AB5" i="2" s="1"/>
  <c r="V21" i="2"/>
  <c r="AE11" i="2"/>
  <c r="T11" i="2"/>
  <c r="AG6" i="2"/>
  <c r="AG7" i="2"/>
  <c r="AG8" i="2"/>
  <c r="AG9" i="2"/>
  <c r="AG10" i="2"/>
  <c r="AG5" i="2"/>
  <c r="AM11" i="2"/>
  <c r="AI11" i="2"/>
  <c r="AD11" i="2"/>
  <c r="AH11" i="2"/>
  <c r="AN11" i="2"/>
  <c r="AB9" i="2" l="1"/>
  <c r="AK5" i="2"/>
  <c r="AB8" i="2"/>
  <c r="AF8" i="2" s="1"/>
  <c r="Z12" i="2"/>
  <c r="AB10" i="2"/>
  <c r="AF9" i="2"/>
  <c r="AO9" i="2"/>
  <c r="AJ9" i="2"/>
  <c r="AB6" i="2"/>
  <c r="AB7" i="2"/>
  <c r="AK10" i="2"/>
  <c r="AK7" i="2"/>
  <c r="AK6" i="2"/>
  <c r="AG11" i="2"/>
  <c r="AC11" i="2"/>
  <c r="AK9" i="2" l="1"/>
  <c r="AO8" i="2"/>
  <c r="AO11" i="2" s="1"/>
  <c r="AJ8" i="2"/>
  <c r="AJ11" i="2" s="1"/>
  <c r="AG12" i="2" s="1"/>
  <c r="AB11" i="2"/>
  <c r="AF11" i="2"/>
  <c r="AC12" i="2" s="1"/>
  <c r="AK8" i="2" l="1"/>
  <c r="AK11" i="2" s="1"/>
  <c r="AL8" i="2"/>
  <c r="AQ8" i="2" s="1"/>
  <c r="AL9" i="2"/>
  <c r="AQ9" i="2" s="1"/>
  <c r="AR9" i="2" s="1"/>
  <c r="AT9" i="2" s="1"/>
  <c r="AL6" i="2"/>
  <c r="AQ6" i="2" s="1"/>
  <c r="AR6" i="2" s="1"/>
  <c r="AT6" i="2" s="1"/>
  <c r="AL7" i="2"/>
  <c r="AQ7" i="2" s="1"/>
  <c r="AR7" i="2" s="1"/>
  <c r="AT7" i="2" s="1"/>
  <c r="AQ5" i="2"/>
  <c r="AL10" i="2"/>
  <c r="AQ10" i="2" s="1"/>
  <c r="AR10" i="2" s="1"/>
  <c r="AT10" i="2" s="1"/>
  <c r="X21" i="2"/>
  <c r="AR8" i="2" l="1"/>
  <c r="AT8" i="2" s="1"/>
  <c r="AR5" i="2"/>
  <c r="AQ11" i="2"/>
  <c r="AL11" i="2"/>
  <c r="AL12" i="2" s="1"/>
  <c r="AR11" i="2" l="1"/>
  <c r="AT5" i="2"/>
  <c r="AT11" i="2" s="1"/>
</calcChain>
</file>

<file path=xl/comments1.xml><?xml version="1.0" encoding="utf-8"?>
<comments xmlns="http://schemas.openxmlformats.org/spreadsheetml/2006/main">
  <authors>
    <author>Claudia Yaneth Rojas Pineda</author>
  </authors>
  <commentList>
    <comment ref="M5" authorId="0" shapeId="0">
      <text>
        <r>
          <rPr>
            <b/>
            <sz val="9"/>
            <color indexed="81"/>
            <rFont val="Tahoma"/>
            <family val="2"/>
          </rPr>
          <t>Claudia Yaneth Rojas Pineda:</t>
        </r>
        <r>
          <rPr>
            <sz val="9"/>
            <color indexed="81"/>
            <rFont val="Tahoma"/>
            <family val="2"/>
          </rPr>
          <t xml:space="preserve">
EJEMPLO
</t>
        </r>
      </text>
    </comment>
    <comment ref="R16" authorId="0" shapeId="0">
      <text>
        <r>
          <rPr>
            <b/>
            <sz val="9"/>
            <color indexed="81"/>
            <rFont val="Tahoma"/>
            <family val="2"/>
          </rPr>
          <t>Claudia Yaneth Rojas Pineda:</t>
        </r>
        <r>
          <rPr>
            <sz val="9"/>
            <color indexed="81"/>
            <rFont val="Tahoma"/>
            <family val="2"/>
          </rPr>
          <t xml:space="preserve">
EJEMPLO 
</t>
        </r>
      </text>
    </comment>
  </commentList>
</comments>
</file>

<file path=xl/sharedStrings.xml><?xml version="1.0" encoding="utf-8"?>
<sst xmlns="http://schemas.openxmlformats.org/spreadsheetml/2006/main" count="89" uniqueCount="63">
  <si>
    <t>Variables (Proporciones)</t>
  </si>
  <si>
    <t>Recursos Última doceava 2023</t>
  </si>
  <si>
    <t>Recursos de Rendimientos 2023</t>
  </si>
  <si>
    <t>CodDepartamento</t>
  </si>
  <si>
    <t>Nombre Departamento</t>
  </si>
  <si>
    <t>IdMunicipio</t>
  </si>
  <si>
    <t>CodigodDane</t>
  </si>
  <si>
    <t>MpioCertificado</t>
  </si>
  <si>
    <t>Monopilio</t>
  </si>
  <si>
    <t>NombreMunicipio</t>
  </si>
  <si>
    <t>población 2024</t>
  </si>
  <si>
    <t>Indice ruralidad</t>
  </si>
  <si>
    <t>Pobreza(NBI)</t>
  </si>
  <si>
    <t>Área KM2</t>
  </si>
  <si>
    <t>Densidad Poblacional 
(Área/población)</t>
  </si>
  <si>
    <t>Proporcion por Población</t>
  </si>
  <si>
    <t>Proporción por ruralidad</t>
  </si>
  <si>
    <t xml:space="preserve">Proporción por pobreza (NBI) </t>
  </si>
  <si>
    <t>Densidad superior promedioDptal</t>
  </si>
  <si>
    <t xml:space="preserve">Proporción por Densidad 2 </t>
  </si>
  <si>
    <t xml:space="preserve">Recusos asignados x Población </t>
  </si>
  <si>
    <t>Recursos asignados x Ruralidad</t>
  </si>
  <si>
    <t>Recusos asignados x por Pobreza</t>
  </si>
  <si>
    <t>Recusos asignados x densidadpob</t>
  </si>
  <si>
    <t xml:space="preserve">Asignado  2024 Rendimientos </t>
  </si>
  <si>
    <t>No</t>
  </si>
  <si>
    <t>Si</t>
  </si>
  <si>
    <t>Densidad Promedio Departamental</t>
  </si>
  <si>
    <t>Última Doceava 2023 (Resol 105 de 22/01/2024</t>
  </si>
  <si>
    <t>Subtotal asignado SGP 2024 a la fecha</t>
  </si>
  <si>
    <t>Rendimientod SGP Oferta 2023</t>
  </si>
  <si>
    <t>Por población: El 30% del valor asignado</t>
  </si>
  <si>
    <t>Por ruralidad: La distribución del 22% de los recursos asignados</t>
  </si>
  <si>
    <t>Por pobreza: El 38% de los recursos asignados</t>
  </si>
  <si>
    <t>Por densidad poblacional: Para distribuir el restante 10% de los recursos
asignado</t>
  </si>
  <si>
    <t>Validacion MSPS</t>
  </si>
  <si>
    <t xml:space="preserve">Recursos SGP Subsidio oferta + Rendimientos </t>
  </si>
  <si>
    <t>GUATICA</t>
  </si>
  <si>
    <t>LA CELIA</t>
  </si>
  <si>
    <t>MARSELLA</t>
  </si>
  <si>
    <t>MISTRATO</t>
  </si>
  <si>
    <t>PUEBLO RICO</t>
  </si>
  <si>
    <t>SANTUARIO</t>
  </si>
  <si>
    <t xml:space="preserve">Once Doceavas  2024 (Resol 279 de 02/22/ 2024) </t>
  </si>
  <si>
    <t>Recursos Once Doceavas 2024</t>
  </si>
  <si>
    <t>Subtotal últimadoceava 2023 + Once  deceavas 2024</t>
  </si>
  <si>
    <t>NOMBRE ESE</t>
  </si>
  <si>
    <t>NIT ESE</t>
  </si>
  <si>
    <t>66000</t>
  </si>
  <si>
    <t>RISARALDA</t>
  </si>
  <si>
    <t>Hospital Santa Ana</t>
  </si>
  <si>
    <t>Hospital San Jose</t>
  </si>
  <si>
    <t>Hospital San Jose Marsella</t>
  </si>
  <si>
    <t>Hospital San Vicente de Paul</t>
  </si>
  <si>
    <t>Hospital San Rafael</t>
  </si>
  <si>
    <t>VR A CONTRATAR 2DO SEMESTER 2024</t>
  </si>
  <si>
    <t>VR CONTRATADO 1ER SEMESTER 2024 (Ultima doc +sies doc)</t>
  </si>
  <si>
    <t xml:space="preserve">Total a distribuir por municipio no certificado 2024  </t>
  </si>
  <si>
    <t>Recursos Distribuidos</t>
  </si>
  <si>
    <t>PROMEDIO DENSIDAD</t>
  </si>
  <si>
    <t>Codigo Departamento</t>
  </si>
  <si>
    <t>DISTRIBUCION</t>
  </si>
  <si>
    <t>Los valores realacionados en las columnas M a P se tomaron del siguiente link https://sicodis.dnp.gov.co/Reportes/ConsultaVariables.aspx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</si>
</sst>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64" formatCode="#,##0.000000_ ;\-#,##0.000000\ "/>
    <numFmt numFmtId="165" formatCode="0.00000"/>
    <numFmt numFmtId="166" formatCode="_-* #,##0_-;\-* #,##0_-;_-* &quot;-&quot;??????_-;_-@_-"/>
    <numFmt numFmtId="167" formatCode="_-* #,##0_-;\-* #,##0_-;_-* &quot;-&quot;??_-;_-@_-"/>
    <numFmt numFmtId="168" formatCode="0.0000000000"/>
    <numFmt numFmtId="169" formatCode="_-* #,##0.00_-;\-* #,##0.00_-;_-* &quot;-&quot;_-;_-@_-"/>
    <numFmt numFmtId="170" formatCode="0.0000"/>
    <numFmt numFmtId="171" formatCode="_-* #,##0.00000_-;\-* #,##0.00000_-;_-* &quot;-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9D9D4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center" wrapText="1"/>
    </xf>
    <xf numFmtId="164" fontId="4" fillId="0" borderId="17" xfId="0" applyNumberFormat="1" applyFont="1" applyBorder="1" applyAlignment="1">
      <alignment horizontal="right" vertical="center"/>
    </xf>
    <xf numFmtId="164" fontId="5" fillId="0" borderId="16" xfId="0" applyNumberFormat="1" applyFont="1" applyBorder="1" applyAlignment="1">
      <alignment vertical="center"/>
    </xf>
    <xf numFmtId="166" fontId="6" fillId="0" borderId="19" xfId="0" applyNumberFormat="1" applyFont="1" applyBorder="1"/>
    <xf numFmtId="166" fontId="6" fillId="0" borderId="20" xfId="0" applyNumberFormat="1" applyFont="1" applyBorder="1"/>
    <xf numFmtId="166" fontId="5" fillId="0" borderId="18" xfId="0" applyNumberFormat="1" applyFont="1" applyBorder="1"/>
    <xf numFmtId="166" fontId="5" fillId="0" borderId="19" xfId="0" applyNumberFormat="1" applyFont="1" applyBorder="1"/>
    <xf numFmtId="166" fontId="5" fillId="0" borderId="21" xfId="0" applyNumberFormat="1" applyFont="1" applyBorder="1"/>
    <xf numFmtId="166" fontId="5" fillId="0" borderId="22" xfId="0" applyNumberFormat="1" applyFont="1" applyBorder="1"/>
    <xf numFmtId="166" fontId="5" fillId="0" borderId="17" xfId="0" applyNumberFormat="1" applyFont="1" applyBorder="1"/>
    <xf numFmtId="166" fontId="5" fillId="0" borderId="23" xfId="0" applyNumberFormat="1" applyFont="1" applyBorder="1"/>
    <xf numFmtId="0" fontId="0" fillId="0" borderId="19" xfId="0" applyBorder="1" applyAlignment="1">
      <alignment vertical="center"/>
    </xf>
    <xf numFmtId="0" fontId="4" fillId="4" borderId="19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166" fontId="5" fillId="0" borderId="20" xfId="0" applyNumberFormat="1" applyFont="1" applyBorder="1"/>
    <xf numFmtId="166" fontId="5" fillId="0" borderId="24" xfId="0" applyNumberFormat="1" applyFont="1" applyBorder="1"/>
    <xf numFmtId="0" fontId="5" fillId="0" borderId="20" xfId="0" applyFont="1" applyBorder="1" applyAlignment="1">
      <alignment vertical="center"/>
    </xf>
    <xf numFmtId="3" fontId="7" fillId="4" borderId="19" xfId="0" applyNumberFormat="1" applyFont="1" applyFill="1" applyBorder="1" applyAlignment="1">
      <alignment horizontal="right"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165" fontId="2" fillId="0" borderId="20" xfId="0" applyNumberFormat="1" applyFont="1" applyBorder="1" applyAlignment="1">
      <alignment vertical="center"/>
    </xf>
    <xf numFmtId="166" fontId="8" fillId="0" borderId="15" xfId="0" applyNumberFormat="1" applyFont="1" applyBorder="1"/>
    <xf numFmtId="166" fontId="8" fillId="0" borderId="1" xfId="0" applyNumberFormat="1" applyFont="1" applyBorder="1"/>
    <xf numFmtId="0" fontId="2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7" fontId="11" fillId="0" borderId="7" xfId="1" applyNumberFormat="1" applyFont="1" applyFill="1" applyBorder="1" applyAlignment="1">
      <alignment vertical="center" wrapText="1"/>
    </xf>
    <xf numFmtId="167" fontId="11" fillId="0" borderId="8" xfId="1" applyNumberFormat="1" applyFont="1" applyFill="1" applyBorder="1" applyAlignment="1">
      <alignment vertical="center" wrapText="1"/>
    </xf>
    <xf numFmtId="167" fontId="8" fillId="0" borderId="8" xfId="0" applyNumberFormat="1" applyFont="1" applyBorder="1" applyAlignment="1">
      <alignment vertical="center"/>
    </xf>
    <xf numFmtId="167" fontId="11" fillId="0" borderId="10" xfId="1" applyNumberFormat="1" applyFont="1" applyFill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167" fontId="10" fillId="0" borderId="16" xfId="0" applyNumberFormat="1" applyFont="1" applyBorder="1" applyAlignment="1">
      <alignment horizontal="center" vertical="center" wrapText="1"/>
    </xf>
    <xf numFmtId="167" fontId="8" fillId="0" borderId="16" xfId="0" applyNumberFormat="1" applyFont="1" applyBorder="1" applyAlignment="1">
      <alignment vertical="center"/>
    </xf>
    <xf numFmtId="167" fontId="10" fillId="0" borderId="19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167" fontId="8" fillId="0" borderId="1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168" fontId="4" fillId="4" borderId="17" xfId="0" applyNumberFormat="1" applyFont="1" applyFill="1" applyBorder="1" applyAlignment="1">
      <alignment horizontal="right" vertical="center"/>
    </xf>
    <xf numFmtId="167" fontId="11" fillId="0" borderId="32" xfId="1" applyNumberFormat="1" applyFont="1" applyFill="1" applyBorder="1" applyAlignment="1">
      <alignment vertical="center" wrapText="1"/>
    </xf>
    <xf numFmtId="167" fontId="8" fillId="0" borderId="16" xfId="0" applyNumberFormat="1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167" fontId="8" fillId="0" borderId="9" xfId="0" applyNumberFormat="1" applyFont="1" applyBorder="1" applyAlignment="1">
      <alignment vertical="center"/>
    </xf>
    <xf numFmtId="165" fontId="2" fillId="0" borderId="33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167" fontId="11" fillId="0" borderId="2" xfId="1" applyNumberFormat="1" applyFont="1" applyFill="1" applyBorder="1" applyAlignment="1">
      <alignment vertical="center" wrapText="1"/>
    </xf>
    <xf numFmtId="167" fontId="10" fillId="0" borderId="0" xfId="0" applyNumberFormat="1" applyFont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 wrapText="1"/>
    </xf>
    <xf numFmtId="0" fontId="2" fillId="0" borderId="34" xfId="0" applyFont="1" applyBorder="1" applyAlignment="1">
      <alignment vertical="center" wrapText="1"/>
    </xf>
    <xf numFmtId="0" fontId="0" fillId="6" borderId="19" xfId="0" applyFill="1" applyBorder="1"/>
    <xf numFmtId="0" fontId="5" fillId="5" borderId="19" xfId="0" applyFont="1" applyFill="1" applyBorder="1" applyAlignment="1">
      <alignment vertical="center"/>
    </xf>
    <xf numFmtId="169" fontId="2" fillId="0" borderId="19" xfId="0" applyNumberFormat="1" applyFont="1" applyBorder="1" applyAlignment="1">
      <alignment vertical="center"/>
    </xf>
    <xf numFmtId="168" fontId="2" fillId="0" borderId="19" xfId="0" applyNumberFormat="1" applyFont="1" applyBorder="1" applyAlignment="1">
      <alignment vertical="center"/>
    </xf>
    <xf numFmtId="164" fontId="2" fillId="0" borderId="19" xfId="0" applyNumberFormat="1" applyFont="1" applyBorder="1" applyAlignment="1">
      <alignment vertical="center"/>
    </xf>
    <xf numFmtId="164" fontId="2" fillId="0" borderId="20" xfId="0" applyNumberFormat="1" applyFont="1" applyBorder="1" applyAlignment="1">
      <alignment vertical="center"/>
    </xf>
    <xf numFmtId="0" fontId="12" fillId="0" borderId="19" xfId="0" applyFont="1" applyBorder="1"/>
    <xf numFmtId="166" fontId="0" fillId="0" borderId="0" xfId="0" applyNumberFormat="1"/>
    <xf numFmtId="165" fontId="5" fillId="0" borderId="33" xfId="0" applyNumberFormat="1" applyFont="1" applyBorder="1" applyAlignment="1">
      <alignment vertical="center"/>
    </xf>
    <xf numFmtId="0" fontId="2" fillId="0" borderId="36" xfId="0" applyFont="1" applyBorder="1" applyAlignment="1">
      <alignment wrapText="1"/>
    </xf>
    <xf numFmtId="41" fontId="0" fillId="0" borderId="24" xfId="2" applyFont="1" applyBorder="1"/>
    <xf numFmtId="41" fontId="0" fillId="0" borderId="38" xfId="2" applyFont="1" applyBorder="1"/>
    <xf numFmtId="41" fontId="0" fillId="0" borderId="23" xfId="2" applyFont="1" applyBorder="1"/>
    <xf numFmtId="0" fontId="2" fillId="0" borderId="15" xfId="0" applyFont="1" applyBorder="1" applyAlignment="1">
      <alignment wrapText="1"/>
    </xf>
    <xf numFmtId="41" fontId="0" fillId="0" borderId="25" xfId="0" applyNumberFormat="1" applyBorder="1"/>
    <xf numFmtId="41" fontId="0" fillId="0" borderId="37" xfId="0" applyNumberFormat="1" applyBorder="1"/>
    <xf numFmtId="41" fontId="15" fillId="0" borderId="1" xfId="2" applyFont="1" applyBorder="1"/>
    <xf numFmtId="41" fontId="15" fillId="0" borderId="15" xfId="0" applyNumberFormat="1" applyFont="1" applyBorder="1"/>
    <xf numFmtId="3" fontId="2" fillId="5" borderId="16" xfId="0" applyNumberFormat="1" applyFont="1" applyFill="1" applyBorder="1" applyAlignment="1">
      <alignment horizontal="right" vertical="center"/>
    </xf>
    <xf numFmtId="0" fontId="5" fillId="5" borderId="16" xfId="0" applyFont="1" applyFill="1" applyBorder="1" applyAlignment="1">
      <alignment vertical="center"/>
    </xf>
    <xf numFmtId="169" fontId="5" fillId="5" borderId="16" xfId="2" applyNumberFormat="1" applyFont="1" applyFill="1" applyBorder="1" applyAlignment="1">
      <alignment horizontal="right" vertical="center"/>
    </xf>
    <xf numFmtId="3" fontId="5" fillId="5" borderId="19" xfId="0" applyNumberFormat="1" applyFont="1" applyFill="1" applyBorder="1" applyAlignment="1">
      <alignment horizontal="right" vertical="center"/>
    </xf>
    <xf numFmtId="164" fontId="0" fillId="7" borderId="0" xfId="0" applyNumberFormat="1" applyFill="1" applyAlignment="1">
      <alignment horizontal="center"/>
    </xf>
    <xf numFmtId="170" fontId="5" fillId="0" borderId="18" xfId="0" applyNumberFormat="1" applyFont="1" applyBorder="1" applyAlignment="1">
      <alignment vertical="center"/>
    </xf>
    <xf numFmtId="171" fontId="5" fillId="5" borderId="16" xfId="2" applyNumberFormat="1" applyFont="1" applyFill="1" applyBorder="1" applyAlignment="1">
      <alignment horizontal="center" vertical="center"/>
    </xf>
    <xf numFmtId="171" fontId="7" fillId="4" borderId="19" xfId="2" applyNumberFormat="1" applyFont="1" applyFill="1" applyBorder="1" applyAlignment="1">
      <alignment horizontal="center" vertical="center"/>
    </xf>
    <xf numFmtId="164" fontId="5" fillId="5" borderId="16" xfId="0" applyNumberFormat="1" applyFont="1" applyFill="1" applyBorder="1" applyAlignment="1">
      <alignment vertical="center"/>
    </xf>
    <xf numFmtId="164" fontId="5" fillId="5" borderId="19" xfId="0" applyNumberFormat="1" applyFont="1" applyFill="1" applyBorder="1" applyAlignment="1">
      <alignment vertical="center"/>
    </xf>
    <xf numFmtId="164" fontId="2" fillId="5" borderId="19" xfId="0" applyNumberFormat="1" applyFont="1" applyFill="1" applyBorder="1" applyAlignment="1">
      <alignment vertical="center"/>
    </xf>
    <xf numFmtId="0" fontId="6" fillId="0" borderId="20" xfId="0" applyFont="1" applyBorder="1"/>
    <xf numFmtId="0" fontId="3" fillId="2" borderId="15" xfId="0" applyFont="1" applyFill="1" applyBorder="1" applyAlignment="1">
      <alignment horizontal="center" vertical="center" wrapText="1"/>
    </xf>
    <xf numFmtId="166" fontId="5" fillId="0" borderId="39" xfId="0" applyNumberFormat="1" applyFont="1" applyBorder="1" applyAlignment="1">
      <alignment vertical="center"/>
    </xf>
    <xf numFmtId="166" fontId="5" fillId="0" borderId="25" xfId="0" applyNumberFormat="1" applyFont="1" applyBorder="1" applyAlignment="1">
      <alignment vertical="center"/>
    </xf>
    <xf numFmtId="166" fontId="8" fillId="0" borderId="15" xfId="0" applyNumberFormat="1" applyFont="1" applyBorder="1" applyAlignment="1">
      <alignment vertical="center"/>
    </xf>
    <xf numFmtId="166" fontId="6" fillId="0" borderId="40" xfId="0" applyNumberFormat="1" applyFont="1" applyBorder="1" applyAlignment="1">
      <alignment vertic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5" fillId="0" borderId="19" xfId="0" applyNumberFormat="1" applyFont="1" applyBorder="1"/>
    <xf numFmtId="170" fontId="16" fillId="0" borderId="19" xfId="0" applyNumberFormat="1" applyFont="1" applyBorder="1" applyAlignment="1">
      <alignment horizontal="center" vertical="center"/>
    </xf>
    <xf numFmtId="165" fontId="16" fillId="0" borderId="19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70" fontId="2" fillId="0" borderId="26" xfId="0" applyNumberFormat="1" applyFont="1" applyBorder="1" applyAlignment="1">
      <alignment vertical="center" wrapText="1"/>
    </xf>
    <xf numFmtId="0" fontId="0" fillId="0" borderId="15" xfId="0" applyBorder="1"/>
    <xf numFmtId="0" fontId="4" fillId="4" borderId="16" xfId="0" applyFont="1" applyFill="1" applyBorder="1" applyAlignment="1">
      <alignment horizontal="left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167" fontId="11" fillId="0" borderId="1" xfId="1" applyNumberFormat="1" applyFont="1" applyFill="1" applyBorder="1" applyAlignment="1">
      <alignment horizontal="center" vertical="center"/>
    </xf>
    <xf numFmtId="167" fontId="11" fillId="0" borderId="2" xfId="1" applyNumberFormat="1" applyFont="1" applyFill="1" applyBorder="1" applyAlignment="1">
      <alignment horizontal="center" vertical="center"/>
    </xf>
    <xf numFmtId="167" fontId="11" fillId="0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left" vertical="center" wrapText="1"/>
    </xf>
  </cellXfs>
  <cellStyles count="5">
    <cellStyle name="Millares" xfId="1" builtinId="3"/>
    <cellStyle name="Millares [0]" xfId="2" builtinId="6"/>
    <cellStyle name="Millares [0] 2" xfId="4"/>
    <cellStyle name="Millares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21"/>
  <sheetViews>
    <sheetView tabSelected="1" topLeftCell="D1" workbookViewId="0">
      <pane xSplit="8" ySplit="4" topLeftCell="L11" activePane="bottomRight" state="frozen"/>
      <selection activeCell="D1" sqref="D1"/>
      <selection pane="topRight" activeCell="I1" sqref="I1"/>
      <selection pane="bottomLeft" activeCell="D5" sqref="D5"/>
      <selection pane="bottomRight" activeCell="AE20" sqref="AE20"/>
    </sheetView>
  </sheetViews>
  <sheetFormatPr baseColWidth="10" defaultRowHeight="15" x14ac:dyDescent="0.25"/>
  <cols>
    <col min="1" max="1" width="8.7109375" customWidth="1"/>
    <col min="3" max="6" width="11" customWidth="1"/>
    <col min="7" max="7" width="7.28515625" customWidth="1"/>
    <col min="8" max="8" width="6" customWidth="1"/>
    <col min="9" max="9" width="5" customWidth="1"/>
    <col min="10" max="12" width="10.42578125" customWidth="1"/>
    <col min="13" max="13" width="8.5703125" customWidth="1"/>
    <col min="14" max="14" width="13.85546875" customWidth="1"/>
    <col min="15" max="15" width="7.5703125" customWidth="1"/>
    <col min="16" max="16" width="11" customWidth="1"/>
    <col min="17" max="17" width="16.140625" hidden="1" customWidth="1"/>
    <col min="18" max="18" width="11.28515625" customWidth="1"/>
    <col min="19" max="19" width="12.42578125" hidden="1" customWidth="1"/>
    <col min="20" max="20" width="12.140625" customWidth="1"/>
    <col min="21" max="21" width="12.140625" hidden="1" customWidth="1"/>
    <col min="22" max="22" width="11.85546875" customWidth="1"/>
    <col min="23" max="23" width="11.85546875" hidden="1" customWidth="1"/>
    <col min="24" max="24" width="11.5703125" customWidth="1"/>
    <col min="25" max="25" width="11.5703125" hidden="1" customWidth="1"/>
    <col min="26" max="26" width="9.28515625" customWidth="1"/>
    <col min="27" max="27" width="9.28515625" hidden="1" customWidth="1"/>
    <col min="28" max="28" width="10.140625" customWidth="1"/>
    <col min="29" max="29" width="11.7109375" customWidth="1"/>
    <col min="30" max="30" width="10.42578125" customWidth="1"/>
    <col min="31" max="31" width="11" customWidth="1"/>
    <col min="32" max="32" width="18.28515625" customWidth="1"/>
    <col min="33" max="33" width="11.7109375" customWidth="1"/>
    <col min="34" max="34" width="11.28515625" customWidth="1"/>
    <col min="35" max="35" width="11.85546875" customWidth="1"/>
    <col min="36" max="36" width="16.7109375" customWidth="1"/>
    <col min="37" max="37" width="13.42578125" bestFit="1" customWidth="1"/>
    <col min="38" max="41" width="11.5703125" bestFit="1" customWidth="1"/>
    <col min="42" max="42" width="2.5703125" customWidth="1"/>
    <col min="43" max="43" width="12.28515625" customWidth="1"/>
    <col min="44" max="44" width="13.85546875" customWidth="1"/>
    <col min="45" max="45" width="14.140625" customWidth="1"/>
    <col min="46" max="46" width="13.28515625" customWidth="1"/>
  </cols>
  <sheetData>
    <row r="1" spans="1:46" ht="24" customHeight="1" thickBot="1" x14ac:dyDescent="0.3"/>
    <row r="2" spans="1:46" ht="22.5" customHeight="1" thickBot="1" x14ac:dyDescent="0.3">
      <c r="A2" s="130" t="s">
        <v>61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2"/>
      <c r="Q2" s="51"/>
      <c r="AR2" s="1"/>
    </row>
    <row r="3" spans="1:46" s="1" customFormat="1" ht="16.5" customHeight="1" thickBot="1" x14ac:dyDescent="0.3">
      <c r="T3" s="133" t="s">
        <v>0</v>
      </c>
      <c r="U3" s="134"/>
      <c r="V3" s="134"/>
      <c r="W3" s="134"/>
      <c r="X3" s="134"/>
      <c r="Y3" s="134"/>
      <c r="Z3" s="134"/>
      <c r="AA3" s="134"/>
      <c r="AB3" s="134"/>
      <c r="AC3" s="118" t="s">
        <v>1</v>
      </c>
      <c r="AD3" s="119"/>
      <c r="AE3" s="119"/>
      <c r="AF3" s="119"/>
      <c r="AG3" s="118" t="s">
        <v>44</v>
      </c>
      <c r="AH3" s="119"/>
      <c r="AI3" s="119"/>
      <c r="AJ3" s="120"/>
      <c r="AK3" s="116" t="s">
        <v>45</v>
      </c>
      <c r="AL3" s="118" t="s">
        <v>2</v>
      </c>
      <c r="AM3" s="119"/>
      <c r="AN3" s="119"/>
      <c r="AO3" s="120"/>
      <c r="AQ3" s="111" t="s">
        <v>58</v>
      </c>
      <c r="AR3" s="112"/>
    </row>
    <row r="4" spans="1:46" ht="68.25" customHeight="1" thickBot="1" x14ac:dyDescent="0.3">
      <c r="A4" s="2" t="s">
        <v>3</v>
      </c>
      <c r="B4" s="3" t="s">
        <v>4</v>
      </c>
      <c r="C4" s="3" t="s">
        <v>5</v>
      </c>
      <c r="D4" s="3" t="s">
        <v>60</v>
      </c>
      <c r="E4" s="3" t="s">
        <v>4</v>
      </c>
      <c r="F4" s="3" t="s">
        <v>5</v>
      </c>
      <c r="G4" s="3" t="s">
        <v>6</v>
      </c>
      <c r="H4" s="4" t="s">
        <v>7</v>
      </c>
      <c r="I4" s="4" t="s">
        <v>8</v>
      </c>
      <c r="J4" s="4" t="s">
        <v>9</v>
      </c>
      <c r="K4" s="4" t="s">
        <v>46</v>
      </c>
      <c r="L4" s="4" t="s">
        <v>47</v>
      </c>
      <c r="M4" s="3" t="s">
        <v>10</v>
      </c>
      <c r="N4" s="3" t="s">
        <v>11</v>
      </c>
      <c r="O4" s="3" t="s">
        <v>12</v>
      </c>
      <c r="P4" s="3" t="s">
        <v>13</v>
      </c>
      <c r="Q4" s="4" t="s">
        <v>35</v>
      </c>
      <c r="R4" s="5" t="s">
        <v>14</v>
      </c>
      <c r="S4" s="4" t="s">
        <v>35</v>
      </c>
      <c r="T4" s="6" t="s">
        <v>15</v>
      </c>
      <c r="U4" s="4" t="s">
        <v>35</v>
      </c>
      <c r="V4" s="6" t="s">
        <v>16</v>
      </c>
      <c r="W4" s="4" t="s">
        <v>35</v>
      </c>
      <c r="X4" s="100" t="s">
        <v>17</v>
      </c>
      <c r="Y4" s="101" t="s">
        <v>35</v>
      </c>
      <c r="Z4" s="7" t="s">
        <v>18</v>
      </c>
      <c r="AA4" s="102"/>
      <c r="AB4" s="100" t="s">
        <v>19</v>
      </c>
      <c r="AC4" s="2" t="s">
        <v>20</v>
      </c>
      <c r="AD4" s="3" t="s">
        <v>21</v>
      </c>
      <c r="AE4" s="3" t="s">
        <v>22</v>
      </c>
      <c r="AF4" s="4" t="s">
        <v>23</v>
      </c>
      <c r="AG4" s="7" t="s">
        <v>20</v>
      </c>
      <c r="AH4" s="8" t="s">
        <v>21</v>
      </c>
      <c r="AI4" s="8" t="s">
        <v>22</v>
      </c>
      <c r="AJ4" s="9" t="s">
        <v>23</v>
      </c>
      <c r="AK4" s="117"/>
      <c r="AL4" s="7" t="s">
        <v>20</v>
      </c>
      <c r="AM4" s="8" t="s">
        <v>21</v>
      </c>
      <c r="AN4" s="8" t="s">
        <v>22</v>
      </c>
      <c r="AO4" s="9" t="s">
        <v>23</v>
      </c>
      <c r="AQ4" s="10" t="s">
        <v>24</v>
      </c>
      <c r="AR4" s="95" t="s">
        <v>57</v>
      </c>
      <c r="AS4" s="78" t="s">
        <v>56</v>
      </c>
      <c r="AT4" s="74" t="s">
        <v>55</v>
      </c>
    </row>
    <row r="5" spans="1:46" ht="24" x14ac:dyDescent="0.25">
      <c r="A5" s="135" t="s">
        <v>48</v>
      </c>
      <c r="B5" s="138" t="s">
        <v>49</v>
      </c>
      <c r="C5" s="11">
        <v>891480025</v>
      </c>
      <c r="D5" s="141">
        <v>66000</v>
      </c>
      <c r="E5" s="141" t="s">
        <v>49</v>
      </c>
      <c r="F5" s="109">
        <v>891480025</v>
      </c>
      <c r="G5" s="11">
        <v>66318</v>
      </c>
      <c r="H5" s="12" t="s">
        <v>25</v>
      </c>
      <c r="I5" s="12" t="s">
        <v>26</v>
      </c>
      <c r="J5" s="13" t="s">
        <v>37</v>
      </c>
      <c r="K5" s="13" t="s">
        <v>50</v>
      </c>
      <c r="L5" s="13">
        <v>891410661</v>
      </c>
      <c r="M5" s="83">
        <v>12435</v>
      </c>
      <c r="N5" s="89">
        <v>0.54810000000000003</v>
      </c>
      <c r="O5" s="84">
        <v>10.96</v>
      </c>
      <c r="P5" s="85">
        <v>100.81</v>
      </c>
      <c r="Q5">
        <f>+P5/M5</f>
        <v>8.1069561720948941E-3</v>
      </c>
      <c r="R5" s="14">
        <f>+P5/M5</f>
        <v>8.1069561720948941E-3</v>
      </c>
      <c r="S5" s="53">
        <f t="shared" ref="S5:S11" si="0">+M5/$M$11</f>
        <v>0.14709709472887292</v>
      </c>
      <c r="T5" s="15">
        <f>+M5/M11</f>
        <v>0.14709709472887292</v>
      </c>
      <c r="U5" s="15">
        <f t="shared" ref="U5:U10" si="1">+N5/$N$11</f>
        <v>0.17176972014165284</v>
      </c>
      <c r="V5" s="91">
        <f>+N5/N11</f>
        <v>0.17176972014165284</v>
      </c>
      <c r="W5" s="56">
        <f t="shared" ref="W5:W10" si="2">+O5/$O$11</f>
        <v>7.437063174323133E-2</v>
      </c>
      <c r="X5" s="103">
        <f>+O5/O11</f>
        <v>7.437063174323133E-2</v>
      </c>
      <c r="Y5" s="71" t="str">
        <f t="shared" ref="Y5:Y10" si="3">IF(R5&gt;=$R$12,R5,"")</f>
        <v/>
      </c>
      <c r="Z5" s="104" t="str">
        <f>IF(R5&gt;=R$12,R5,"")</f>
        <v/>
      </c>
      <c r="AA5" s="65"/>
      <c r="AB5" s="105" t="str">
        <f>IFERROR(Z5/Z$11,"")</f>
        <v/>
      </c>
      <c r="AC5" s="99">
        <f>SUM($R$17*T5)</f>
        <v>10433055.626520062</v>
      </c>
      <c r="AD5" s="16">
        <f>SUM($R$18*V5)</f>
        <v>8934195.7131198104</v>
      </c>
      <c r="AE5" s="16">
        <f>SUM($R$19*X5)</f>
        <v>6681457.9618755523</v>
      </c>
      <c r="AF5" s="94"/>
      <c r="AG5" s="18">
        <f t="shared" ref="AG5:AG10" si="4">SUM($T$17*T5)</f>
        <v>82370400.205705255</v>
      </c>
      <c r="AH5" s="19">
        <f t="shared" ref="AH5:AH10" si="5">SUM($T$18*V5)</f>
        <v>70536696.318874925</v>
      </c>
      <c r="AI5" s="19">
        <f t="shared" ref="AI5:AI10" si="6">SUM($T$19*X5)</f>
        <v>52751023.859043233</v>
      </c>
      <c r="AJ5" s="20"/>
      <c r="AK5" s="21">
        <f>SUM(AC5:AJ5)</f>
        <v>231706829.68513885</v>
      </c>
      <c r="AL5" s="18">
        <f>SUM($X$17*T5)</f>
        <v>1124741.2488289014</v>
      </c>
      <c r="AM5" s="19">
        <f t="shared" ref="AM5:AM10" si="7">SUM($X$18*V5)</f>
        <v>963155.83884295984</v>
      </c>
      <c r="AN5" s="19">
        <f t="shared" ref="AN5:AN10" si="8">SUM($X$19*X5)</f>
        <v>720298.21761281136</v>
      </c>
      <c r="AO5" s="20"/>
      <c r="AP5" s="22"/>
      <c r="AQ5" s="23">
        <f>SUM(AL5:AP5)</f>
        <v>2808195.3052846724</v>
      </c>
      <c r="AR5" s="96">
        <f>SUM(AK5+AQ5)</f>
        <v>234515024.99042353</v>
      </c>
      <c r="AS5" s="77">
        <v>169473373</v>
      </c>
      <c r="AT5" s="79">
        <f>+AR5-AS5</f>
        <v>65041651.99042353</v>
      </c>
    </row>
    <row r="6" spans="1:46" ht="24" x14ac:dyDescent="0.25">
      <c r="A6" s="136"/>
      <c r="B6" s="139"/>
      <c r="C6" s="25">
        <v>891480026</v>
      </c>
      <c r="D6" s="142"/>
      <c r="E6" s="142"/>
      <c r="F6" s="110">
        <v>891480026</v>
      </c>
      <c r="G6" s="25">
        <v>66383</v>
      </c>
      <c r="H6" s="12" t="s">
        <v>25</v>
      </c>
      <c r="I6" s="12" t="s">
        <v>26</v>
      </c>
      <c r="J6" s="26" t="s">
        <v>38</v>
      </c>
      <c r="K6" s="26" t="s">
        <v>51</v>
      </c>
      <c r="L6" s="26">
        <v>800099124</v>
      </c>
      <c r="M6" s="86">
        <v>7660</v>
      </c>
      <c r="N6" s="89">
        <v>0.51060000000000005</v>
      </c>
      <c r="O6" s="66">
        <v>12.14</v>
      </c>
      <c r="P6" s="85">
        <v>92.48</v>
      </c>
      <c r="Q6">
        <f t="shared" ref="Q6:Q10" si="9">+P6/M6</f>
        <v>1.2073107049608355E-2</v>
      </c>
      <c r="R6" s="14">
        <f t="shared" ref="R6:R10" si="10">+P6/M6</f>
        <v>1.2073107049608355E-2</v>
      </c>
      <c r="S6" s="53">
        <f t="shared" si="0"/>
        <v>9.0612283524179049E-2</v>
      </c>
      <c r="T6" s="15">
        <f>+M6/M11</f>
        <v>9.0612283524179049E-2</v>
      </c>
      <c r="U6" s="15">
        <f t="shared" si="1"/>
        <v>0.1600175499075496</v>
      </c>
      <c r="V6" s="92">
        <f>+N6/N11</f>
        <v>0.1600175499075496</v>
      </c>
      <c r="W6" s="56">
        <f t="shared" si="2"/>
        <v>8.2377688810477037E-2</v>
      </c>
      <c r="X6" s="103">
        <f>+O6/O11</f>
        <v>8.2377688810477037E-2</v>
      </c>
      <c r="Y6" s="71" t="str">
        <f t="shared" si="3"/>
        <v/>
      </c>
      <c r="Z6" s="104" t="str">
        <f t="shared" ref="Z6:Z10" si="11">IF(R6&gt;=R$12,R6,"")</f>
        <v/>
      </c>
      <c r="AA6" s="65"/>
      <c r="AB6" s="105" t="str">
        <f t="shared" ref="AB6:AB10" si="12">IFERROR(Z6/Z$11,"")</f>
        <v/>
      </c>
      <c r="AC6" s="99">
        <f t="shared" ref="AC6:AC10" si="13">SUM($R$17*T6)</f>
        <v>6426795.8262278792</v>
      </c>
      <c r="AD6" s="16">
        <f t="shared" ref="AD6:AD10" si="14">SUM($R$18*V6)</f>
        <v>8322934.3753310982</v>
      </c>
      <c r="AE6" s="16">
        <f t="shared" ref="AE6:AE10" si="15">SUM($R$19*X6)</f>
        <v>7400812.0125154387</v>
      </c>
      <c r="AF6" s="17"/>
      <c r="AG6" s="18">
        <f t="shared" si="4"/>
        <v>50740431.489803158</v>
      </c>
      <c r="AH6" s="19">
        <f t="shared" si="5"/>
        <v>65710704.507238708</v>
      </c>
      <c r="AI6" s="19">
        <f t="shared" si="6"/>
        <v>58430422.413210295</v>
      </c>
      <c r="AJ6" s="20"/>
      <c r="AK6" s="20">
        <f t="shared" ref="AK6:AK10" si="16">SUM(AC6:AJ6)</f>
        <v>197032100.62432659</v>
      </c>
      <c r="AL6" s="18">
        <f t="shared" ref="AL6:AL10" si="17">SUM($X$17*T6)</f>
        <v>692844.22726412409</v>
      </c>
      <c r="AM6" s="19">
        <f t="shared" si="7"/>
        <v>897258.47712682956</v>
      </c>
      <c r="AN6" s="19">
        <f t="shared" si="8"/>
        <v>797848.5731587162</v>
      </c>
      <c r="AO6" s="20"/>
      <c r="AP6" s="27"/>
      <c r="AQ6" s="28">
        <f t="shared" ref="AQ6:AQ10" si="18">SUM(AL6:AP6)</f>
        <v>2387951.2775496701</v>
      </c>
      <c r="AR6" s="97">
        <f t="shared" ref="AR6:AR10" si="19">SUM(AK6+AQ6)</f>
        <v>199420051.90187627</v>
      </c>
      <c r="AS6" s="75">
        <v>119950686</v>
      </c>
      <c r="AT6" s="79">
        <f t="shared" ref="AT6:AT10" si="20">+AR6-AS6</f>
        <v>79469365.901876271</v>
      </c>
    </row>
    <row r="7" spans="1:46" ht="34.5" customHeight="1" x14ac:dyDescent="0.25">
      <c r="A7" s="136"/>
      <c r="B7" s="139"/>
      <c r="C7" s="25">
        <v>800099317</v>
      </c>
      <c r="D7" s="142"/>
      <c r="E7" s="142"/>
      <c r="F7" s="110">
        <v>800099317</v>
      </c>
      <c r="G7" s="25">
        <v>66440</v>
      </c>
      <c r="H7" s="12" t="s">
        <v>25</v>
      </c>
      <c r="I7" s="12" t="s">
        <v>26</v>
      </c>
      <c r="J7" s="26" t="s">
        <v>39</v>
      </c>
      <c r="K7" s="26" t="s">
        <v>52</v>
      </c>
      <c r="L7" s="26">
        <v>891408747</v>
      </c>
      <c r="M7" s="86">
        <v>17234</v>
      </c>
      <c r="N7" s="89">
        <v>0.46870000000000001</v>
      </c>
      <c r="O7" s="66">
        <v>17.29</v>
      </c>
      <c r="P7" s="85">
        <v>149.30000000000001</v>
      </c>
      <c r="Q7">
        <f t="shared" si="9"/>
        <v>8.6631078101427426E-3</v>
      </c>
      <c r="R7" s="14">
        <f t="shared" si="10"/>
        <v>8.6631078101427426E-3</v>
      </c>
      <c r="S7" s="53">
        <f t="shared" si="0"/>
        <v>0.20386580864956941</v>
      </c>
      <c r="T7" s="15">
        <f>+M7/M11</f>
        <v>0.20386580864956941</v>
      </c>
      <c r="U7" s="15">
        <f t="shared" si="1"/>
        <v>0.14688645836597825</v>
      </c>
      <c r="V7" s="92">
        <f>+N7/N11</f>
        <v>0.14688645836597825</v>
      </c>
      <c r="W7" s="56">
        <f t="shared" si="2"/>
        <v>0.11732374295989685</v>
      </c>
      <c r="X7" s="103">
        <f>+O7/O11</f>
        <v>0.11732374295989685</v>
      </c>
      <c r="Y7" s="71" t="str">
        <f t="shared" si="3"/>
        <v/>
      </c>
      <c r="Z7" s="104" t="str">
        <f t="shared" si="11"/>
        <v/>
      </c>
      <c r="AA7" s="65"/>
      <c r="AB7" s="105" t="str">
        <f t="shared" si="12"/>
        <v/>
      </c>
      <c r="AC7" s="99">
        <f t="shared" si="13"/>
        <v>14459451.601724707</v>
      </c>
      <c r="AD7" s="16">
        <f t="shared" si="14"/>
        <v>7639951.7072418444</v>
      </c>
      <c r="AE7" s="16">
        <f t="shared" si="15"/>
        <v>10540365.708104771</v>
      </c>
      <c r="AF7" s="17"/>
      <c r="AG7" s="18">
        <f t="shared" si="4"/>
        <v>114159346.7748391</v>
      </c>
      <c r="AH7" s="19">
        <f t="shared" si="5"/>
        <v>60318462.989703842</v>
      </c>
      <c r="AI7" s="19">
        <f t="shared" si="6"/>
        <v>83217627.967413992</v>
      </c>
      <c r="AJ7" s="20"/>
      <c r="AK7" s="20">
        <f t="shared" si="16"/>
        <v>290335206.74902821</v>
      </c>
      <c r="AL7" s="18">
        <f t="shared" si="17"/>
        <v>1558809.0617062552</v>
      </c>
      <c r="AM7" s="19">
        <f t="shared" si="7"/>
        <v>823629.15830267326</v>
      </c>
      <c r="AN7" s="19">
        <f t="shared" si="8"/>
        <v>1136309.8706683856</v>
      </c>
      <c r="AO7" s="20"/>
      <c r="AP7" s="27"/>
      <c r="AQ7" s="28">
        <f t="shared" si="18"/>
        <v>3518748.090677314</v>
      </c>
      <c r="AR7" s="97">
        <f t="shared" si="19"/>
        <v>293853954.83970553</v>
      </c>
      <c r="AS7" s="75">
        <v>205772100</v>
      </c>
      <c r="AT7" s="79">
        <f t="shared" si="20"/>
        <v>88081854.839705527</v>
      </c>
    </row>
    <row r="8" spans="1:46" ht="39.75" customHeight="1" x14ac:dyDescent="0.25">
      <c r="A8" s="136"/>
      <c r="B8" s="139"/>
      <c r="C8" s="25">
        <v>800031075</v>
      </c>
      <c r="D8" s="142"/>
      <c r="E8" s="142"/>
      <c r="F8" s="110">
        <v>800031075</v>
      </c>
      <c r="G8" s="25">
        <v>66456</v>
      </c>
      <c r="H8" s="12" t="s">
        <v>25</v>
      </c>
      <c r="I8" s="12" t="s">
        <v>26</v>
      </c>
      <c r="J8" s="26" t="s">
        <v>40</v>
      </c>
      <c r="K8" s="26" t="s">
        <v>53</v>
      </c>
      <c r="L8" s="26">
        <v>891412126</v>
      </c>
      <c r="M8" s="86">
        <v>17557</v>
      </c>
      <c r="N8" s="89">
        <v>0.58560000000000001</v>
      </c>
      <c r="O8" s="66">
        <v>41.17</v>
      </c>
      <c r="P8" s="85">
        <v>564.74</v>
      </c>
      <c r="Q8">
        <f t="shared" si="9"/>
        <v>3.2166087600387312E-2</v>
      </c>
      <c r="R8" s="14">
        <f t="shared" si="10"/>
        <v>3.2166087600387312E-2</v>
      </c>
      <c r="S8" s="53">
        <f t="shared" si="0"/>
        <v>0.20768666603577174</v>
      </c>
      <c r="T8" s="15">
        <f>+M8/M11</f>
        <v>0.20768666603577174</v>
      </c>
      <c r="U8" s="15">
        <f t="shared" si="1"/>
        <v>0.18352189037575606</v>
      </c>
      <c r="V8" s="92">
        <f>+N8/N11</f>
        <v>0.18352189037575606</v>
      </c>
      <c r="W8" s="56">
        <f t="shared" si="2"/>
        <v>0.27936486394788629</v>
      </c>
      <c r="X8" s="103">
        <f>+O8/O11</f>
        <v>0.27936486394788629</v>
      </c>
      <c r="Y8" s="71">
        <f t="shared" si="3"/>
        <v>3.2166087600387312E-2</v>
      </c>
      <c r="Z8" s="104">
        <f t="shared" si="11"/>
        <v>3.2166087600387312E-2</v>
      </c>
      <c r="AA8" s="65"/>
      <c r="AB8" s="105">
        <f t="shared" si="12"/>
        <v>0.46803552374582347</v>
      </c>
      <c r="AC8" s="99">
        <f t="shared" si="13"/>
        <v>14730450.955754943</v>
      </c>
      <c r="AD8" s="16">
        <f t="shared" si="14"/>
        <v>9545457.0509085208</v>
      </c>
      <c r="AE8" s="16">
        <f t="shared" si="15"/>
        <v>25098140.902410265</v>
      </c>
      <c r="AF8" s="17">
        <f t="shared" ref="AF8:AF9" si="21">SUM($R$20*AB8)</f>
        <v>11065345.791789144</v>
      </c>
      <c r="AG8" s="18">
        <f t="shared" si="4"/>
        <v>116298923.71624987</v>
      </c>
      <c r="AH8" s="19">
        <f t="shared" si="5"/>
        <v>75362688.130511135</v>
      </c>
      <c r="AI8" s="19">
        <f t="shared" si="6"/>
        <v>198153252.94496441</v>
      </c>
      <c r="AJ8" s="20">
        <f t="shared" ref="AJ8:AJ9" si="22">SUM($T$20*AB8)</f>
        <v>87362417.484608382</v>
      </c>
      <c r="AK8" s="20">
        <f t="shared" si="16"/>
        <v>537616676.97719669</v>
      </c>
      <c r="AL8" s="18">
        <f t="shared" si="17"/>
        <v>1588024.2947880193</v>
      </c>
      <c r="AM8" s="19">
        <f t="shared" si="7"/>
        <v>1029053.20055909</v>
      </c>
      <c r="AN8" s="19">
        <f t="shared" si="8"/>
        <v>2705718.7608685624</v>
      </c>
      <c r="AO8" s="20">
        <f t="shared" ref="AO8:AO9" si="23">SUM($X$20*AB8)</f>
        <v>1192905.6347542724</v>
      </c>
      <c r="AP8" s="27"/>
      <c r="AQ8" s="28">
        <f t="shared" si="18"/>
        <v>6515701.8909699433</v>
      </c>
      <c r="AR8" s="97">
        <f t="shared" si="19"/>
        <v>544132378.86816669</v>
      </c>
      <c r="AS8" s="75">
        <v>286503620</v>
      </c>
      <c r="AT8" s="79">
        <f t="shared" si="20"/>
        <v>257628758.86816669</v>
      </c>
    </row>
    <row r="9" spans="1:46" ht="24" x14ac:dyDescent="0.25">
      <c r="A9" s="136"/>
      <c r="B9" s="139"/>
      <c r="C9" s="25">
        <v>891480031</v>
      </c>
      <c r="D9" s="142"/>
      <c r="E9" s="142"/>
      <c r="F9" s="110">
        <v>891480031</v>
      </c>
      <c r="G9" s="25">
        <v>66572</v>
      </c>
      <c r="H9" s="12" t="s">
        <v>25</v>
      </c>
      <c r="I9" s="12" t="s">
        <v>26</v>
      </c>
      <c r="J9" s="26" t="s">
        <v>41</v>
      </c>
      <c r="K9" s="26" t="s">
        <v>54</v>
      </c>
      <c r="L9" s="26">
        <v>891409025</v>
      </c>
      <c r="M9" s="86">
        <v>16789</v>
      </c>
      <c r="N9" s="89">
        <v>0.60740000000000005</v>
      </c>
      <c r="O9" s="66">
        <v>55.47</v>
      </c>
      <c r="P9" s="85">
        <v>613.79999999999995</v>
      </c>
      <c r="Q9">
        <f t="shared" si="9"/>
        <v>3.6559652153195545E-2</v>
      </c>
      <c r="R9" s="14">
        <f t="shared" si="10"/>
        <v>3.6559652153195545E-2</v>
      </c>
      <c r="S9" s="53">
        <f t="shared" si="0"/>
        <v>0.19860177912368696</v>
      </c>
      <c r="T9" s="15">
        <f>+M9/M11</f>
        <v>0.19860177912368696</v>
      </c>
      <c r="U9" s="15">
        <f t="shared" si="1"/>
        <v>0.19035381867184809</v>
      </c>
      <c r="V9" s="92">
        <f>+N9/N11</f>
        <v>0.19035381867184809</v>
      </c>
      <c r="W9" s="56">
        <f t="shared" si="2"/>
        <v>0.37639953857637237</v>
      </c>
      <c r="X9" s="103">
        <f>+O9/O11</f>
        <v>0.37639953857637237</v>
      </c>
      <c r="Y9" s="71">
        <f t="shared" si="3"/>
        <v>3.6559652153195545E-2</v>
      </c>
      <c r="Z9" s="104">
        <f t="shared" si="11"/>
        <v>3.6559652153195545E-2</v>
      </c>
      <c r="AA9" s="65"/>
      <c r="AB9" s="105">
        <f t="shared" si="12"/>
        <v>0.53196447625417653</v>
      </c>
      <c r="AC9" s="99">
        <f t="shared" si="13"/>
        <v>14086093.358556118</v>
      </c>
      <c r="AD9" s="16">
        <f t="shared" si="14"/>
        <v>9900803.6419430263</v>
      </c>
      <c r="AE9" s="16">
        <f t="shared" si="15"/>
        <v>33815736.600842781</v>
      </c>
      <c r="AF9" s="17">
        <f t="shared" si="21"/>
        <v>12576760.908210859</v>
      </c>
      <c r="AG9" s="18">
        <f t="shared" si="4"/>
        <v>111211632.41283357</v>
      </c>
      <c r="AH9" s="19">
        <f t="shared" si="5"/>
        <v>78168198.037009001</v>
      </c>
      <c r="AI9" s="19">
        <f t="shared" si="6"/>
        <v>266979862.5420737</v>
      </c>
      <c r="AJ9" s="20">
        <f t="shared" si="22"/>
        <v>99295246.415391624</v>
      </c>
      <c r="AK9" s="20">
        <f t="shared" si="16"/>
        <v>626034333.91686058</v>
      </c>
      <c r="AL9" s="18">
        <f t="shared" si="17"/>
        <v>1518558.9727855588</v>
      </c>
      <c r="AM9" s="19">
        <f t="shared" si="7"/>
        <v>1067361.5335034004</v>
      </c>
      <c r="AN9" s="19">
        <f t="shared" si="8"/>
        <v>3645523.91706046</v>
      </c>
      <c r="AO9" s="20">
        <f t="shared" si="23"/>
        <v>1355844.5652457278</v>
      </c>
      <c r="AP9" s="27"/>
      <c r="AQ9" s="28">
        <f t="shared" si="18"/>
        <v>7587288.9885951476</v>
      </c>
      <c r="AR9" s="97">
        <f t="shared" si="19"/>
        <v>633621622.90545571</v>
      </c>
      <c r="AS9" s="75">
        <v>332433141</v>
      </c>
      <c r="AT9" s="79">
        <f t="shared" si="20"/>
        <v>301188481.90545571</v>
      </c>
    </row>
    <row r="10" spans="1:46" ht="35.25" customHeight="1" thickBot="1" x14ac:dyDescent="0.3">
      <c r="A10" s="136"/>
      <c r="B10" s="139"/>
      <c r="C10" s="25">
        <v>891480034</v>
      </c>
      <c r="D10" s="142"/>
      <c r="E10" s="142"/>
      <c r="F10" s="110">
        <v>891480034</v>
      </c>
      <c r="G10" s="25">
        <v>66687</v>
      </c>
      <c r="H10" s="12" t="s">
        <v>25</v>
      </c>
      <c r="I10" s="12" t="s">
        <v>26</v>
      </c>
      <c r="J10" s="26" t="s">
        <v>42</v>
      </c>
      <c r="K10" s="26" t="s">
        <v>53</v>
      </c>
      <c r="L10" s="26">
        <v>891401777</v>
      </c>
      <c r="M10" s="86">
        <v>12861</v>
      </c>
      <c r="N10" s="89">
        <v>0.47049999999999997</v>
      </c>
      <c r="O10" s="66">
        <v>10.34</v>
      </c>
      <c r="P10" s="85">
        <v>190.86</v>
      </c>
      <c r="Q10">
        <f t="shared" si="9"/>
        <v>1.4840214602285982E-2</v>
      </c>
      <c r="R10" s="14">
        <f t="shared" si="10"/>
        <v>1.4840214602285982E-2</v>
      </c>
      <c r="S10" s="53">
        <f t="shared" si="0"/>
        <v>0.15213636793791993</v>
      </c>
      <c r="T10" s="15">
        <f>+M10/M11</f>
        <v>0.15213636793791993</v>
      </c>
      <c r="U10" s="15">
        <f t="shared" si="1"/>
        <v>0.1474505625372152</v>
      </c>
      <c r="V10" s="92">
        <f>+N10/N11</f>
        <v>0.1474505625372152</v>
      </c>
      <c r="W10" s="56">
        <f t="shared" si="2"/>
        <v>7.0163533962136121E-2</v>
      </c>
      <c r="X10" s="103">
        <f>+O10/O11</f>
        <v>7.0163533962136121E-2</v>
      </c>
      <c r="Y10" s="71" t="str">
        <f t="shared" si="3"/>
        <v/>
      </c>
      <c r="Z10" s="104" t="str">
        <f t="shared" si="11"/>
        <v/>
      </c>
      <c r="AA10" s="65"/>
      <c r="AB10" s="105" t="str">
        <f t="shared" si="12"/>
        <v/>
      </c>
      <c r="AC10" s="99">
        <f t="shared" si="13"/>
        <v>10790472.731216285</v>
      </c>
      <c r="AD10" s="16">
        <f t="shared" si="14"/>
        <v>7669292.2514557019</v>
      </c>
      <c r="AE10" s="16">
        <f t="shared" si="15"/>
        <v>6303492.2742512049</v>
      </c>
      <c r="AF10" s="17"/>
      <c r="AG10" s="18">
        <f t="shared" si="4"/>
        <v>85192257.10056898</v>
      </c>
      <c r="AH10" s="19">
        <f t="shared" si="5"/>
        <v>60550110.59666238</v>
      </c>
      <c r="AI10" s="19">
        <f t="shared" si="6"/>
        <v>49766933.093294434</v>
      </c>
      <c r="AJ10" s="20"/>
      <c r="AK10" s="20">
        <f t="shared" si="16"/>
        <v>220272558.04744899</v>
      </c>
      <c r="AL10" s="18">
        <f t="shared" si="17"/>
        <v>1163272.794627141</v>
      </c>
      <c r="AM10" s="19">
        <f t="shared" si="7"/>
        <v>826792.23166504747</v>
      </c>
      <c r="AN10" s="19">
        <f t="shared" si="8"/>
        <v>679551.42063106468</v>
      </c>
      <c r="AO10" s="20"/>
      <c r="AP10" s="27"/>
      <c r="AQ10" s="28">
        <f t="shared" si="18"/>
        <v>2669616.4469232531</v>
      </c>
      <c r="AR10" s="97">
        <f t="shared" si="19"/>
        <v>222942174.49437225</v>
      </c>
      <c r="AS10" s="76">
        <v>140420991</v>
      </c>
      <c r="AT10" s="80">
        <f t="shared" si="20"/>
        <v>82521183.494372249</v>
      </c>
    </row>
    <row r="11" spans="1:46" ht="15.75" thickBot="1" x14ac:dyDescent="0.3">
      <c r="A11" s="137"/>
      <c r="B11" s="140"/>
      <c r="C11" s="24"/>
      <c r="D11" s="143"/>
      <c r="E11" s="143"/>
      <c r="F11" s="24"/>
      <c r="G11" s="24"/>
      <c r="H11" s="24"/>
      <c r="I11" s="24"/>
      <c r="J11" s="24"/>
      <c r="K11" s="24"/>
      <c r="L11" s="24"/>
      <c r="M11" s="30">
        <f>SUM(M5:M10)</f>
        <v>84536</v>
      </c>
      <c r="N11" s="90">
        <f>SUM(N5:N10)</f>
        <v>3.1909000000000001</v>
      </c>
      <c r="O11" s="31">
        <f>SUM(O5:O10)</f>
        <v>147.37</v>
      </c>
      <c r="P11" s="67">
        <f>SUM(P5:P10)</f>
        <v>1711.9900000000002</v>
      </c>
      <c r="R11" s="32">
        <f>SUM(R5:R10)</f>
        <v>0.11240912538771483</v>
      </c>
      <c r="S11" s="53">
        <f t="shared" si="0"/>
        <v>1</v>
      </c>
      <c r="T11" s="68">
        <f>SUM(S5:S10)</f>
        <v>1</v>
      </c>
      <c r="U11" s="69">
        <f>SUM(U5:U10)</f>
        <v>1</v>
      </c>
      <c r="V11" s="93">
        <f>SUM(V5:V10)</f>
        <v>1</v>
      </c>
      <c r="W11" s="70">
        <f>SUM(W5:W10)</f>
        <v>0.99999999999999989</v>
      </c>
      <c r="X11" s="33">
        <f>SUM(X5:X10)</f>
        <v>0.99999999999999989</v>
      </c>
      <c r="Y11" s="59">
        <f>SUM(Y8:Y9)</f>
        <v>6.8725739753582857E-2</v>
      </c>
      <c r="Z11" s="88">
        <f>SUM(Z5:Z10)</f>
        <v>6.8725739753582857E-2</v>
      </c>
      <c r="AA11" s="73">
        <f>SUM(AA8:AA9)</f>
        <v>0</v>
      </c>
      <c r="AB11" s="29">
        <f t="shared" ref="AB11:AO11" si="24">SUM(AB5:AB10)</f>
        <v>1</v>
      </c>
      <c r="AC11" s="34">
        <f t="shared" si="24"/>
        <v>70926320.099999994</v>
      </c>
      <c r="AD11" s="34">
        <f t="shared" si="24"/>
        <v>52012634.740000002</v>
      </c>
      <c r="AE11" s="34">
        <f t="shared" si="24"/>
        <v>89840005.460000023</v>
      </c>
      <c r="AF11" s="35">
        <f t="shared" si="24"/>
        <v>23642106.700000003</v>
      </c>
      <c r="AG11" s="35">
        <f t="shared" si="24"/>
        <v>559972991.69999993</v>
      </c>
      <c r="AH11" s="35">
        <f t="shared" si="24"/>
        <v>410646860.58000004</v>
      </c>
      <c r="AI11" s="35">
        <f t="shared" si="24"/>
        <v>709299122.82000005</v>
      </c>
      <c r="AJ11" s="34">
        <f t="shared" si="24"/>
        <v>186657663.90000001</v>
      </c>
      <c r="AK11" s="34">
        <f t="shared" si="24"/>
        <v>2102997706</v>
      </c>
      <c r="AL11" s="34">
        <f t="shared" si="24"/>
        <v>7646250.5999999996</v>
      </c>
      <c r="AM11" s="34">
        <f t="shared" si="24"/>
        <v>5607250.4400000004</v>
      </c>
      <c r="AN11" s="35">
        <f t="shared" si="24"/>
        <v>9685250.7599999998</v>
      </c>
      <c r="AO11" s="34">
        <f t="shared" si="24"/>
        <v>2548750.2000000002</v>
      </c>
      <c r="AP11" s="35"/>
      <c r="AQ11" s="34">
        <f>SUM(AQ5:AQ10)</f>
        <v>25487502</v>
      </c>
      <c r="AR11" s="98">
        <f>SUM(AR5:AR10)</f>
        <v>2128485208</v>
      </c>
      <c r="AS11" s="81">
        <f>SUM(AS5:AS10)</f>
        <v>1254553911</v>
      </c>
      <c r="AT11" s="82">
        <f>SUM(AT5:AT10)</f>
        <v>873931297</v>
      </c>
    </row>
    <row r="12" spans="1:46" ht="48.75" thickBot="1" x14ac:dyDescent="0.3">
      <c r="D12" s="144" t="s">
        <v>62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P12" s="106" t="s">
        <v>59</v>
      </c>
      <c r="R12" s="87">
        <f>AVERAGE(R5:R10)</f>
        <v>1.8734854231285805E-2</v>
      </c>
      <c r="Z12" s="107">
        <f>+Z11</f>
        <v>6.8725739753582857E-2</v>
      </c>
      <c r="AA12" s="64"/>
      <c r="AB12" s="36" t="s">
        <v>27</v>
      </c>
      <c r="AC12" s="113">
        <f>SUM(AC11:AF11)</f>
        <v>236421067</v>
      </c>
      <c r="AD12" s="114"/>
      <c r="AE12" s="114"/>
      <c r="AF12" s="115"/>
      <c r="AG12" s="113">
        <f>SUM(AG11:AJ11)</f>
        <v>1866576639</v>
      </c>
      <c r="AH12" s="114"/>
      <c r="AI12" s="114"/>
      <c r="AJ12" s="115"/>
      <c r="AK12" s="108"/>
      <c r="AL12" s="113">
        <f>+AL11+AM11+AN11+AO11</f>
        <v>25487501.999999996</v>
      </c>
      <c r="AM12" s="114"/>
      <c r="AN12" s="114"/>
      <c r="AO12" s="115"/>
    </row>
    <row r="13" spans="1:46" ht="15.75" customHeight="1" x14ac:dyDescent="0.25">
      <c r="R13" s="121" t="s">
        <v>36</v>
      </c>
      <c r="S13" s="122"/>
      <c r="T13" s="122"/>
      <c r="U13" s="122"/>
      <c r="V13" s="122"/>
      <c r="W13" s="122"/>
      <c r="X13" s="123"/>
      <c r="Y13" s="51"/>
    </row>
    <row r="14" spans="1:46" ht="13.5" customHeight="1" thickBot="1" x14ac:dyDescent="0.3">
      <c r="R14" s="124"/>
      <c r="S14" s="125"/>
      <c r="T14" s="125"/>
      <c r="U14" s="125"/>
      <c r="V14" s="125"/>
      <c r="W14" s="125"/>
      <c r="X14" s="126"/>
      <c r="Y14" s="51"/>
    </row>
    <row r="15" spans="1:46" ht="49.5" customHeight="1" thickBot="1" x14ac:dyDescent="0.3">
      <c r="P15" s="37"/>
      <c r="Q15" s="37"/>
      <c r="R15" s="38" t="s">
        <v>28</v>
      </c>
      <c r="S15" s="38"/>
      <c r="T15" s="38" t="s">
        <v>43</v>
      </c>
      <c r="U15" s="38"/>
      <c r="V15" s="39" t="s">
        <v>29</v>
      </c>
      <c r="W15" s="57"/>
      <c r="X15" s="40" t="s">
        <v>30</v>
      </c>
      <c r="Y15" s="60"/>
      <c r="AH15" s="72"/>
      <c r="AJ15" s="72"/>
    </row>
    <row r="16" spans="1:46" ht="15.75" thickBot="1" x14ac:dyDescent="0.3">
      <c r="P16" s="37"/>
      <c r="Q16" s="37"/>
      <c r="R16" s="41">
        <v>236421067</v>
      </c>
      <c r="S16" s="54"/>
      <c r="T16" s="42">
        <v>1866576639</v>
      </c>
      <c r="U16" s="42"/>
      <c r="V16" s="43">
        <f>SUM(R16:T16)</f>
        <v>2102997706</v>
      </c>
      <c r="W16" s="58"/>
      <c r="X16" s="44">
        <v>25487502</v>
      </c>
      <c r="Y16" s="61"/>
      <c r="Z16" s="127">
        <f>SUM(V16:X16)</f>
        <v>2128485208</v>
      </c>
      <c r="AA16" s="128"/>
      <c r="AB16" s="129"/>
    </row>
    <row r="17" spans="16:36" ht="45" x14ac:dyDescent="0.25">
      <c r="P17" s="45" t="s">
        <v>31</v>
      </c>
      <c r="Q17" s="52"/>
      <c r="R17" s="46">
        <f>+R16*0.3</f>
        <v>70926320.099999994</v>
      </c>
      <c r="S17" s="46"/>
      <c r="T17" s="46">
        <f>+T16*0.3</f>
        <v>559972991.69999993</v>
      </c>
      <c r="U17" s="46"/>
      <c r="V17" s="47">
        <f t="shared" ref="V17:V21" si="25">SUM(R17:T17)</f>
        <v>630899311.79999995</v>
      </c>
      <c r="W17" s="47"/>
      <c r="X17" s="48">
        <f>X16*0.3</f>
        <v>7646250.5999999996</v>
      </c>
      <c r="Y17" s="62"/>
      <c r="AF17" s="72"/>
      <c r="AH17" s="72"/>
      <c r="AJ17" s="72"/>
    </row>
    <row r="18" spans="16:36" ht="56.25" x14ac:dyDescent="0.25">
      <c r="P18" s="45" t="s">
        <v>32</v>
      </c>
      <c r="Q18" s="45"/>
      <c r="R18" s="48">
        <f>R16*0.22</f>
        <v>52012634.740000002</v>
      </c>
      <c r="S18" s="48"/>
      <c r="T18" s="48">
        <f>T16*0.22</f>
        <v>410646860.57999998</v>
      </c>
      <c r="U18" s="46"/>
      <c r="V18" s="47">
        <f t="shared" si="25"/>
        <v>462659495.31999999</v>
      </c>
      <c r="W18" s="47"/>
      <c r="X18" s="48">
        <f>X16*0.22</f>
        <v>5607250.4400000004</v>
      </c>
      <c r="Y18" s="62"/>
      <c r="AF18" s="72"/>
      <c r="AH18" s="72"/>
    </row>
    <row r="19" spans="16:36" ht="45" x14ac:dyDescent="0.25">
      <c r="P19" s="45" t="s">
        <v>33</v>
      </c>
      <c r="Q19" s="45"/>
      <c r="R19" s="48">
        <f>R16*0.38</f>
        <v>89840005.460000008</v>
      </c>
      <c r="S19" s="48"/>
      <c r="T19" s="48">
        <f>T16*0.38</f>
        <v>709299122.82000005</v>
      </c>
      <c r="U19" s="46"/>
      <c r="V19" s="47">
        <f t="shared" si="25"/>
        <v>799139128.28000009</v>
      </c>
      <c r="W19" s="47"/>
      <c r="X19" s="48">
        <f>X16*0.38</f>
        <v>9685250.7599999998</v>
      </c>
      <c r="Y19" s="62"/>
      <c r="AF19" s="72"/>
    </row>
    <row r="20" spans="16:36" ht="78.75" x14ac:dyDescent="0.25">
      <c r="P20" s="45" t="s">
        <v>34</v>
      </c>
      <c r="Q20" s="45"/>
      <c r="R20" s="48">
        <f>R16*0.1</f>
        <v>23642106.700000003</v>
      </c>
      <c r="S20" s="48"/>
      <c r="T20" s="48">
        <f>T16*0.1</f>
        <v>186657663.90000001</v>
      </c>
      <c r="U20" s="46"/>
      <c r="V20" s="47">
        <f t="shared" si="25"/>
        <v>210299770.60000002</v>
      </c>
      <c r="W20" s="47"/>
      <c r="X20" s="48">
        <f>X16*0.1</f>
        <v>2548750.2000000002</v>
      </c>
      <c r="Y20" s="62"/>
      <c r="AF20" s="72"/>
    </row>
    <row r="21" spans="16:36" x14ac:dyDescent="0.25">
      <c r="P21" s="49">
        <f>30+22+38+10</f>
        <v>100</v>
      </c>
      <c r="Q21" s="49"/>
      <c r="R21" s="50">
        <f>SUM(R17:R20)</f>
        <v>236421067</v>
      </c>
      <c r="S21" s="50"/>
      <c r="T21" s="50">
        <f>SUM(T17:T20)</f>
        <v>1866576639</v>
      </c>
      <c r="U21" s="55"/>
      <c r="V21" s="47">
        <f t="shared" si="25"/>
        <v>2102997706</v>
      </c>
      <c r="W21" s="47"/>
      <c r="X21" s="50">
        <f>SUM(X17:X20)</f>
        <v>25487501.999999996</v>
      </c>
      <c r="Y21" s="63"/>
    </row>
  </sheetData>
  <mergeCells count="17">
    <mergeCell ref="R13:X14"/>
    <mergeCell ref="Z16:AB16"/>
    <mergeCell ref="A2:P2"/>
    <mergeCell ref="T3:AB3"/>
    <mergeCell ref="AC3:AF3"/>
    <mergeCell ref="A5:A11"/>
    <mergeCell ref="B5:B11"/>
    <mergeCell ref="D5:D11"/>
    <mergeCell ref="E5:E11"/>
    <mergeCell ref="D12:N12"/>
    <mergeCell ref="AQ3:AR3"/>
    <mergeCell ref="AL12:AO12"/>
    <mergeCell ref="AK3:AK4"/>
    <mergeCell ref="AL3:AO3"/>
    <mergeCell ref="AC12:AF12"/>
    <mergeCell ref="AG12:AJ12"/>
    <mergeCell ref="AG3:AJ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RISARALDA</vt:lpstr>
    </vt:vector>
  </TitlesOfParts>
  <Company>GOBERNACION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MARIO ARISTIZABAL ZULUAGA</dc:creator>
  <cp:lastModifiedBy>Martha Cecilia Correa Bedoya </cp:lastModifiedBy>
  <dcterms:created xsi:type="dcterms:W3CDTF">2024-04-15T22:05:44Z</dcterms:created>
  <dcterms:modified xsi:type="dcterms:W3CDTF">2024-08-16T18:52:16Z</dcterms:modified>
</cp:coreProperties>
</file>