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drawings/drawing6.xml" ContentType="application/vnd.openxmlformats-officedocument.drawing+xml"/>
  <Override PartName="/xl/ctrlProps/ctrlProp6.xml" ContentType="application/vnd.ms-excel.controlproperties+xml"/>
  <Override PartName="/xl/drawings/drawing7.xml" ContentType="application/vnd.openxmlformats-officedocument.drawing+xml"/>
  <Override PartName="/xl/ctrlProps/ctrlProp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codeName="{5022B3EB-BCE5-7840-4BB8-8062D341818C}"/>
  <workbookPr codeName="EsteLibro"/>
  <mc:AlternateContent xmlns:mc="http://schemas.openxmlformats.org/markup-compatibility/2006">
    <mc:Choice Requires="x15">
      <x15ac:absPath xmlns:x15ac="http://schemas.microsoft.com/office/spreadsheetml/2010/11/ac" url="https://invias-my.sharepoint.com/personal/mnunez_invias_gov_co/Documents/Escritorio/PROCESOS SECOP 2024/PROCESO SA-MC-DT-SUC-001-2024 MONTO AGOTABLE/"/>
    </mc:Choice>
  </mc:AlternateContent>
  <xr:revisionPtr revIDLastSave="11" documentId="13_ncr:1_{F16BBF8B-CA19-4433-8FB4-A9A70991C391}" xr6:coauthVersionLast="47" xr6:coauthVersionMax="47" xr10:uidLastSave="{383E35F0-56CD-45C4-A332-F6E3CE21AC96}"/>
  <bookViews>
    <workbookView xWindow="-120" yWindow="-120" windowWidth="29040" windowHeight="15720" firstSheet="2" activeTab="9" xr2:uid="{00000000-000D-0000-FFFF-FFFF00000000}"/>
  </bookViews>
  <sheets>
    <sheet name="Verificaciones" sheetId="1" state="hidden" r:id="rId1"/>
    <sheet name="POA" sheetId="6" r:id="rId2"/>
    <sheet name="Puntajes" sheetId="14" r:id="rId3"/>
    <sheet name="Capacidad Financiera" sheetId="4" r:id="rId4"/>
    <sheet name="Puntaje Exp" sheetId="17" r:id="rId5"/>
    <sheet name="Puntaje CT" sheetId="16" r:id="rId6"/>
    <sheet name="Puntaje CF" sheetId="18" r:id="rId7"/>
    <sheet name="Saldo CtosEjecución" sheetId="19" r:id="rId8"/>
    <sheet name="Cap Organización" sheetId="20" r:id="rId9"/>
    <sheet name="Capacidad Residual" sheetId="5" r:id="rId10"/>
    <sheet name="PO" sheetId="7" state="hidden" r:id="rId11"/>
  </sheets>
  <definedNames>
    <definedName name="AnticipoM1">POA!$D$2</definedName>
    <definedName name="AnticipoM2">POA!$D$3</definedName>
    <definedName name="AnticipoM3">POA!$D$4</definedName>
    <definedName name="AnticipoM4">POA!$D$5</definedName>
    <definedName name="_xlnm.Print_Area" localSheetId="3">'Capacidad Financiera'!$B$1:$AK$56</definedName>
    <definedName name="CapFinanciera1">Puntajes!$C$12</definedName>
    <definedName name="CapFinanciera2">Puntajes!$C$13</definedName>
    <definedName name="CapFinanciera3">Puntajes!$C$14</definedName>
    <definedName name="CapFinanciera4">Puntajes!$C$15</definedName>
    <definedName name="CapTecnica1">Puntajes!$G$4</definedName>
    <definedName name="CapTecnica2">Puntajes!$G$5</definedName>
    <definedName name="Experiencia1">Puntajes!$C$4</definedName>
    <definedName name="Experiencia2">Puntajes!$C$5</definedName>
    <definedName name="Experiencia3">Puntajes!$C$6</definedName>
    <definedName name="frmMainForm_tblFormContainer_trContentRow_tdLeftColumn_divViewProfilePerspective_tblProfileDetails_trIsGroupContentRow_tdTitleCell_rptIsGroupRepeater_rpteIsGroupConditionalElements_lnkIsGroupConditionalSpan_1" localSheetId="3">'Capacidad Financiera'!$C$47</definedName>
    <definedName name="PlazoM1">POA!$C$2</definedName>
    <definedName name="PlazoM2">POA!$C$3</definedName>
    <definedName name="PlazoM3">POA!$C$4</definedName>
    <definedName name="PlazoM4">POA!$C$5</definedName>
    <definedName name="prueba">#REF!</definedName>
    <definedName name="SALACTUAL">POA!$F$2</definedName>
    <definedName name="Z_7043DB3C_32B3_43B5_9ACE_4B1C78863594_.wvu.PrintArea" localSheetId="3" hidden="1">'Capacidad Financiera'!$B$1:$AD$11</definedName>
  </definedNames>
  <calcPr calcId="191029"/>
  <customWorkbookViews>
    <customWorkbookView name="Diana Carolina Bernal Bustos - Vista personalizada" guid="{7043DB3C-32B3-43B5-9ACE-4B1C78863594}" mergeInterval="0" personalView="1" maximized="1" windowWidth="1276" windowHeight="7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4" l="1"/>
  <c r="I35" i="4"/>
  <c r="J35" i="4"/>
  <c r="K35" i="4"/>
  <c r="I46" i="4"/>
  <c r="J46" i="4"/>
  <c r="K46" i="4"/>
  <c r="K47" i="4"/>
  <c r="J47" i="4"/>
  <c r="I47" i="4"/>
  <c r="I13" i="4"/>
  <c r="I14" i="4"/>
  <c r="I15" i="4"/>
  <c r="I16" i="4"/>
  <c r="I17" i="4"/>
  <c r="I18" i="4"/>
  <c r="I19" i="4"/>
  <c r="I20" i="4"/>
  <c r="I21" i="4"/>
  <c r="I22" i="4"/>
  <c r="I25" i="4"/>
  <c r="I26" i="4"/>
  <c r="I27" i="4"/>
  <c r="I28" i="4"/>
  <c r="I29" i="4"/>
  <c r="I30" i="4"/>
  <c r="I31" i="4"/>
  <c r="I32" i="4"/>
  <c r="I33" i="4"/>
  <c r="I36" i="4"/>
  <c r="I37" i="4"/>
  <c r="I38" i="4"/>
  <c r="I39" i="4"/>
  <c r="I40" i="4"/>
  <c r="I41" i="4"/>
  <c r="I42" i="4"/>
  <c r="I43" i="4"/>
  <c r="I44" i="4"/>
  <c r="E34" i="4"/>
  <c r="I23" i="4" l="1"/>
  <c r="I34" i="4"/>
  <c r="I45" i="4"/>
  <c r="D2" i="6"/>
  <c r="M53" i="5"/>
  <c r="N53" i="5" s="1"/>
  <c r="F53" i="5"/>
  <c r="G53" i="5" s="1"/>
  <c r="M52" i="5"/>
  <c r="N52" i="5" s="1"/>
  <c r="I52" i="5"/>
  <c r="J52" i="5" s="1"/>
  <c r="H52" i="5"/>
  <c r="F52" i="5"/>
  <c r="G52" i="5" s="1"/>
  <c r="M51" i="5"/>
  <c r="N51" i="5" s="1"/>
  <c r="F51" i="5"/>
  <c r="G51" i="5" s="1"/>
  <c r="M50" i="5"/>
  <c r="N50" i="5" s="1"/>
  <c r="I50" i="5"/>
  <c r="J50" i="5" s="1"/>
  <c r="H50" i="5"/>
  <c r="F50" i="5"/>
  <c r="G50" i="5" s="1"/>
  <c r="M49" i="5"/>
  <c r="N49" i="5" s="1"/>
  <c r="F49" i="5"/>
  <c r="G49" i="5" s="1"/>
  <c r="M48" i="5"/>
  <c r="N48" i="5" s="1"/>
  <c r="I48" i="5"/>
  <c r="J48" i="5" s="1"/>
  <c r="H48" i="5"/>
  <c r="F48" i="5"/>
  <c r="G48" i="5" s="1"/>
  <c r="M47" i="5"/>
  <c r="N47" i="5" s="1"/>
  <c r="F47" i="5"/>
  <c r="G47" i="5" s="1"/>
  <c r="M46" i="5"/>
  <c r="N46" i="5" s="1"/>
  <c r="I46" i="5"/>
  <c r="J46" i="5" s="1"/>
  <c r="H46" i="5"/>
  <c r="F46" i="5"/>
  <c r="G46" i="5" s="1"/>
  <c r="M45" i="5"/>
  <c r="N45" i="5" s="1"/>
  <c r="F45" i="5"/>
  <c r="G45" i="5" s="1"/>
  <c r="M44" i="5"/>
  <c r="N44" i="5" s="1"/>
  <c r="I44" i="5"/>
  <c r="J44" i="5" s="1"/>
  <c r="H44" i="5"/>
  <c r="F44" i="5"/>
  <c r="G44" i="5" s="1"/>
  <c r="O43" i="5"/>
  <c r="P43" i="5" s="1"/>
  <c r="F43" i="5"/>
  <c r="M42" i="5"/>
  <c r="N42" i="5" s="1"/>
  <c r="H42" i="5"/>
  <c r="F42" i="5"/>
  <c r="G42" i="5" s="1"/>
  <c r="M41" i="5"/>
  <c r="N41" i="5" s="1"/>
  <c r="I41" i="5"/>
  <c r="J41" i="5" s="1"/>
  <c r="F41" i="5"/>
  <c r="G41" i="5" s="1"/>
  <c r="M40" i="5"/>
  <c r="N40" i="5" s="1"/>
  <c r="F40" i="5"/>
  <c r="H40" i="5" s="1"/>
  <c r="M39" i="5"/>
  <c r="N39" i="5" s="1"/>
  <c r="I39" i="5"/>
  <c r="J39" i="5" s="1"/>
  <c r="F39" i="5"/>
  <c r="G39" i="5" s="1"/>
  <c r="M38" i="5"/>
  <c r="N38" i="5" s="1"/>
  <c r="F38" i="5"/>
  <c r="H38" i="5" s="1"/>
  <c r="M37" i="5"/>
  <c r="N37" i="5" s="1"/>
  <c r="I37" i="5"/>
  <c r="J37" i="5" s="1"/>
  <c r="F37" i="5"/>
  <c r="G37" i="5" s="1"/>
  <c r="M36" i="5"/>
  <c r="N36" i="5" s="1"/>
  <c r="F36" i="5"/>
  <c r="H36" i="5" s="1"/>
  <c r="M35" i="5"/>
  <c r="N35" i="5" s="1"/>
  <c r="I35" i="5"/>
  <c r="J35" i="5" s="1"/>
  <c r="F35" i="5"/>
  <c r="G35" i="5" s="1"/>
  <c r="M34" i="5"/>
  <c r="N34" i="5" s="1"/>
  <c r="F34" i="5"/>
  <c r="H34" i="5" s="1"/>
  <c r="M33" i="5"/>
  <c r="N33" i="5" s="1"/>
  <c r="I33" i="5"/>
  <c r="J33" i="5" s="1"/>
  <c r="F33" i="5"/>
  <c r="G33" i="5" s="1"/>
  <c r="O32" i="5"/>
  <c r="P32" i="5" s="1"/>
  <c r="I32" i="5"/>
  <c r="F32" i="5"/>
  <c r="G32" i="5" s="1"/>
  <c r="M31" i="5"/>
  <c r="N31" i="5" s="1"/>
  <c r="F31" i="5"/>
  <c r="M30" i="5"/>
  <c r="N30" i="5" s="1"/>
  <c r="I30" i="5"/>
  <c r="J30" i="5" s="1"/>
  <c r="F30" i="5"/>
  <c r="H30" i="5" s="1"/>
  <c r="M29" i="5"/>
  <c r="N29" i="5" s="1"/>
  <c r="I29" i="5"/>
  <c r="J29" i="5" s="1"/>
  <c r="G29" i="5"/>
  <c r="F29" i="5"/>
  <c r="H29" i="5" s="1"/>
  <c r="M28" i="5"/>
  <c r="N28" i="5" s="1"/>
  <c r="G28" i="5"/>
  <c r="F28" i="5"/>
  <c r="M27" i="5"/>
  <c r="N27" i="5" s="1"/>
  <c r="F27" i="5"/>
  <c r="M26" i="5"/>
  <c r="N26" i="5" s="1"/>
  <c r="I26" i="5"/>
  <c r="J26" i="5" s="1"/>
  <c r="F26" i="5"/>
  <c r="M25" i="5"/>
  <c r="N25" i="5" s="1"/>
  <c r="I25" i="5"/>
  <c r="J25" i="5" s="1"/>
  <c r="G25" i="5"/>
  <c r="F25" i="5"/>
  <c r="H25" i="5" s="1"/>
  <c r="M24" i="5"/>
  <c r="N24" i="5" s="1"/>
  <c r="I24" i="5"/>
  <c r="J24" i="5" s="1"/>
  <c r="G24" i="5"/>
  <c r="F24" i="5"/>
  <c r="H24" i="5" s="1"/>
  <c r="M23" i="5"/>
  <c r="N23" i="5" s="1"/>
  <c r="F23" i="5"/>
  <c r="M22" i="5"/>
  <c r="N22" i="5" s="1"/>
  <c r="I22" i="5"/>
  <c r="J22" i="5" s="1"/>
  <c r="G22" i="5"/>
  <c r="F22" i="5"/>
  <c r="H22" i="5" s="1"/>
  <c r="O21" i="5"/>
  <c r="P21" i="5" s="1"/>
  <c r="F21" i="5"/>
  <c r="G21" i="5" s="1"/>
  <c r="D45" i="4"/>
  <c r="H23" i="5" l="1"/>
  <c r="I23" i="5"/>
  <c r="J23" i="5" s="1"/>
  <c r="G23" i="5"/>
  <c r="H31" i="5"/>
  <c r="I31" i="5"/>
  <c r="J31" i="5" s="1"/>
  <c r="G34" i="5"/>
  <c r="I34" i="5"/>
  <c r="J34" i="5" s="1"/>
  <c r="G40" i="5"/>
  <c r="I40" i="5"/>
  <c r="J40" i="5" s="1"/>
  <c r="H26" i="5"/>
  <c r="G26" i="5"/>
  <c r="H28" i="5"/>
  <c r="I28" i="5"/>
  <c r="J28" i="5" s="1"/>
  <c r="G36" i="5"/>
  <c r="I36" i="5"/>
  <c r="J36" i="5" s="1"/>
  <c r="G38" i="5"/>
  <c r="I38" i="5"/>
  <c r="J38" i="5" s="1"/>
  <c r="H27" i="5"/>
  <c r="I27" i="5"/>
  <c r="J27" i="5" s="1"/>
  <c r="G27" i="5"/>
  <c r="G43" i="5"/>
  <c r="I43" i="5"/>
  <c r="N32" i="5"/>
  <c r="I42" i="5"/>
  <c r="J42" i="5" s="1"/>
  <c r="G30" i="5"/>
  <c r="H33" i="5"/>
  <c r="H35" i="5"/>
  <c r="H37" i="5"/>
  <c r="H39" i="5"/>
  <c r="H41" i="5"/>
  <c r="H45" i="5"/>
  <c r="H47" i="5"/>
  <c r="H49" i="5"/>
  <c r="H51" i="5"/>
  <c r="H53" i="5"/>
  <c r="I45" i="5"/>
  <c r="J45" i="5" s="1"/>
  <c r="I47" i="5"/>
  <c r="J47" i="5" s="1"/>
  <c r="I49" i="5"/>
  <c r="J49" i="5" s="1"/>
  <c r="I51" i="5"/>
  <c r="J51" i="5" s="1"/>
  <c r="I53" i="5"/>
  <c r="J53" i="5" s="1"/>
  <c r="N43" i="5"/>
  <c r="N21" i="5"/>
  <c r="G31" i="5"/>
  <c r="I21" i="5"/>
  <c r="R55" i="4"/>
  <c r="Q55" i="4"/>
  <c r="O55" i="4"/>
  <c r="M55" i="4"/>
  <c r="L55" i="4"/>
  <c r="H55" i="4"/>
  <c r="G55" i="4"/>
  <c r="F55" i="4"/>
  <c r="AE55" i="4" s="1"/>
  <c r="AF55" i="4" s="1"/>
  <c r="E55" i="4"/>
  <c r="B55" i="4"/>
  <c r="R54" i="4"/>
  <c r="Q54" i="4"/>
  <c r="O54" i="4"/>
  <c r="M54" i="4"/>
  <c r="L54" i="4"/>
  <c r="H54" i="4"/>
  <c r="G54" i="4"/>
  <c r="F54" i="4"/>
  <c r="AE54" i="4" s="1"/>
  <c r="AF54" i="4" s="1"/>
  <c r="E54" i="4"/>
  <c r="B54" i="4"/>
  <c r="R53" i="4"/>
  <c r="Q53" i="4"/>
  <c r="O53" i="4"/>
  <c r="M53" i="4"/>
  <c r="L53" i="4"/>
  <c r="H53" i="4"/>
  <c r="G53" i="4"/>
  <c r="F53" i="4"/>
  <c r="AE53" i="4" s="1"/>
  <c r="AF53" i="4" s="1"/>
  <c r="E53" i="4"/>
  <c r="B53" i="4"/>
  <c r="R52" i="4"/>
  <c r="Q52" i="4"/>
  <c r="O52" i="4"/>
  <c r="M52" i="4"/>
  <c r="L52" i="4"/>
  <c r="H52" i="4"/>
  <c r="G52" i="4"/>
  <c r="F52" i="4"/>
  <c r="AE52" i="4" s="1"/>
  <c r="AF52" i="4" s="1"/>
  <c r="E52" i="4"/>
  <c r="B52" i="4"/>
  <c r="R51" i="4"/>
  <c r="Q51" i="4"/>
  <c r="O51" i="4"/>
  <c r="M51" i="4"/>
  <c r="L51" i="4"/>
  <c r="H51" i="4"/>
  <c r="G51" i="4"/>
  <c r="F51" i="4"/>
  <c r="AE51" i="4" s="1"/>
  <c r="AF51" i="4" s="1"/>
  <c r="E51" i="4"/>
  <c r="B51" i="4"/>
  <c r="R50" i="4"/>
  <c r="Q50" i="4"/>
  <c r="O50" i="4"/>
  <c r="M50" i="4"/>
  <c r="L50" i="4"/>
  <c r="H50" i="4"/>
  <c r="G50" i="4"/>
  <c r="F50" i="4"/>
  <c r="AE50" i="4" s="1"/>
  <c r="AF50" i="4" s="1"/>
  <c r="E50" i="4"/>
  <c r="B50" i="4"/>
  <c r="R49" i="4"/>
  <c r="Q49" i="4"/>
  <c r="O49" i="4"/>
  <c r="M49" i="4"/>
  <c r="L49" i="4"/>
  <c r="H49" i="4"/>
  <c r="G49" i="4"/>
  <c r="F49" i="4"/>
  <c r="AE49" i="4" s="1"/>
  <c r="AF49" i="4" s="1"/>
  <c r="E49" i="4"/>
  <c r="B49" i="4"/>
  <c r="R48" i="4"/>
  <c r="Q48" i="4"/>
  <c r="O48" i="4"/>
  <c r="M48" i="4"/>
  <c r="L48" i="4"/>
  <c r="H48" i="4"/>
  <c r="G48" i="4"/>
  <c r="F48" i="4"/>
  <c r="AE48" i="4" s="1"/>
  <c r="AF48" i="4" s="1"/>
  <c r="E48" i="4"/>
  <c r="B48" i="4"/>
  <c r="R47" i="4"/>
  <c r="Q47" i="4"/>
  <c r="O47" i="4"/>
  <c r="AE47" i="4"/>
  <c r="AF47" i="4" s="1"/>
  <c r="R46" i="4"/>
  <c r="Q46" i="4"/>
  <c r="O46" i="4"/>
  <c r="AE46" i="4"/>
  <c r="AF46" i="4" s="1"/>
  <c r="B46" i="4"/>
  <c r="AA45" i="4"/>
  <c r="R45" i="4"/>
  <c r="O45" i="4"/>
  <c r="R44" i="4"/>
  <c r="Q44" i="4"/>
  <c r="O44" i="4"/>
  <c r="M44" i="4"/>
  <c r="L44" i="4"/>
  <c r="H44" i="4"/>
  <c r="G44" i="4"/>
  <c r="F44" i="4"/>
  <c r="AE44" i="4" s="1"/>
  <c r="AF44" i="4" s="1"/>
  <c r="E44" i="4"/>
  <c r="B44" i="4"/>
  <c r="R43" i="4"/>
  <c r="Q43" i="4"/>
  <c r="O43" i="4"/>
  <c r="M43" i="4"/>
  <c r="L43" i="4"/>
  <c r="H43" i="4"/>
  <c r="G43" i="4"/>
  <c r="F43" i="4"/>
  <c r="AE43" i="4" s="1"/>
  <c r="AF43" i="4" s="1"/>
  <c r="E43" i="4"/>
  <c r="B43" i="4"/>
  <c r="R42" i="4"/>
  <c r="Q42" i="4"/>
  <c r="O42" i="4"/>
  <c r="M42" i="4"/>
  <c r="L42" i="4"/>
  <c r="H42" i="4"/>
  <c r="G42" i="4"/>
  <c r="F42" i="4"/>
  <c r="AE42" i="4" s="1"/>
  <c r="AF42" i="4" s="1"/>
  <c r="E42" i="4"/>
  <c r="B42" i="4"/>
  <c r="R41" i="4"/>
  <c r="Q41" i="4"/>
  <c r="O41" i="4"/>
  <c r="M41" i="4"/>
  <c r="L41" i="4"/>
  <c r="H41" i="4"/>
  <c r="G41" i="4"/>
  <c r="F41" i="4"/>
  <c r="AE41" i="4" s="1"/>
  <c r="AF41" i="4" s="1"/>
  <c r="E41" i="4"/>
  <c r="B41" i="4"/>
  <c r="R40" i="4"/>
  <c r="Q40" i="4"/>
  <c r="O40" i="4"/>
  <c r="M40" i="4"/>
  <c r="L40" i="4"/>
  <c r="H40" i="4"/>
  <c r="G40" i="4"/>
  <c r="F40" i="4"/>
  <c r="AE40" i="4" s="1"/>
  <c r="AF40" i="4" s="1"/>
  <c r="E40" i="4"/>
  <c r="B40" i="4"/>
  <c r="R39" i="4"/>
  <c r="Q39" i="4"/>
  <c r="O39" i="4"/>
  <c r="M39" i="4"/>
  <c r="L39" i="4"/>
  <c r="H39" i="4"/>
  <c r="G39" i="4"/>
  <c r="F39" i="4"/>
  <c r="AE39" i="4" s="1"/>
  <c r="AF39" i="4" s="1"/>
  <c r="E39" i="4"/>
  <c r="B39" i="4"/>
  <c r="R38" i="4"/>
  <c r="Q38" i="4"/>
  <c r="O38" i="4"/>
  <c r="M38" i="4"/>
  <c r="L38" i="4"/>
  <c r="H38" i="4"/>
  <c r="G38" i="4"/>
  <c r="F38" i="4"/>
  <c r="AE38" i="4" s="1"/>
  <c r="AF38" i="4" s="1"/>
  <c r="E38" i="4"/>
  <c r="B38" i="4"/>
  <c r="R37" i="4"/>
  <c r="Q37" i="4"/>
  <c r="O37" i="4"/>
  <c r="M37" i="4"/>
  <c r="L37" i="4"/>
  <c r="H37" i="4"/>
  <c r="G37" i="4"/>
  <c r="F37" i="4"/>
  <c r="AE37" i="4" s="1"/>
  <c r="AF37" i="4" s="1"/>
  <c r="E37" i="4"/>
  <c r="B37" i="4"/>
  <c r="R36" i="4"/>
  <c r="Q36" i="4"/>
  <c r="O36" i="4"/>
  <c r="M36" i="4"/>
  <c r="L36" i="4"/>
  <c r="H36" i="4"/>
  <c r="G36" i="4"/>
  <c r="F36" i="4"/>
  <c r="AE36" i="4" s="1"/>
  <c r="AF36" i="4" s="1"/>
  <c r="E36" i="4"/>
  <c r="B36" i="4"/>
  <c r="R35" i="4"/>
  <c r="Q35" i="4"/>
  <c r="O35" i="4"/>
  <c r="M34" i="4"/>
  <c r="AE35" i="4"/>
  <c r="AF35" i="4" s="1"/>
  <c r="B35" i="4"/>
  <c r="AA34" i="4"/>
  <c r="R34" i="4"/>
  <c r="O34" i="4"/>
  <c r="D34" i="4"/>
  <c r="R33" i="4"/>
  <c r="Q33" i="4"/>
  <c r="O33" i="4"/>
  <c r="M33" i="4"/>
  <c r="L33" i="4"/>
  <c r="H33" i="4"/>
  <c r="G33" i="4"/>
  <c r="F33" i="4"/>
  <c r="E33" i="4"/>
  <c r="B33" i="4"/>
  <c r="R32" i="4"/>
  <c r="Q32" i="4"/>
  <c r="O32" i="4"/>
  <c r="M32" i="4"/>
  <c r="L32" i="4"/>
  <c r="H32" i="4"/>
  <c r="G32" i="4"/>
  <c r="F32" i="4"/>
  <c r="E32" i="4"/>
  <c r="B32" i="4"/>
  <c r="R31" i="4"/>
  <c r="Q31" i="4"/>
  <c r="O31" i="4"/>
  <c r="M31" i="4"/>
  <c r="L31" i="4"/>
  <c r="H31" i="4"/>
  <c r="G31" i="4"/>
  <c r="F31" i="4"/>
  <c r="E31" i="4"/>
  <c r="B31" i="4"/>
  <c r="R30" i="4"/>
  <c r="Q30" i="4"/>
  <c r="O30" i="4"/>
  <c r="M30" i="4"/>
  <c r="L30" i="4"/>
  <c r="H30" i="4"/>
  <c r="G30" i="4"/>
  <c r="F30" i="4"/>
  <c r="E30" i="4"/>
  <c r="B30" i="4"/>
  <c r="R29" i="4"/>
  <c r="Q29" i="4"/>
  <c r="O29" i="4"/>
  <c r="M29" i="4"/>
  <c r="L29" i="4"/>
  <c r="H29" i="4"/>
  <c r="G29" i="4"/>
  <c r="F29" i="4"/>
  <c r="E29" i="4"/>
  <c r="B29" i="4"/>
  <c r="R28" i="4"/>
  <c r="Q28" i="4"/>
  <c r="O28" i="4"/>
  <c r="M28" i="4"/>
  <c r="L28" i="4"/>
  <c r="H28" i="4"/>
  <c r="G28" i="4"/>
  <c r="F28" i="4"/>
  <c r="E28" i="4"/>
  <c r="B28" i="4"/>
  <c r="R27" i="4"/>
  <c r="Q27" i="4"/>
  <c r="O27" i="4"/>
  <c r="M27" i="4"/>
  <c r="L27" i="4"/>
  <c r="H27" i="4"/>
  <c r="G27" i="4"/>
  <c r="F27" i="4"/>
  <c r="E27" i="4"/>
  <c r="B27" i="4"/>
  <c r="R26" i="4"/>
  <c r="Q26" i="4"/>
  <c r="O26" i="4"/>
  <c r="M26" i="4"/>
  <c r="L26" i="4"/>
  <c r="L23" i="4" s="1"/>
  <c r="H26" i="4"/>
  <c r="G26" i="4"/>
  <c r="F26" i="4"/>
  <c r="E26" i="4"/>
  <c r="B26" i="4"/>
  <c r="R25" i="4"/>
  <c r="Q25" i="4"/>
  <c r="O25" i="4"/>
  <c r="M25" i="4"/>
  <c r="L25" i="4"/>
  <c r="H25" i="4"/>
  <c r="G25" i="4"/>
  <c r="F25" i="4"/>
  <c r="E25" i="4"/>
  <c r="B25" i="4"/>
  <c r="R24" i="4"/>
  <c r="Q24" i="4"/>
  <c r="O24" i="4"/>
  <c r="B24" i="4"/>
  <c r="AA23" i="4"/>
  <c r="R23" i="4"/>
  <c r="O23" i="4"/>
  <c r="D23" i="4"/>
  <c r="H43" i="5"/>
  <c r="J43" i="5" l="1"/>
  <c r="H21" i="5"/>
  <c r="H32" i="5"/>
  <c r="J32" i="5" s="1"/>
  <c r="I48" i="4"/>
  <c r="L45" i="4"/>
  <c r="I50" i="4"/>
  <c r="I52" i="4"/>
  <c r="I54" i="4"/>
  <c r="B47" i="4"/>
  <c r="C43" i="16"/>
  <c r="C43" i="17"/>
  <c r="C44" i="5"/>
  <c r="C43" i="20"/>
  <c r="C43" i="19"/>
  <c r="C43" i="18"/>
  <c r="C47" i="5"/>
  <c r="C46" i="20"/>
  <c r="C46" i="16"/>
  <c r="C46" i="19"/>
  <c r="C46" i="18"/>
  <c r="C46" i="17"/>
  <c r="C49" i="5"/>
  <c r="C48" i="20"/>
  <c r="C48" i="19"/>
  <c r="C48" i="17"/>
  <c r="C48" i="18"/>
  <c r="C48" i="16"/>
  <c r="C51" i="5"/>
  <c r="C50" i="20"/>
  <c r="C50" i="19"/>
  <c r="C50" i="17"/>
  <c r="C50" i="18"/>
  <c r="C50" i="16"/>
  <c r="C53" i="5"/>
  <c r="C52" i="20"/>
  <c r="C52" i="19"/>
  <c r="C52" i="18"/>
  <c r="C52" i="16"/>
  <c r="C52" i="17"/>
  <c r="C21" i="19"/>
  <c r="C21" i="17"/>
  <c r="C21" i="20"/>
  <c r="C21" i="18"/>
  <c r="C21" i="16"/>
  <c r="C22" i="5"/>
  <c r="C23" i="5"/>
  <c r="C22" i="20"/>
  <c r="C22" i="19"/>
  <c r="C22" i="18"/>
  <c r="C22" i="16"/>
  <c r="C22" i="17"/>
  <c r="C24" i="17"/>
  <c r="C25" i="5"/>
  <c r="C24" i="20"/>
  <c r="C24" i="19"/>
  <c r="C24" i="18"/>
  <c r="C24" i="16"/>
  <c r="C27" i="5"/>
  <c r="C26" i="19"/>
  <c r="C26" i="18"/>
  <c r="C26" i="20"/>
  <c r="C26" i="16"/>
  <c r="C26" i="17"/>
  <c r="C38" i="5"/>
  <c r="C37" i="20"/>
  <c r="C37" i="18"/>
  <c r="C37" i="17"/>
  <c r="C37" i="19"/>
  <c r="C37" i="16"/>
  <c r="C40" i="5"/>
  <c r="C39" i="19"/>
  <c r="C39" i="16"/>
  <c r="C39" i="20"/>
  <c r="C39" i="17"/>
  <c r="C39" i="18"/>
  <c r="C24" i="5"/>
  <c r="C23" i="20"/>
  <c r="C23" i="17"/>
  <c r="C23" i="19"/>
  <c r="C23" i="18"/>
  <c r="C23" i="16"/>
  <c r="C25" i="20"/>
  <c r="C25" i="16"/>
  <c r="C26" i="5"/>
  <c r="C25" i="19"/>
  <c r="C25" i="18"/>
  <c r="C25" i="17"/>
  <c r="C28" i="5"/>
  <c r="C27" i="17"/>
  <c r="C27" i="20"/>
  <c r="C27" i="16"/>
  <c r="C27" i="19"/>
  <c r="C27" i="18"/>
  <c r="C29" i="19"/>
  <c r="C30" i="5"/>
  <c r="C29" i="20"/>
  <c r="C29" i="17"/>
  <c r="C29" i="18"/>
  <c r="C29" i="16"/>
  <c r="C33" i="5"/>
  <c r="C32" i="19"/>
  <c r="C32" i="18"/>
  <c r="C32" i="20"/>
  <c r="C32" i="16"/>
  <c r="C32" i="17"/>
  <c r="C35" i="5"/>
  <c r="C34" i="19"/>
  <c r="C34" i="18"/>
  <c r="C34" i="20"/>
  <c r="C34" i="17"/>
  <c r="C34" i="16"/>
  <c r="C37" i="5"/>
  <c r="C36" i="20"/>
  <c r="C36" i="19"/>
  <c r="C36" i="16"/>
  <c r="C36" i="18"/>
  <c r="C36" i="17"/>
  <c r="C39" i="5"/>
  <c r="C38" i="18"/>
  <c r="C38" i="17"/>
  <c r="C38" i="19"/>
  <c r="C38" i="20"/>
  <c r="C38" i="16"/>
  <c r="C41" i="5"/>
  <c r="C40" i="19"/>
  <c r="C40" i="20"/>
  <c r="C40" i="18"/>
  <c r="C40" i="16"/>
  <c r="C40" i="17"/>
  <c r="C29" i="5"/>
  <c r="C28" i="20"/>
  <c r="C28" i="19"/>
  <c r="C28" i="16"/>
  <c r="C28" i="17"/>
  <c r="C28" i="18"/>
  <c r="C31" i="5"/>
  <c r="C30" i="20"/>
  <c r="C30" i="18"/>
  <c r="C30" i="17"/>
  <c r="C30" i="16"/>
  <c r="C30" i="19"/>
  <c r="C33" i="20"/>
  <c r="C34" i="5"/>
  <c r="C33" i="16"/>
  <c r="C33" i="17"/>
  <c r="C33" i="19"/>
  <c r="C33" i="18"/>
  <c r="C36" i="5"/>
  <c r="C35" i="17"/>
  <c r="C35" i="19"/>
  <c r="C35" i="20"/>
  <c r="C35" i="16"/>
  <c r="C35" i="18"/>
  <c r="C41" i="20"/>
  <c r="C42" i="5"/>
  <c r="C41" i="16"/>
  <c r="C41" i="17"/>
  <c r="C41" i="19"/>
  <c r="C41" i="18"/>
  <c r="C45" i="19"/>
  <c r="C46" i="5"/>
  <c r="C45" i="20"/>
  <c r="C45" i="16"/>
  <c r="C45" i="17"/>
  <c r="C45" i="18"/>
  <c r="C47" i="18"/>
  <c r="C48" i="5"/>
  <c r="C47" i="17"/>
  <c r="C47" i="19"/>
  <c r="C47" i="20"/>
  <c r="C47" i="16"/>
  <c r="C49" i="20"/>
  <c r="C50" i="5"/>
  <c r="C49" i="19"/>
  <c r="C49" i="18"/>
  <c r="C49" i="16"/>
  <c r="C49" i="17"/>
  <c r="C52" i="5"/>
  <c r="C51" i="20"/>
  <c r="C51" i="18"/>
  <c r="C51" i="16"/>
  <c r="C51" i="17"/>
  <c r="C51" i="19"/>
  <c r="J21" i="5"/>
  <c r="H34" i="4"/>
  <c r="J28" i="4"/>
  <c r="J32" i="4"/>
  <c r="M45" i="4"/>
  <c r="F34" i="4"/>
  <c r="Q23" i="4"/>
  <c r="H23" i="4"/>
  <c r="J25" i="4"/>
  <c r="J29" i="4"/>
  <c r="J33" i="4"/>
  <c r="AE33" i="4"/>
  <c r="AF33" i="4" s="1"/>
  <c r="G23" i="4"/>
  <c r="J26" i="4"/>
  <c r="AE26" i="4"/>
  <c r="AF26" i="4" s="1"/>
  <c r="J30" i="4"/>
  <c r="AE30" i="4"/>
  <c r="AF30" i="4" s="1"/>
  <c r="Q34" i="4"/>
  <c r="H45" i="4"/>
  <c r="Q45" i="4"/>
  <c r="AE25" i="4"/>
  <c r="AF25" i="4" s="1"/>
  <c r="E23" i="4"/>
  <c r="AE28" i="4"/>
  <c r="AF28" i="4" s="1"/>
  <c r="AE32" i="4"/>
  <c r="AF32" i="4" s="1"/>
  <c r="AE29" i="4"/>
  <c r="AF29" i="4" s="1"/>
  <c r="J27" i="4"/>
  <c r="AE27" i="4"/>
  <c r="AF27" i="4" s="1"/>
  <c r="J31" i="4"/>
  <c r="AE31" i="4"/>
  <c r="AF31" i="4" s="1"/>
  <c r="G34" i="4"/>
  <c r="F45" i="4"/>
  <c r="J24" i="4"/>
  <c r="AE24" i="4"/>
  <c r="AF24" i="4" s="1"/>
  <c r="K24" i="4"/>
  <c r="M23" i="4"/>
  <c r="AB23" i="4" s="1"/>
  <c r="AC31" i="4" s="1"/>
  <c r="E45" i="4"/>
  <c r="G45" i="4"/>
  <c r="I49" i="4"/>
  <c r="I51" i="4"/>
  <c r="I53" i="4"/>
  <c r="I55" i="4"/>
  <c r="L34" i="4"/>
  <c r="AB34" i="4" s="1"/>
  <c r="K25" i="4"/>
  <c r="K26" i="4"/>
  <c r="K27" i="4"/>
  <c r="K28" i="4"/>
  <c r="K29" i="4"/>
  <c r="K30" i="4"/>
  <c r="K31" i="4"/>
  <c r="K32" i="4"/>
  <c r="K33" i="4"/>
  <c r="J48" i="4"/>
  <c r="J49" i="4"/>
  <c r="J50" i="4"/>
  <c r="J51" i="4"/>
  <c r="J52" i="4"/>
  <c r="J53" i="4"/>
  <c r="J54" i="4"/>
  <c r="J55" i="4"/>
  <c r="K48" i="4"/>
  <c r="K49" i="4"/>
  <c r="K50" i="4"/>
  <c r="K51" i="4"/>
  <c r="K52" i="4"/>
  <c r="K53" i="4"/>
  <c r="K54" i="4"/>
  <c r="K55" i="4"/>
  <c r="J36" i="4"/>
  <c r="J37" i="4"/>
  <c r="J38" i="4"/>
  <c r="J39" i="4"/>
  <c r="J40" i="4"/>
  <c r="J41" i="4"/>
  <c r="J42" i="4"/>
  <c r="J43" i="4"/>
  <c r="J44" i="4"/>
  <c r="K36" i="4"/>
  <c r="K37" i="4"/>
  <c r="K38" i="4"/>
  <c r="K39" i="4"/>
  <c r="K40" i="4"/>
  <c r="K41" i="4"/>
  <c r="K42" i="4"/>
  <c r="K43" i="4"/>
  <c r="K44" i="4"/>
  <c r="F23" i="4"/>
  <c r="AI23" i="4" s="1"/>
  <c r="M14" i="4"/>
  <c r="L14" i="4"/>
  <c r="H14" i="4"/>
  <c r="G14" i="4"/>
  <c r="F14" i="4"/>
  <c r="E14" i="4"/>
  <c r="Y34" i="4" l="1"/>
  <c r="AB45" i="4"/>
  <c r="AC50" i="4" s="1"/>
  <c r="H20" i="18"/>
  <c r="E20" i="18"/>
  <c r="F20" i="18"/>
  <c r="F42" i="18"/>
  <c r="E42" i="18"/>
  <c r="H42" i="18"/>
  <c r="F31" i="18"/>
  <c r="E31" i="18"/>
  <c r="H31" i="18"/>
  <c r="C45" i="5"/>
  <c r="C44" i="20"/>
  <c r="C44" i="19"/>
  <c r="C44" i="18"/>
  <c r="C44" i="16"/>
  <c r="C44" i="17"/>
  <c r="AI34" i="4"/>
  <c r="AJ43" i="4" s="1"/>
  <c r="Y45" i="4"/>
  <c r="Z52" i="4" s="1"/>
  <c r="Z38" i="4"/>
  <c r="Z35" i="4"/>
  <c r="Z44" i="4"/>
  <c r="K23" i="4"/>
  <c r="AG23" i="4" s="1"/>
  <c r="AH33" i="4" s="1"/>
  <c r="W23" i="4"/>
  <c r="X33" i="4" s="1"/>
  <c r="W34" i="4"/>
  <c r="X41" i="4" s="1"/>
  <c r="AC29" i="4"/>
  <c r="S34" i="4"/>
  <c r="T34" i="4" s="1"/>
  <c r="J23" i="4"/>
  <c r="U23" i="4" s="1"/>
  <c r="AC26" i="4"/>
  <c r="AC24" i="4"/>
  <c r="AC30" i="4"/>
  <c r="AC25" i="4"/>
  <c r="AC32" i="4"/>
  <c r="AI45" i="4"/>
  <c r="AJ47" i="4" s="1"/>
  <c r="S45" i="4"/>
  <c r="T54" i="4" s="1"/>
  <c r="Z40" i="4"/>
  <c r="AC28" i="4"/>
  <c r="AC33" i="4"/>
  <c r="AC23" i="4"/>
  <c r="AC27" i="4"/>
  <c r="S23" i="4"/>
  <c r="T33" i="4" s="1"/>
  <c r="W45" i="4"/>
  <c r="Z41" i="4"/>
  <c r="Z42" i="4"/>
  <c r="Z37" i="4"/>
  <c r="Z39" i="4"/>
  <c r="Z43" i="4"/>
  <c r="Z34" i="4"/>
  <c r="Z36" i="4"/>
  <c r="J45" i="4"/>
  <c r="U45" i="4" s="1"/>
  <c r="K45" i="4"/>
  <c r="AG45" i="4" s="1"/>
  <c r="AC54" i="4"/>
  <c r="AC53" i="4"/>
  <c r="AC52" i="4"/>
  <c r="AC51" i="4"/>
  <c r="AC48" i="4"/>
  <c r="AC44" i="4"/>
  <c r="AC43" i="4"/>
  <c r="AC42" i="4"/>
  <c r="AC41" i="4"/>
  <c r="AC40" i="4"/>
  <c r="AC39" i="4"/>
  <c r="AC38" i="4"/>
  <c r="AC37" i="4"/>
  <c r="AC36" i="4"/>
  <c r="AC35" i="4"/>
  <c r="AC34" i="4"/>
  <c r="K34" i="4"/>
  <c r="AG34" i="4" s="1"/>
  <c r="J34" i="4"/>
  <c r="U34" i="4" s="1"/>
  <c r="AJ44" i="4"/>
  <c r="AJ33" i="4"/>
  <c r="AJ32" i="4"/>
  <c r="AJ31" i="4"/>
  <c r="AJ30" i="4"/>
  <c r="AJ29" i="4"/>
  <c r="AJ28" i="4"/>
  <c r="AJ27" i="4"/>
  <c r="AJ26" i="4"/>
  <c r="AJ25" i="4"/>
  <c r="AJ24" i="4"/>
  <c r="AJ23" i="4"/>
  <c r="Y23" i="4"/>
  <c r="J14" i="4"/>
  <c r="K13" i="4"/>
  <c r="K14" i="4"/>
  <c r="J13" i="4"/>
  <c r="I3" i="6"/>
  <c r="I4" i="6"/>
  <c r="I5" i="6"/>
  <c r="I2" i="6"/>
  <c r="H5" i="6"/>
  <c r="H4" i="6"/>
  <c r="H3" i="6"/>
  <c r="H2" i="6"/>
  <c r="R12" i="4"/>
  <c r="Q13" i="4"/>
  <c r="AC45" i="4" l="1"/>
  <c r="AC46" i="4"/>
  <c r="AJ36" i="4"/>
  <c r="AJ40" i="4"/>
  <c r="AC47" i="4"/>
  <c r="AC55" i="4"/>
  <c r="AC49" i="4"/>
  <c r="AH25" i="4"/>
  <c r="AK25" i="4" s="1"/>
  <c r="AH32" i="4"/>
  <c r="AK32" i="4" s="1"/>
  <c r="AH29" i="4"/>
  <c r="AK29" i="4" s="1"/>
  <c r="AH28" i="4"/>
  <c r="AK28" i="4" s="1"/>
  <c r="X43" i="4"/>
  <c r="X40" i="4"/>
  <c r="AJ37" i="4"/>
  <c r="AJ41" i="4"/>
  <c r="AJ34" i="4"/>
  <c r="AJ38" i="4"/>
  <c r="AJ42" i="4"/>
  <c r="AJ35" i="4"/>
  <c r="AJ39" i="4"/>
  <c r="X24" i="4"/>
  <c r="AJ49" i="4"/>
  <c r="Z51" i="4"/>
  <c r="Z46" i="4"/>
  <c r="AJ45" i="4"/>
  <c r="Z49" i="4"/>
  <c r="T50" i="4"/>
  <c r="AJ53" i="4"/>
  <c r="Z50" i="4"/>
  <c r="Z47" i="4"/>
  <c r="Z48" i="4"/>
  <c r="Z53" i="4"/>
  <c r="Z55" i="4"/>
  <c r="Z45" i="4"/>
  <c r="Z54" i="4"/>
  <c r="T46" i="4"/>
  <c r="AH23" i="4"/>
  <c r="AK23" i="4" s="1"/>
  <c r="AH30" i="4"/>
  <c r="AK30" i="4" s="1"/>
  <c r="AH24" i="4"/>
  <c r="AK24" i="4" s="1"/>
  <c r="AH26" i="4"/>
  <c r="AK26" i="4" s="1"/>
  <c r="X31" i="4"/>
  <c r="X32" i="4"/>
  <c r="X27" i="4"/>
  <c r="AH31" i="4"/>
  <c r="AK31" i="4" s="1"/>
  <c r="X26" i="4"/>
  <c r="T43" i="4"/>
  <c r="T37" i="4"/>
  <c r="T44" i="4"/>
  <c r="T38" i="4"/>
  <c r="T35" i="4"/>
  <c r="X34" i="4"/>
  <c r="AH27" i="4"/>
  <c r="AK27" i="4" s="1"/>
  <c r="X29" i="4"/>
  <c r="T23" i="4"/>
  <c r="T27" i="4"/>
  <c r="T40" i="4"/>
  <c r="T42" i="4"/>
  <c r="T36" i="4"/>
  <c r="X35" i="4"/>
  <c r="X37" i="4"/>
  <c r="T41" i="4"/>
  <c r="T39" i="4"/>
  <c r="X44" i="4"/>
  <c r="X42" i="4"/>
  <c r="X30" i="4"/>
  <c r="X28" i="4"/>
  <c r="T31" i="4"/>
  <c r="X25" i="4"/>
  <c r="X23" i="4"/>
  <c r="T48" i="4"/>
  <c r="T53" i="4"/>
  <c r="AJ51" i="4"/>
  <c r="AJ55" i="4"/>
  <c r="AK33" i="4"/>
  <c r="T45" i="4"/>
  <c r="T49" i="4"/>
  <c r="T55" i="4"/>
  <c r="AJ48" i="4"/>
  <c r="AJ52" i="4"/>
  <c r="X36" i="4"/>
  <c r="X38" i="4"/>
  <c r="X39" i="4"/>
  <c r="T47" i="4"/>
  <c r="T51" i="4"/>
  <c r="AJ46" i="4"/>
  <c r="AJ50" i="4"/>
  <c r="AJ54" i="4"/>
  <c r="V28" i="4"/>
  <c r="V31" i="4"/>
  <c r="V23" i="4"/>
  <c r="V30" i="4"/>
  <c r="V33" i="4"/>
  <c r="V29" i="4"/>
  <c r="V25" i="4"/>
  <c r="V32" i="4"/>
  <c r="V24" i="4"/>
  <c r="V27" i="4"/>
  <c r="V26" i="4"/>
  <c r="T52" i="4"/>
  <c r="T26" i="4"/>
  <c r="T30" i="4"/>
  <c r="T24" i="4"/>
  <c r="T28" i="4"/>
  <c r="T32" i="4"/>
  <c r="T25" i="4"/>
  <c r="T29" i="4"/>
  <c r="X47" i="4"/>
  <c r="X54" i="4"/>
  <c r="X50" i="4"/>
  <c r="X46" i="4"/>
  <c r="X53" i="4"/>
  <c r="X49" i="4"/>
  <c r="X45" i="4"/>
  <c r="X52" i="4"/>
  <c r="X48" i="4"/>
  <c r="X55" i="4"/>
  <c r="X51" i="4"/>
  <c r="AH55" i="4"/>
  <c r="AH54" i="4"/>
  <c r="AH53" i="4"/>
  <c r="AH52" i="4"/>
  <c r="AH51" i="4"/>
  <c r="AH50" i="4"/>
  <c r="AH49" i="4"/>
  <c r="AH48" i="4"/>
  <c r="AH47" i="4"/>
  <c r="AK47" i="4" s="1"/>
  <c r="AH46" i="4"/>
  <c r="AH45" i="4"/>
  <c r="V55" i="4"/>
  <c r="V54" i="4"/>
  <c r="V53" i="4"/>
  <c r="V52" i="4"/>
  <c r="V51" i="4"/>
  <c r="V50" i="4"/>
  <c r="V49" i="4"/>
  <c r="V48" i="4"/>
  <c r="V47" i="4"/>
  <c r="V46" i="4"/>
  <c r="V45" i="4"/>
  <c r="V44" i="4"/>
  <c r="V43" i="4"/>
  <c r="V42" i="4"/>
  <c r="V41" i="4"/>
  <c r="V40" i="4"/>
  <c r="V39" i="4"/>
  <c r="V38" i="4"/>
  <c r="V37" i="4"/>
  <c r="V36" i="4"/>
  <c r="V35" i="4"/>
  <c r="V34" i="4"/>
  <c r="AH44" i="4"/>
  <c r="AK44" i="4" s="1"/>
  <c r="AH43" i="4"/>
  <c r="AK43" i="4" s="1"/>
  <c r="AH42" i="4"/>
  <c r="AH41" i="4"/>
  <c r="AH40" i="4"/>
  <c r="AK40" i="4" s="1"/>
  <c r="AH39" i="4"/>
  <c r="AH38" i="4"/>
  <c r="AH37" i="4"/>
  <c r="AH36" i="4"/>
  <c r="AK36" i="4" s="1"/>
  <c r="AH35" i="4"/>
  <c r="AH34" i="4"/>
  <c r="AK34" i="4" s="1"/>
  <c r="Z23" i="4"/>
  <c r="Z33" i="4"/>
  <c r="Z32" i="4"/>
  <c r="Z31" i="4"/>
  <c r="Z30" i="4"/>
  <c r="Z29" i="4"/>
  <c r="Z28" i="4"/>
  <c r="Z27" i="4"/>
  <c r="Z26" i="4"/>
  <c r="Z25" i="4"/>
  <c r="Z24" i="4"/>
  <c r="V9" i="4"/>
  <c r="AK41" i="4" l="1"/>
  <c r="AK49" i="4"/>
  <c r="AK37" i="4"/>
  <c r="AD43" i="4"/>
  <c r="AK39" i="4"/>
  <c r="AD49" i="4"/>
  <c r="AD35" i="4"/>
  <c r="AK42" i="4"/>
  <c r="AK35" i="4"/>
  <c r="AK38" i="4"/>
  <c r="AK45" i="4"/>
  <c r="AK53" i="4"/>
  <c r="AK46" i="4"/>
  <c r="AK52" i="4"/>
  <c r="AK55" i="4"/>
  <c r="AD33" i="4"/>
  <c r="AD36" i="4"/>
  <c r="AD40" i="4"/>
  <c r="AD34" i="4"/>
  <c r="AD32" i="4"/>
  <c r="AD25" i="4"/>
  <c r="AD29" i="4"/>
  <c r="AK50" i="4"/>
  <c r="AD39" i="4"/>
  <c r="AD55" i="4"/>
  <c r="AK48" i="4"/>
  <c r="AD37" i="4"/>
  <c r="AD26" i="4"/>
  <c r="AD23" i="4"/>
  <c r="AD41" i="4"/>
  <c r="AD38" i="4"/>
  <c r="AD42" i="4"/>
  <c r="AD44" i="4"/>
  <c r="AD27" i="4"/>
  <c r="AD31" i="4"/>
  <c r="AD28" i="4"/>
  <c r="AD30" i="4"/>
  <c r="AD54" i="4"/>
  <c r="AK51" i="4"/>
  <c r="AK54" i="4"/>
  <c r="AD48" i="4"/>
  <c r="AD52" i="4"/>
  <c r="AD46" i="4"/>
  <c r="AD50" i="4"/>
  <c r="AD24" i="4"/>
  <c r="AD45" i="4"/>
  <c r="AD53" i="4"/>
  <c r="AD47" i="4"/>
  <c r="AD51" i="4"/>
  <c r="E15" i="4"/>
  <c r="E16" i="4"/>
  <c r="E17" i="4"/>
  <c r="E18" i="4"/>
  <c r="E19" i="4"/>
  <c r="E20" i="4"/>
  <c r="E21" i="4"/>
  <c r="E22" i="4"/>
  <c r="R22" i="4"/>
  <c r="Q22" i="4"/>
  <c r="O22" i="4"/>
  <c r="M22" i="4"/>
  <c r="L22" i="4"/>
  <c r="H22" i="4"/>
  <c r="G22" i="4"/>
  <c r="F22" i="4"/>
  <c r="R21" i="4"/>
  <c r="Q21" i="4"/>
  <c r="O21" i="4"/>
  <c r="M21" i="4"/>
  <c r="L21" i="4"/>
  <c r="H21" i="4"/>
  <c r="G21" i="4"/>
  <c r="F21" i="4"/>
  <c r="R20" i="4"/>
  <c r="Q20" i="4"/>
  <c r="O20" i="4"/>
  <c r="M20" i="4"/>
  <c r="L20" i="4"/>
  <c r="H20" i="4"/>
  <c r="G20" i="4"/>
  <c r="F20" i="4"/>
  <c r="R19" i="4"/>
  <c r="Q19" i="4"/>
  <c r="O19" i="4"/>
  <c r="M19" i="4"/>
  <c r="L19" i="4"/>
  <c r="H19" i="4"/>
  <c r="G19" i="4"/>
  <c r="F19" i="4"/>
  <c r="R18" i="4"/>
  <c r="Q18" i="4"/>
  <c r="O18" i="4"/>
  <c r="M18" i="4"/>
  <c r="L18" i="4"/>
  <c r="H18" i="4"/>
  <c r="G18" i="4"/>
  <c r="F18" i="4"/>
  <c r="R17" i="4"/>
  <c r="Q17" i="4"/>
  <c r="O17" i="4"/>
  <c r="M17" i="4"/>
  <c r="L17" i="4"/>
  <c r="H17" i="4"/>
  <c r="G17" i="4"/>
  <c r="F17" i="4"/>
  <c r="R16" i="4"/>
  <c r="Q16" i="4"/>
  <c r="O16" i="4"/>
  <c r="M16" i="4"/>
  <c r="L16" i="4"/>
  <c r="H16" i="4"/>
  <c r="G16" i="4"/>
  <c r="F16" i="4"/>
  <c r="R15" i="4"/>
  <c r="Q15" i="4"/>
  <c r="O15" i="4"/>
  <c r="M15" i="4"/>
  <c r="L15" i="4"/>
  <c r="H15" i="4"/>
  <c r="G15" i="4"/>
  <c r="F15" i="4"/>
  <c r="R14" i="4"/>
  <c r="Q14" i="4"/>
  <c r="O14" i="4"/>
  <c r="R13" i="4"/>
  <c r="O13" i="4"/>
  <c r="O12" i="4"/>
  <c r="B22" i="4" l="1"/>
  <c r="AE21" i="4"/>
  <c r="AF21" i="4" s="1"/>
  <c r="B21" i="4"/>
  <c r="AE20" i="4"/>
  <c r="AF20" i="4" s="1"/>
  <c r="B20" i="4"/>
  <c r="B19" i="4"/>
  <c r="B18" i="4"/>
  <c r="AE17" i="4"/>
  <c r="AF17" i="4" s="1"/>
  <c r="B17" i="4"/>
  <c r="AE16" i="4"/>
  <c r="AF16" i="4" s="1"/>
  <c r="AE15" i="4"/>
  <c r="AF15" i="4" s="1"/>
  <c r="B13" i="4"/>
  <c r="D12" i="4"/>
  <c r="D46" i="20" l="1"/>
  <c r="B14" i="4"/>
  <c r="D40" i="19" s="1"/>
  <c r="F12" i="4"/>
  <c r="H12" i="4"/>
  <c r="G12" i="4"/>
  <c r="E12" i="4"/>
  <c r="L12" i="4"/>
  <c r="M12" i="4"/>
  <c r="K20" i="4"/>
  <c r="J21" i="4"/>
  <c r="J20" i="4"/>
  <c r="AA12" i="4"/>
  <c r="K16" i="4"/>
  <c r="J17" i="4"/>
  <c r="K19" i="4"/>
  <c r="AE19" i="4"/>
  <c r="AF19" i="4" s="1"/>
  <c r="Q12" i="4"/>
  <c r="J16" i="4"/>
  <c r="K15" i="4"/>
  <c r="AE13" i="4"/>
  <c r="AF13" i="4" s="1"/>
  <c r="AE14" i="4"/>
  <c r="AF14" i="4" s="1"/>
  <c r="AE18" i="4"/>
  <c r="AF18" i="4" s="1"/>
  <c r="K18" i="4"/>
  <c r="J18" i="4"/>
  <c r="AE22" i="4"/>
  <c r="AF22" i="4" s="1"/>
  <c r="K22" i="4"/>
  <c r="J22" i="4"/>
  <c r="K17" i="4"/>
  <c r="K21" i="4"/>
  <c r="J15" i="4"/>
  <c r="J19" i="4"/>
  <c r="D25" i="5" l="1"/>
  <c r="D36" i="17"/>
  <c r="E25" i="5"/>
  <c r="E40" i="17"/>
  <c r="D38" i="19"/>
  <c r="D24" i="16"/>
  <c r="F24" i="16" s="1"/>
  <c r="D33" i="17"/>
  <c r="D26" i="20"/>
  <c r="E41" i="17"/>
  <c r="D47" i="19"/>
  <c r="D39" i="20"/>
  <c r="D41" i="17"/>
  <c r="H41" i="17" s="1"/>
  <c r="E27" i="17"/>
  <c r="D46" i="17"/>
  <c r="D37" i="16"/>
  <c r="F37" i="16" s="1"/>
  <c r="D48" i="17"/>
  <c r="D27" i="18"/>
  <c r="E46" i="17"/>
  <c r="E29" i="17"/>
  <c r="D37" i="20"/>
  <c r="E27" i="18"/>
  <c r="F27" i="18"/>
  <c r="E49" i="5"/>
  <c r="D22" i="16"/>
  <c r="F22" i="16" s="1"/>
  <c r="D25" i="20"/>
  <c r="E28" i="17"/>
  <c r="D52" i="5"/>
  <c r="E45" i="17"/>
  <c r="E22" i="17"/>
  <c r="E30" i="5"/>
  <c r="D34" i="5"/>
  <c r="D38" i="5"/>
  <c r="E50" i="5"/>
  <c r="D48" i="19"/>
  <c r="E40" i="5"/>
  <c r="E29" i="5"/>
  <c r="D49" i="19"/>
  <c r="E41" i="5"/>
  <c r="D24" i="19"/>
  <c r="D38" i="18"/>
  <c r="D24" i="5"/>
  <c r="D28" i="16"/>
  <c r="F28" i="16" s="1"/>
  <c r="D52" i="19"/>
  <c r="D47" i="17"/>
  <c r="E23" i="17"/>
  <c r="E39" i="5"/>
  <c r="E47" i="5"/>
  <c r="D41" i="5"/>
  <c r="D48" i="16"/>
  <c r="F48" i="16" s="1"/>
  <c r="D37" i="17"/>
  <c r="D28" i="20"/>
  <c r="D49" i="18"/>
  <c r="D35" i="16"/>
  <c r="F35" i="16" s="1"/>
  <c r="D34" i="18"/>
  <c r="D50" i="19"/>
  <c r="D23" i="17"/>
  <c r="D39" i="5"/>
  <c r="D41" i="20"/>
  <c r="D39" i="16"/>
  <c r="F39" i="16" s="1"/>
  <c r="D45" i="17"/>
  <c r="D22" i="17"/>
  <c r="D27" i="16"/>
  <c r="F27" i="16" s="1"/>
  <c r="D28" i="18"/>
  <c r="D47" i="16"/>
  <c r="F47" i="16" s="1"/>
  <c r="E35" i="17"/>
  <c r="D50" i="16"/>
  <c r="F50" i="16" s="1"/>
  <c r="D23" i="16"/>
  <c r="F23" i="16" s="1"/>
  <c r="D30" i="20"/>
  <c r="D25" i="19"/>
  <c r="D30" i="19"/>
  <c r="D53" i="5"/>
  <c r="D27" i="5"/>
  <c r="D27" i="20"/>
  <c r="D33" i="20"/>
  <c r="D47" i="5"/>
  <c r="E26" i="17"/>
  <c r="D35" i="20"/>
  <c r="E28" i="5"/>
  <c r="E49" i="17"/>
  <c r="D26" i="18"/>
  <c r="E23" i="5"/>
  <c r="D39" i="17"/>
  <c r="D28" i="17"/>
  <c r="D51" i="17"/>
  <c r="D31" i="5"/>
  <c r="D48" i="20"/>
  <c r="E37" i="17"/>
  <c r="E30" i="17"/>
  <c r="E33" i="17"/>
  <c r="D37" i="19"/>
  <c r="D46" i="16"/>
  <c r="F46" i="16" s="1"/>
  <c r="D35" i="19"/>
  <c r="D50" i="18"/>
  <c r="D30" i="16"/>
  <c r="F30" i="16" s="1"/>
  <c r="D52" i="17"/>
  <c r="D39" i="18"/>
  <c r="E34" i="5"/>
  <c r="E38" i="5"/>
  <c r="D35" i="18"/>
  <c r="D22" i="19"/>
  <c r="D28" i="19"/>
  <c r="D52" i="16"/>
  <c r="F52" i="16" s="1"/>
  <c r="D25" i="18"/>
  <c r="D38" i="20"/>
  <c r="D47" i="18"/>
  <c r="D37" i="5"/>
  <c r="D51" i="18"/>
  <c r="D26" i="17"/>
  <c r="D29" i="16"/>
  <c r="F29" i="16" s="1"/>
  <c r="D33" i="18"/>
  <c r="D51" i="20"/>
  <c r="D29" i="17"/>
  <c r="D35" i="17"/>
  <c r="E48" i="17"/>
  <c r="D33" i="16"/>
  <c r="F33" i="16" s="1"/>
  <c r="D37" i="18"/>
  <c r="D29" i="18"/>
  <c r="D41" i="19"/>
  <c r="D24" i="17"/>
  <c r="D46" i="19"/>
  <c r="D25" i="16"/>
  <c r="F25" i="16" s="1"/>
  <c r="D40" i="18"/>
  <c r="E48" i="5"/>
  <c r="D51" i="19"/>
  <c r="D38" i="17"/>
  <c r="D24" i="20"/>
  <c r="D29" i="19"/>
  <c r="D33" i="19"/>
  <c r="E51" i="5"/>
  <c r="D36" i="5"/>
  <c r="D52" i="20"/>
  <c r="E25" i="17"/>
  <c r="E42" i="5"/>
  <c r="E46" i="5"/>
  <c r="D27" i="19"/>
  <c r="D48" i="18"/>
  <c r="D35" i="5"/>
  <c r="E52" i="5"/>
  <c r="D24" i="18"/>
  <c r="D41" i="16"/>
  <c r="F41" i="16" s="1"/>
  <c r="D22" i="20"/>
  <c r="D25" i="17"/>
  <c r="D41" i="18"/>
  <c r="E24" i="5"/>
  <c r="D45" i="18"/>
  <c r="D26" i="5"/>
  <c r="E47" i="17"/>
  <c r="E27" i="5"/>
  <c r="E35" i="5"/>
  <c r="D29" i="5"/>
  <c r="D51" i="5"/>
  <c r="E31" i="5"/>
  <c r="E50" i="17"/>
  <c r="D39" i="19"/>
  <c r="D36" i="16"/>
  <c r="F36" i="16" s="1"/>
  <c r="D42" i="5"/>
  <c r="D28" i="5"/>
  <c r="D22" i="18"/>
  <c r="D27" i="17"/>
  <c r="D40" i="17"/>
  <c r="D50" i="20"/>
  <c r="D23" i="20"/>
  <c r="E36" i="17"/>
  <c r="D49" i="17"/>
  <c r="D34" i="20"/>
  <c r="D46" i="5"/>
  <c r="D52" i="18"/>
  <c r="D36" i="20"/>
  <c r="D23" i="5"/>
  <c r="E39" i="17"/>
  <c r="D40" i="20"/>
  <c r="D47" i="20"/>
  <c r="D29" i="20"/>
  <c r="D50" i="17"/>
  <c r="D30" i="5"/>
  <c r="D30" i="17"/>
  <c r="D46" i="18"/>
  <c r="D36" i="18"/>
  <c r="D45" i="19"/>
  <c r="D26" i="16"/>
  <c r="F26" i="16" s="1"/>
  <c r="D34" i="17"/>
  <c r="D45" i="20"/>
  <c r="E24" i="17"/>
  <c r="D49" i="16"/>
  <c r="F49" i="16" s="1"/>
  <c r="D34" i="19"/>
  <c r="D40" i="16"/>
  <c r="F40" i="16" s="1"/>
  <c r="D51" i="16"/>
  <c r="F51" i="16" s="1"/>
  <c r="E38" i="17"/>
  <c r="E53" i="5"/>
  <c r="E34" i="17"/>
  <c r="E51" i="17"/>
  <c r="E37" i="5"/>
  <c r="D26" i="19"/>
  <c r="D34" i="16"/>
  <c r="F34" i="16" s="1"/>
  <c r="D48" i="5"/>
  <c r="D23" i="18"/>
  <c r="D50" i="5"/>
  <c r="E26" i="5"/>
  <c r="D49" i="5"/>
  <c r="D40" i="5"/>
  <c r="D36" i="19"/>
  <c r="D30" i="18"/>
  <c r="E36" i="5"/>
  <c r="E52" i="17"/>
  <c r="D23" i="19"/>
  <c r="D38" i="16"/>
  <c r="F38" i="16" s="1"/>
  <c r="D45" i="16"/>
  <c r="F45" i="16" s="1"/>
  <c r="D49" i="20"/>
  <c r="B15" i="4"/>
  <c r="J12" i="4"/>
  <c r="U12" i="4" s="1"/>
  <c r="V12" i="4" s="1"/>
  <c r="I12" i="4"/>
  <c r="S12" i="4" s="1"/>
  <c r="T12" i="4" s="1"/>
  <c r="K12" i="4"/>
  <c r="AG12" i="4" s="1"/>
  <c r="AH20" i="4" s="1"/>
  <c r="AB12" i="4"/>
  <c r="AC18" i="4" s="1"/>
  <c r="W12" i="4"/>
  <c r="X15" i="4" s="1"/>
  <c r="Y12" i="4"/>
  <c r="Z18" i="4" s="1"/>
  <c r="AI12" i="4"/>
  <c r="G46" i="17" l="1"/>
  <c r="I46" i="17" s="1"/>
  <c r="J36" i="17"/>
  <c r="G41" i="17"/>
  <c r="I41" i="17" s="1"/>
  <c r="J41" i="17"/>
  <c r="G33" i="17"/>
  <c r="I33" i="17" s="1"/>
  <c r="J33" i="17"/>
  <c r="J48" i="17"/>
  <c r="J46" i="17"/>
  <c r="H46" i="17"/>
  <c r="E46" i="18"/>
  <c r="F46" i="18"/>
  <c r="H25" i="17"/>
  <c r="G25" i="17"/>
  <c r="I25" i="17" s="1"/>
  <c r="J25" i="17"/>
  <c r="G48" i="17"/>
  <c r="I48" i="17" s="1"/>
  <c r="H45" i="17"/>
  <c r="J45" i="17"/>
  <c r="G45" i="17"/>
  <c r="I45" i="17" s="1"/>
  <c r="G23" i="17"/>
  <c r="I23" i="17" s="1"/>
  <c r="E23" i="18"/>
  <c r="F23" i="18"/>
  <c r="H30" i="17"/>
  <c r="G30" i="17"/>
  <c r="I30" i="17" s="1"/>
  <c r="J30" i="17"/>
  <c r="F22" i="18"/>
  <c r="E22" i="18"/>
  <c r="H33" i="17"/>
  <c r="F45" i="18"/>
  <c r="E45" i="18"/>
  <c r="G24" i="17"/>
  <c r="I24" i="17" s="1"/>
  <c r="H24" i="17"/>
  <c r="J24" i="17"/>
  <c r="G35" i="17"/>
  <c r="I35" i="17" s="1"/>
  <c r="H35" i="17"/>
  <c r="J35" i="17"/>
  <c r="G36" i="17"/>
  <c r="I36" i="17" s="1"/>
  <c r="F51" i="18"/>
  <c r="E51" i="18"/>
  <c r="E25" i="18"/>
  <c r="F25" i="18"/>
  <c r="F35" i="18"/>
  <c r="E35" i="18"/>
  <c r="G52" i="17"/>
  <c r="I52" i="17" s="1"/>
  <c r="J52" i="17"/>
  <c r="H52" i="17"/>
  <c r="H48" i="17"/>
  <c r="F28" i="18"/>
  <c r="E28" i="18"/>
  <c r="E49" i="18"/>
  <c r="F49" i="18"/>
  <c r="H47" i="17"/>
  <c r="J47" i="17"/>
  <c r="G47" i="17"/>
  <c r="I47" i="17" s="1"/>
  <c r="F38" i="18"/>
  <c r="E38" i="18"/>
  <c r="G27" i="18"/>
  <c r="J26" i="17"/>
  <c r="H26" i="17"/>
  <c r="G26" i="17"/>
  <c r="I26" i="17" s="1"/>
  <c r="E39" i="18"/>
  <c r="F39" i="18"/>
  <c r="H23" i="17"/>
  <c r="J23" i="17"/>
  <c r="E48" i="18"/>
  <c r="F48" i="18"/>
  <c r="J38" i="17"/>
  <c r="G38" i="17"/>
  <c r="I38" i="17" s="1"/>
  <c r="H38" i="17"/>
  <c r="E40" i="18"/>
  <c r="F40" i="18"/>
  <c r="H29" i="17"/>
  <c r="J29" i="17"/>
  <c r="G29" i="17"/>
  <c r="I29" i="17" s="1"/>
  <c r="H36" i="17"/>
  <c r="F33" i="18"/>
  <c r="E33" i="18"/>
  <c r="G51" i="17"/>
  <c r="I51" i="17" s="1"/>
  <c r="J51" i="17"/>
  <c r="H51" i="17"/>
  <c r="F26" i="18"/>
  <c r="E26" i="18"/>
  <c r="E34" i="18"/>
  <c r="F34" i="18"/>
  <c r="H27" i="18"/>
  <c r="J27" i="17"/>
  <c r="H27" i="17"/>
  <c r="G27" i="17"/>
  <c r="I27" i="17" s="1"/>
  <c r="F37" i="18"/>
  <c r="E37" i="18"/>
  <c r="J39" i="17"/>
  <c r="H39" i="17"/>
  <c r="G39" i="17"/>
  <c r="I39" i="17" s="1"/>
  <c r="F30" i="18"/>
  <c r="E30" i="18"/>
  <c r="J34" i="17"/>
  <c r="G34" i="17"/>
  <c r="I34" i="17" s="1"/>
  <c r="H34" i="17"/>
  <c r="E36" i="18"/>
  <c r="F36" i="18"/>
  <c r="H50" i="17"/>
  <c r="J50" i="17"/>
  <c r="G50" i="17"/>
  <c r="I50" i="17" s="1"/>
  <c r="E52" i="18"/>
  <c r="F52" i="18"/>
  <c r="H49" i="17"/>
  <c r="J49" i="17"/>
  <c r="G49" i="17"/>
  <c r="I49" i="17" s="1"/>
  <c r="H40" i="17"/>
  <c r="G40" i="17"/>
  <c r="I40" i="17" s="1"/>
  <c r="J40" i="17"/>
  <c r="E41" i="18"/>
  <c r="F41" i="18"/>
  <c r="E24" i="18"/>
  <c r="F24" i="18"/>
  <c r="F29" i="18"/>
  <c r="E29" i="18"/>
  <c r="F47" i="18"/>
  <c r="E47" i="18"/>
  <c r="F50" i="18"/>
  <c r="E50" i="18"/>
  <c r="H28" i="17"/>
  <c r="J28" i="17"/>
  <c r="G28" i="17"/>
  <c r="I28" i="17" s="1"/>
  <c r="G22" i="17"/>
  <c r="I22" i="17" s="1"/>
  <c r="H22" i="17"/>
  <c r="J22" i="17"/>
  <c r="H37" i="17"/>
  <c r="J37" i="17"/>
  <c r="G37" i="17"/>
  <c r="I37" i="17" s="1"/>
  <c r="B16" i="4"/>
  <c r="D32" i="5" s="1"/>
  <c r="T16" i="4"/>
  <c r="T22" i="4"/>
  <c r="X16" i="4"/>
  <c r="X22" i="4"/>
  <c r="X19" i="4"/>
  <c r="X20" i="4"/>
  <c r="AH15" i="4"/>
  <c r="X14" i="4"/>
  <c r="AH21" i="4"/>
  <c r="AH13" i="4"/>
  <c r="AC20" i="4"/>
  <c r="AC15" i="4"/>
  <c r="AC13" i="4"/>
  <c r="AC16" i="4"/>
  <c r="AC22" i="4"/>
  <c r="AC21" i="4"/>
  <c r="AC17" i="4"/>
  <c r="T17" i="4"/>
  <c r="T21" i="4"/>
  <c r="AC19" i="4"/>
  <c r="AC14" i="4"/>
  <c r="X13" i="4"/>
  <c r="T15" i="4"/>
  <c r="T20" i="4"/>
  <c r="X21" i="4"/>
  <c r="X18" i="4"/>
  <c r="Z19" i="4"/>
  <c r="T14" i="4"/>
  <c r="T19" i="4"/>
  <c r="T13" i="4"/>
  <c r="Z22" i="4"/>
  <c r="T18" i="4"/>
  <c r="X17" i="4"/>
  <c r="X12" i="4"/>
  <c r="AH14" i="4"/>
  <c r="AH19" i="4"/>
  <c r="Z17" i="4"/>
  <c r="Z16" i="4"/>
  <c r="Z21" i="4"/>
  <c r="Z12" i="4"/>
  <c r="Z20" i="4"/>
  <c r="Z14" i="4"/>
  <c r="AH18" i="4"/>
  <c r="AH22" i="4"/>
  <c r="AH16" i="4"/>
  <c r="Z15" i="4"/>
  <c r="Z13" i="4"/>
  <c r="AH17" i="4"/>
  <c r="AH12" i="4"/>
  <c r="AJ19" i="4"/>
  <c r="AJ15" i="4"/>
  <c r="AJ22" i="4"/>
  <c r="AJ18" i="4"/>
  <c r="AJ14" i="4"/>
  <c r="AJ21" i="4"/>
  <c r="AJ20" i="4"/>
  <c r="AK20" i="4" s="1"/>
  <c r="AJ17" i="4"/>
  <c r="AJ16" i="4"/>
  <c r="AJ13" i="4"/>
  <c r="AJ12" i="4"/>
  <c r="V20" i="4"/>
  <c r="V16" i="4"/>
  <c r="V19" i="4"/>
  <c r="V15" i="4"/>
  <c r="V13" i="4"/>
  <c r="V22" i="4"/>
  <c r="V21" i="4"/>
  <c r="V18" i="4"/>
  <c r="V17" i="4"/>
  <c r="V14" i="4"/>
  <c r="G50" i="18" l="1"/>
  <c r="G46" i="18"/>
  <c r="H24" i="18"/>
  <c r="H36" i="18"/>
  <c r="G26" i="18"/>
  <c r="G52" i="18"/>
  <c r="G47" i="18"/>
  <c r="H30" i="18"/>
  <c r="D42" i="17"/>
  <c r="H50" i="18"/>
  <c r="G29" i="18"/>
  <c r="H34" i="18"/>
  <c r="G23" i="18"/>
  <c r="D42" i="18"/>
  <c r="G42" i="18" s="1"/>
  <c r="D20" i="20"/>
  <c r="E32" i="5"/>
  <c r="D42" i="19"/>
  <c r="D22" i="5"/>
  <c r="H37" i="18"/>
  <c r="G38" i="18"/>
  <c r="H35" i="18"/>
  <c r="H51" i="18"/>
  <c r="H46" i="18"/>
  <c r="H48" i="18"/>
  <c r="H39" i="18"/>
  <c r="G30" i="18"/>
  <c r="G34" i="18"/>
  <c r="G39" i="18"/>
  <c r="H49" i="18"/>
  <c r="G51" i="18"/>
  <c r="G41" i="18"/>
  <c r="G24" i="18"/>
  <c r="G37" i="18"/>
  <c r="G33" i="18"/>
  <c r="G40" i="18"/>
  <c r="G48" i="18"/>
  <c r="H38" i="18"/>
  <c r="G28" i="18"/>
  <c r="G22" i="18"/>
  <c r="D21" i="17"/>
  <c r="E44" i="17"/>
  <c r="D32" i="18"/>
  <c r="D32" i="16"/>
  <c r="F32" i="16" s="1"/>
  <c r="D43" i="20"/>
  <c r="D43" i="17"/>
  <c r="D31" i="18"/>
  <c r="G31" i="18" s="1"/>
  <c r="D33" i="5"/>
  <c r="D21" i="5"/>
  <c r="E42" i="17"/>
  <c r="D42" i="20"/>
  <c r="D42" i="16"/>
  <c r="E20" i="17"/>
  <c r="D32" i="19"/>
  <c r="E43" i="5"/>
  <c r="G36" i="18"/>
  <c r="D21" i="18"/>
  <c r="D44" i="19"/>
  <c r="D20" i="19"/>
  <c r="D45" i="5"/>
  <c r="D44" i="16"/>
  <c r="F44" i="16" s="1"/>
  <c r="G25" i="18"/>
  <c r="H45" i="18"/>
  <c r="D43" i="16"/>
  <c r="F43" i="16" s="1"/>
  <c r="D21" i="16"/>
  <c r="F21" i="16" s="1"/>
  <c r="H23" i="18"/>
  <c r="D31" i="16"/>
  <c r="D20" i="16"/>
  <c r="H29" i="18"/>
  <c r="H41" i="18"/>
  <c r="D44" i="18"/>
  <c r="H52" i="18"/>
  <c r="D31" i="17"/>
  <c r="E22" i="5"/>
  <c r="H33" i="18"/>
  <c r="H40" i="18"/>
  <c r="D44" i="20"/>
  <c r="D44" i="17"/>
  <c r="E21" i="17"/>
  <c r="H28" i="18"/>
  <c r="G35" i="18"/>
  <c r="H25" i="18"/>
  <c r="D43" i="18"/>
  <c r="D31" i="20"/>
  <c r="E43" i="17"/>
  <c r="E44" i="5"/>
  <c r="D20" i="17"/>
  <c r="H47" i="18"/>
  <c r="D43" i="5"/>
  <c r="D20" i="18"/>
  <c r="G20" i="18" s="1"/>
  <c r="D44" i="5"/>
  <c r="E31" i="17"/>
  <c r="H26" i="18"/>
  <c r="E45" i="5"/>
  <c r="D32" i="17"/>
  <c r="E32" i="17"/>
  <c r="G49" i="18"/>
  <c r="E33" i="5"/>
  <c r="E21" i="5"/>
  <c r="G45" i="18"/>
  <c r="H22" i="18"/>
  <c r="D43" i="19"/>
  <c r="D31" i="19"/>
  <c r="AK21" i="4"/>
  <c r="AK15" i="4"/>
  <c r="AK14" i="4"/>
  <c r="AK19" i="4"/>
  <c r="AK13" i="4"/>
  <c r="AD14" i="4"/>
  <c r="AK12" i="4"/>
  <c r="AD21" i="4"/>
  <c r="AD15" i="4"/>
  <c r="AD17" i="4"/>
  <c r="AD22" i="4"/>
  <c r="AD19" i="4"/>
  <c r="AD18" i="4"/>
  <c r="AK18" i="4"/>
  <c r="AK22" i="4"/>
  <c r="AD13" i="4"/>
  <c r="AK17" i="4"/>
  <c r="AD12" i="4"/>
  <c r="AD16" i="4"/>
  <c r="AD20" i="4"/>
  <c r="AK16" i="4"/>
  <c r="F13" i="5"/>
  <c r="G13" i="5" s="1"/>
  <c r="F12" i="5"/>
  <c r="H12" i="5" s="1"/>
  <c r="F11" i="5"/>
  <c r="G11" i="5" s="1"/>
  <c r="F14" i="5"/>
  <c r="H14" i="5" s="1"/>
  <c r="H42" i="17" l="1"/>
  <c r="I42" i="17"/>
  <c r="E43" i="18"/>
  <c r="F43" i="18"/>
  <c r="E44" i="18"/>
  <c r="F44" i="18"/>
  <c r="E32" i="18"/>
  <c r="F32" i="18"/>
  <c r="G44" i="17"/>
  <c r="H44" i="17"/>
  <c r="G43" i="17"/>
  <c r="H43" i="17"/>
  <c r="D32" i="20"/>
  <c r="D21" i="20"/>
  <c r="D21" i="19"/>
  <c r="H32" i="17"/>
  <c r="G32" i="17"/>
  <c r="H20" i="17"/>
  <c r="I20" i="17"/>
  <c r="I31" i="17"/>
  <c r="H31" i="17"/>
  <c r="F21" i="18"/>
  <c r="E21" i="18"/>
  <c r="H21" i="17"/>
  <c r="G21" i="17"/>
  <c r="H13" i="5"/>
  <c r="G12" i="5"/>
  <c r="H11" i="5"/>
  <c r="I32" i="17" l="1"/>
  <c r="J32" i="17" s="1"/>
  <c r="I44" i="17"/>
  <c r="J44" i="17" s="1"/>
  <c r="I21" i="17"/>
  <c r="J21" i="17" s="1"/>
  <c r="G32" i="18"/>
  <c r="H32" i="18" s="1"/>
  <c r="G43" i="18"/>
  <c r="H43" i="18" s="1"/>
  <c r="G44" i="18"/>
  <c r="H44" i="18" s="1"/>
  <c r="I43" i="17"/>
  <c r="J43" i="17" s="1"/>
  <c r="G21" i="18"/>
  <c r="H21" i="18" s="1"/>
  <c r="C9" i="20"/>
  <c r="D9" i="20" s="1"/>
  <c r="C4" i="20"/>
  <c r="C9" i="19" l="1"/>
  <c r="D9" i="19" s="1"/>
  <c r="C4" i="19"/>
  <c r="C9" i="18" l="1"/>
  <c r="D9" i="18" s="1"/>
  <c r="C4" i="18"/>
  <c r="C9" i="17" l="1"/>
  <c r="D9" i="17" s="1"/>
  <c r="C4" i="17"/>
  <c r="E9" i="17" l="1"/>
  <c r="C4" i="16"/>
  <c r="C4" i="5"/>
  <c r="I9" i="17" l="1"/>
  <c r="C9" i="16"/>
  <c r="D9" i="16" s="1"/>
  <c r="I13" i="5" l="1"/>
  <c r="I12" i="5"/>
  <c r="I11" i="5"/>
  <c r="F15" i="5"/>
  <c r="I15" i="5" s="1"/>
  <c r="F16" i="5"/>
  <c r="I16" i="5" s="1"/>
  <c r="F17" i="5"/>
  <c r="H17" i="5" s="1"/>
  <c r="F18" i="5"/>
  <c r="H18" i="5" s="1"/>
  <c r="F19" i="5"/>
  <c r="I19" i="5" s="1"/>
  <c r="F20" i="5"/>
  <c r="I20" i="5" s="1"/>
  <c r="F10" i="5"/>
  <c r="G10" i="5" s="1"/>
  <c r="G17" i="5" l="1"/>
  <c r="H15" i="5"/>
  <c r="H19" i="5"/>
  <c r="I17" i="5"/>
  <c r="G14" i="5"/>
  <c r="G18" i="5"/>
  <c r="H16" i="5"/>
  <c r="H20" i="5"/>
  <c r="I14" i="5"/>
  <c r="I18" i="5"/>
  <c r="G15" i="5"/>
  <c r="G19" i="5"/>
  <c r="G16" i="5"/>
  <c r="G20" i="5"/>
  <c r="I10" i="5"/>
  <c r="H10" i="5"/>
  <c r="J12" i="5"/>
  <c r="J13" i="5"/>
  <c r="J11" i="5"/>
  <c r="C10" i="20" l="1"/>
  <c r="J10" i="5"/>
  <c r="C10" i="18"/>
  <c r="C10" i="19"/>
  <c r="C10" i="16"/>
  <c r="C10" i="17"/>
  <c r="D10" i="19" l="1"/>
  <c r="D10" i="17"/>
  <c r="D10" i="20"/>
  <c r="F9" i="18"/>
  <c r="D10" i="18"/>
  <c r="E10" i="18" s="1"/>
  <c r="D10" i="16"/>
  <c r="F10" i="16" s="1"/>
  <c r="E9" i="18"/>
  <c r="E10" i="17"/>
  <c r="G10" i="17" l="1"/>
  <c r="H10" i="17"/>
  <c r="F10" i="18"/>
  <c r="G10" i="18" s="1"/>
  <c r="H10" i="18" s="1"/>
  <c r="G9" i="18"/>
  <c r="H9" i="18" s="1"/>
  <c r="I10" i="17" l="1"/>
  <c r="J10" i="17" s="1"/>
  <c r="M12" i="5" l="1"/>
  <c r="N12" i="5" s="1"/>
  <c r="M13" i="5"/>
  <c r="N13" i="5" s="1"/>
  <c r="M14" i="5"/>
  <c r="N14" i="5" s="1"/>
  <c r="M15" i="5"/>
  <c r="N15" i="5" s="1"/>
  <c r="M16" i="5"/>
  <c r="N16" i="5" s="1"/>
  <c r="M17" i="5"/>
  <c r="N17" i="5" s="1"/>
  <c r="M18" i="5"/>
  <c r="N18" i="5" s="1"/>
  <c r="M19" i="5"/>
  <c r="N19" i="5" s="1"/>
  <c r="M20" i="5"/>
  <c r="N20" i="5" s="1"/>
  <c r="M11" i="5"/>
  <c r="N11" i="5" s="1"/>
  <c r="C10" i="5"/>
  <c r="D10" i="5" s="1"/>
  <c r="C11" i="5"/>
  <c r="B101" i="7"/>
  <c r="H8" i="1"/>
  <c r="K8" i="1"/>
  <c r="U8" i="1" s="1"/>
  <c r="W8" i="1"/>
  <c r="H9" i="1"/>
  <c r="T9" i="1" s="1"/>
  <c r="K9" i="1"/>
  <c r="M9" i="1" s="1"/>
  <c r="V9" i="1"/>
  <c r="W9" i="1"/>
  <c r="H10" i="1"/>
  <c r="T10" i="1" s="1"/>
  <c r="K10" i="1"/>
  <c r="M10" i="1" s="1"/>
  <c r="V10" i="1"/>
  <c r="W10" i="1"/>
  <c r="H11" i="1"/>
  <c r="T11" i="1" s="1"/>
  <c r="K11" i="1"/>
  <c r="M11" i="1" s="1"/>
  <c r="V11" i="1"/>
  <c r="W11" i="1"/>
  <c r="H12" i="1"/>
  <c r="T12" i="1" s="1"/>
  <c r="K12" i="1"/>
  <c r="M12" i="1" s="1"/>
  <c r="V12" i="1"/>
  <c r="W12" i="1"/>
  <c r="H13" i="1"/>
  <c r="T13" i="1" s="1"/>
  <c r="K13" i="1"/>
  <c r="M13" i="1" s="1"/>
  <c r="V13" i="1"/>
  <c r="W13" i="1"/>
  <c r="H14" i="1"/>
  <c r="T14" i="1" s="1"/>
  <c r="K14" i="1"/>
  <c r="U14" i="1" s="1"/>
  <c r="V14" i="1"/>
  <c r="W14" i="1"/>
  <c r="H16" i="1"/>
  <c r="T16" i="1" s="1"/>
  <c r="K16" i="1"/>
  <c r="M16" i="1" s="1"/>
  <c r="V16" i="1"/>
  <c r="W16" i="1"/>
  <c r="H17" i="1"/>
  <c r="T17" i="1" s="1"/>
  <c r="K17" i="1"/>
  <c r="U17" i="1" s="1"/>
  <c r="V17" i="1"/>
  <c r="W17" i="1"/>
  <c r="H18" i="1"/>
  <c r="T18" i="1" s="1"/>
  <c r="K18" i="1"/>
  <c r="M18" i="1" s="1"/>
  <c r="V18" i="1"/>
  <c r="W18" i="1"/>
  <c r="H19" i="1"/>
  <c r="T19" i="1" s="1"/>
  <c r="K19" i="1"/>
  <c r="U19" i="1" s="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M25" i="1" s="1"/>
  <c r="V25" i="1"/>
  <c r="W25" i="1"/>
  <c r="H26" i="1"/>
  <c r="K26" i="1"/>
  <c r="M26" i="1" s="1"/>
  <c r="R26" i="1"/>
  <c r="V26" i="1" s="1"/>
  <c r="T26" i="1"/>
  <c r="W26" i="1"/>
  <c r="H28" i="1"/>
  <c r="T28" i="1" s="1"/>
  <c r="K28" i="1"/>
  <c r="U28" i="1" s="1"/>
  <c r="V28" i="1"/>
  <c r="W28" i="1"/>
  <c r="H29" i="1"/>
  <c r="T29" i="1" s="1"/>
  <c r="K29" i="1"/>
  <c r="M29" i="1" s="1"/>
  <c r="V29" i="1"/>
  <c r="W29" i="1"/>
  <c r="H30" i="1"/>
  <c r="T30" i="1" s="1"/>
  <c r="K30" i="1"/>
  <c r="U30" i="1" s="1"/>
  <c r="V30" i="1"/>
  <c r="W30" i="1"/>
  <c r="G31" i="1"/>
  <c r="H31" i="1" s="1"/>
  <c r="T31" i="1" s="1"/>
  <c r="K31" i="1"/>
  <c r="M31" i="1" s="1"/>
  <c r="V31" i="1"/>
  <c r="W31" i="1"/>
  <c r="U21" i="1"/>
  <c r="U11" i="1"/>
  <c r="U20" i="1"/>
  <c r="U12" i="1"/>
  <c r="U9" i="1"/>
  <c r="U18" i="1"/>
  <c r="U25" i="1" l="1"/>
  <c r="L8" i="1"/>
  <c r="M19" i="1"/>
  <c r="U10" i="1"/>
  <c r="U31" i="1"/>
  <c r="U16" i="1"/>
  <c r="L11" i="5"/>
  <c r="D11" i="5"/>
  <c r="U24" i="1"/>
  <c r="M17" i="1"/>
  <c r="M14" i="1"/>
  <c r="U23" i="1"/>
  <c r="M30" i="1"/>
  <c r="E10" i="5"/>
  <c r="T8" i="1"/>
  <c r="C18" i="19"/>
  <c r="D18" i="19" s="1"/>
  <c r="C18" i="20"/>
  <c r="D18" i="20" s="1"/>
  <c r="C15" i="19"/>
  <c r="D15" i="19" s="1"/>
  <c r="C15" i="20"/>
  <c r="D15" i="20" s="1"/>
  <c r="C13" i="19"/>
  <c r="D13" i="19" s="1"/>
  <c r="C13" i="20"/>
  <c r="D13" i="20" s="1"/>
  <c r="C12" i="19"/>
  <c r="D12" i="19" s="1"/>
  <c r="C12" i="20"/>
  <c r="D12" i="20" s="1"/>
  <c r="C19" i="19"/>
  <c r="D19" i="19" s="1"/>
  <c r="C19" i="20"/>
  <c r="D19" i="20" s="1"/>
  <c r="C16" i="19"/>
  <c r="D16" i="19" s="1"/>
  <c r="C16" i="20"/>
  <c r="D16" i="20" s="1"/>
  <c r="K11" i="5"/>
  <c r="C14" i="19"/>
  <c r="D14" i="19" s="1"/>
  <c r="C14" i="20"/>
  <c r="D14" i="20" s="1"/>
  <c r="C11" i="19"/>
  <c r="C11" i="20"/>
  <c r="C17" i="19"/>
  <c r="D17" i="19" s="1"/>
  <c r="C17" i="20"/>
  <c r="D17" i="20" s="1"/>
  <c r="Q11" i="5"/>
  <c r="O11" i="5"/>
  <c r="P11" i="5"/>
  <c r="E11" i="5"/>
  <c r="C13" i="17"/>
  <c r="D13" i="17" s="1"/>
  <c r="C13" i="18"/>
  <c r="D13" i="18" s="1"/>
  <c r="C17" i="17"/>
  <c r="D17" i="17" s="1"/>
  <c r="C17" i="18"/>
  <c r="D17" i="18" s="1"/>
  <c r="C16" i="17"/>
  <c r="C16" i="18"/>
  <c r="D16" i="18" s="1"/>
  <c r="C14" i="17"/>
  <c r="C14" i="18"/>
  <c r="D14" i="18" s="1"/>
  <c r="C11" i="17"/>
  <c r="C11" i="18"/>
  <c r="C18" i="17"/>
  <c r="D18" i="17" s="1"/>
  <c r="C18" i="18"/>
  <c r="D18" i="18" s="1"/>
  <c r="C15" i="17"/>
  <c r="C15" i="18"/>
  <c r="D15" i="18" s="1"/>
  <c r="C19" i="17"/>
  <c r="C19" i="18"/>
  <c r="D19" i="18" s="1"/>
  <c r="C12" i="18"/>
  <c r="D12" i="18" s="1"/>
  <c r="C18" i="5"/>
  <c r="D18" i="5" s="1"/>
  <c r="C17" i="16"/>
  <c r="C17" i="5"/>
  <c r="D17" i="5" s="1"/>
  <c r="C16" i="16"/>
  <c r="C13" i="5"/>
  <c r="D13" i="5" s="1"/>
  <c r="C12" i="16"/>
  <c r="C15" i="5"/>
  <c r="D15" i="5" s="1"/>
  <c r="C14" i="16"/>
  <c r="C12" i="5"/>
  <c r="D12" i="5" s="1"/>
  <c r="C11" i="16"/>
  <c r="C19" i="5"/>
  <c r="D19" i="5" s="1"/>
  <c r="C18" i="16"/>
  <c r="C16" i="5"/>
  <c r="D16" i="5" s="1"/>
  <c r="C15" i="16"/>
  <c r="C14" i="5"/>
  <c r="D14" i="5" s="1"/>
  <c r="C13" i="16"/>
  <c r="C20" i="5"/>
  <c r="D20" i="5" s="1"/>
  <c r="C19" i="16"/>
  <c r="N10" i="5"/>
  <c r="V8" i="1"/>
  <c r="M8" i="1"/>
  <c r="U29" i="1"/>
  <c r="M28" i="1"/>
  <c r="U13" i="1"/>
  <c r="U26" i="1"/>
  <c r="O10" i="5"/>
  <c r="P10" i="5" s="1"/>
  <c r="D11" i="16" l="1"/>
  <c r="O44" i="5"/>
  <c r="O45" i="5"/>
  <c r="O22" i="5"/>
  <c r="O33" i="5"/>
  <c r="D11" i="18"/>
  <c r="E11" i="18" s="1"/>
  <c r="P33" i="5"/>
  <c r="P44" i="5"/>
  <c r="P22" i="5"/>
  <c r="P45" i="5"/>
  <c r="D11" i="20"/>
  <c r="K51" i="5"/>
  <c r="K34" i="5"/>
  <c r="K29" i="5"/>
  <c r="K28" i="5"/>
  <c r="K23" i="5"/>
  <c r="K47" i="5"/>
  <c r="K26" i="5"/>
  <c r="K33" i="5"/>
  <c r="K31" i="5"/>
  <c r="K48" i="5"/>
  <c r="K52" i="5"/>
  <c r="K50" i="5"/>
  <c r="K27" i="5"/>
  <c r="K30" i="5"/>
  <c r="K35" i="5"/>
  <c r="K42" i="5"/>
  <c r="K24" i="5"/>
  <c r="K39" i="5"/>
  <c r="K25" i="5"/>
  <c r="K53" i="5"/>
  <c r="K38" i="5"/>
  <c r="K41" i="5"/>
  <c r="K49" i="5"/>
  <c r="K37" i="5"/>
  <c r="K22" i="5"/>
  <c r="K46" i="5"/>
  <c r="K36" i="5"/>
  <c r="K40" i="5"/>
  <c r="K45" i="5"/>
  <c r="D11" i="17"/>
  <c r="D11" i="19"/>
  <c r="Q36" i="5"/>
  <c r="Q30" i="5"/>
  <c r="Q52" i="5"/>
  <c r="Q31" i="5"/>
  <c r="Q49" i="5"/>
  <c r="Q50" i="5"/>
  <c r="Q33" i="5"/>
  <c r="Q28" i="5"/>
  <c r="Q29" i="5"/>
  <c r="Q24" i="5"/>
  <c r="Q41" i="5"/>
  <c r="Q35" i="5"/>
  <c r="Q51" i="5"/>
  <c r="Q26" i="5"/>
  <c r="Q23" i="5"/>
  <c r="Q42" i="5"/>
  <c r="Q48" i="5"/>
  <c r="Q27" i="5"/>
  <c r="Q38" i="5"/>
  <c r="Q37" i="5"/>
  <c r="Q53" i="5"/>
  <c r="Q39" i="5"/>
  <c r="Q46" i="5"/>
  <c r="Q47" i="5"/>
  <c r="Q25" i="5"/>
  <c r="Q34" i="5"/>
  <c r="Q40" i="5"/>
  <c r="D19" i="16"/>
  <c r="F19" i="16" s="1"/>
  <c r="D15" i="16"/>
  <c r="F15" i="16" s="1"/>
  <c r="D12" i="16"/>
  <c r="F12" i="16" s="1"/>
  <c r="D17" i="16"/>
  <c r="F17" i="16" s="1"/>
  <c r="E19" i="17"/>
  <c r="D19" i="17"/>
  <c r="E14" i="17"/>
  <c r="D14" i="17"/>
  <c r="D13" i="16"/>
  <c r="F13" i="16" s="1"/>
  <c r="D18" i="16"/>
  <c r="F18" i="16" s="1"/>
  <c r="D14" i="16"/>
  <c r="F14" i="16" s="1"/>
  <c r="D16" i="16"/>
  <c r="F16" i="16" s="1"/>
  <c r="E15" i="17"/>
  <c r="D15" i="17"/>
  <c r="E16" i="17"/>
  <c r="D16" i="17"/>
  <c r="C12" i="17"/>
  <c r="L45" i="5" s="1"/>
  <c r="E11" i="17"/>
  <c r="F11" i="16"/>
  <c r="O53" i="5" s="1"/>
  <c r="E19" i="5"/>
  <c r="K17" i="5"/>
  <c r="K20" i="5"/>
  <c r="K16" i="5"/>
  <c r="K12" i="5"/>
  <c r="K13" i="5"/>
  <c r="K18" i="5"/>
  <c r="Q15" i="5"/>
  <c r="K15" i="5"/>
  <c r="E15" i="5"/>
  <c r="E14" i="5"/>
  <c r="K14" i="5"/>
  <c r="Q19" i="5"/>
  <c r="K19" i="5"/>
  <c r="E13" i="17"/>
  <c r="G13" i="17" s="1"/>
  <c r="R11" i="5"/>
  <c r="Q14" i="5"/>
  <c r="E17" i="5"/>
  <c r="Q17" i="5"/>
  <c r="E20" i="5"/>
  <c r="Q20" i="5"/>
  <c r="Q16" i="5"/>
  <c r="E12" i="5"/>
  <c r="Q12" i="5"/>
  <c r="Q13" i="5"/>
  <c r="Q18" i="5"/>
  <c r="F12" i="18"/>
  <c r="E12" i="18"/>
  <c r="F15" i="18"/>
  <c r="E15" i="18"/>
  <c r="F16" i="18"/>
  <c r="E16" i="18"/>
  <c r="E13" i="18"/>
  <c r="F13" i="18"/>
  <c r="F19" i="18"/>
  <c r="E19" i="18"/>
  <c r="F18" i="18"/>
  <c r="E18" i="18"/>
  <c r="F14" i="18"/>
  <c r="E14" i="18"/>
  <c r="E17" i="18"/>
  <c r="F17" i="18"/>
  <c r="E17" i="17"/>
  <c r="E18" i="5"/>
  <c r="E13" i="5"/>
  <c r="E18" i="17"/>
  <c r="J18" i="17" s="1"/>
  <c r="E16" i="5"/>
  <c r="J18" i="5"/>
  <c r="J16" i="5"/>
  <c r="J19" i="5"/>
  <c r="J14" i="5"/>
  <c r="J20" i="5"/>
  <c r="J15" i="5"/>
  <c r="J17" i="5"/>
  <c r="L33" i="5" l="1"/>
  <c r="R33" i="5" s="1"/>
  <c r="O23" i="5"/>
  <c r="O49" i="5"/>
  <c r="O40" i="5"/>
  <c r="O35" i="5"/>
  <c r="O41" i="5"/>
  <c r="O29" i="5"/>
  <c r="O48" i="5"/>
  <c r="L22" i="5"/>
  <c r="R22" i="5" s="1"/>
  <c r="L44" i="5"/>
  <c r="R44" i="5" s="1"/>
  <c r="O52" i="5"/>
  <c r="O28" i="5"/>
  <c r="O30" i="5"/>
  <c r="O34" i="5"/>
  <c r="O50" i="5"/>
  <c r="O38" i="5"/>
  <c r="O39" i="5"/>
  <c r="O25" i="5"/>
  <c r="O47" i="5"/>
  <c r="O36" i="5"/>
  <c r="O27" i="5"/>
  <c r="O37" i="5"/>
  <c r="O51" i="5"/>
  <c r="O42" i="5"/>
  <c r="R45" i="5"/>
  <c r="O24" i="5"/>
  <c r="O31" i="5"/>
  <c r="O26" i="5"/>
  <c r="O46" i="5"/>
  <c r="G19" i="17"/>
  <c r="I19" i="17" s="1"/>
  <c r="G14" i="17"/>
  <c r="I14" i="17" s="1"/>
  <c r="G16" i="17"/>
  <c r="I16" i="17" s="1"/>
  <c r="G15" i="17"/>
  <c r="I15" i="17" s="1"/>
  <c r="E12" i="17"/>
  <c r="D12" i="17"/>
  <c r="O15" i="5"/>
  <c r="O18" i="5"/>
  <c r="O16" i="5"/>
  <c r="O17" i="5"/>
  <c r="G11" i="17"/>
  <c r="O12" i="5"/>
  <c r="F11" i="18"/>
  <c r="G11" i="18" s="1"/>
  <c r="H11" i="18" s="1"/>
  <c r="O19" i="5"/>
  <c r="O13" i="5"/>
  <c r="O20" i="5"/>
  <c r="O14" i="5"/>
  <c r="J15" i="17"/>
  <c r="J13" i="17"/>
  <c r="J16" i="17"/>
  <c r="G17" i="17"/>
  <c r="I17" i="17" s="1"/>
  <c r="I13" i="17"/>
  <c r="G18" i="17"/>
  <c r="I18" i="17" s="1"/>
  <c r="H14" i="17"/>
  <c r="H17" i="17"/>
  <c r="H15" i="17"/>
  <c r="H19" i="17"/>
  <c r="H13" i="17"/>
  <c r="H18" i="17"/>
  <c r="H11" i="17"/>
  <c r="H16" i="17"/>
  <c r="H17" i="18"/>
  <c r="G12" i="18"/>
  <c r="H12" i="18" s="1"/>
  <c r="G14" i="18"/>
  <c r="G19" i="18"/>
  <c r="G15" i="18"/>
  <c r="G16" i="18"/>
  <c r="G18" i="18"/>
  <c r="G17" i="18"/>
  <c r="G13" i="18"/>
  <c r="H13" i="18" s="1"/>
  <c r="H16" i="18"/>
  <c r="H14" i="18"/>
  <c r="H19" i="18"/>
  <c r="H15" i="18"/>
  <c r="H18" i="18"/>
  <c r="J14" i="17"/>
  <c r="J17" i="17"/>
  <c r="H9" i="17"/>
  <c r="J19" i="17"/>
  <c r="P34" i="5" l="1"/>
  <c r="P48" i="5"/>
  <c r="P23" i="5"/>
  <c r="P36" i="5"/>
  <c r="P24" i="5"/>
  <c r="P50" i="5"/>
  <c r="P29" i="5"/>
  <c r="P51" i="5"/>
  <c r="P35" i="5"/>
  <c r="P30" i="5"/>
  <c r="P25" i="5"/>
  <c r="P52" i="5"/>
  <c r="P39" i="5"/>
  <c r="P28" i="5"/>
  <c r="P27" i="5"/>
  <c r="P42" i="5"/>
  <c r="P49" i="5"/>
  <c r="P46" i="5"/>
  <c r="P53" i="5"/>
  <c r="P41" i="5"/>
  <c r="P40" i="5"/>
  <c r="P47" i="5"/>
  <c r="P31" i="5"/>
  <c r="P26" i="5"/>
  <c r="P37" i="5"/>
  <c r="P38" i="5"/>
  <c r="G12" i="17"/>
  <c r="H12" i="17"/>
  <c r="I11" i="17"/>
  <c r="J11" i="17" s="1"/>
  <c r="P17" i="5"/>
  <c r="P13" i="5"/>
  <c r="P16" i="5"/>
  <c r="P12" i="5"/>
  <c r="P20" i="5"/>
  <c r="P19" i="5"/>
  <c r="P15" i="5"/>
  <c r="P18" i="5"/>
  <c r="P14" i="5"/>
  <c r="L28" i="5" l="1"/>
  <c r="R28" i="5" s="1"/>
  <c r="L35" i="5"/>
  <c r="R35" i="5" s="1"/>
  <c r="L48" i="5"/>
  <c r="R48" i="5" s="1"/>
  <c r="L47" i="5"/>
  <c r="R47" i="5" s="1"/>
  <c r="L42" i="5"/>
  <c r="R42" i="5" s="1"/>
  <c r="L25" i="5"/>
  <c r="R25" i="5" s="1"/>
  <c r="L37" i="5"/>
  <c r="R37" i="5" s="1"/>
  <c r="L23" i="5"/>
  <c r="R23" i="5" s="1"/>
  <c r="L53" i="5"/>
  <c r="R53" i="5" s="1"/>
  <c r="L51" i="5"/>
  <c r="R51" i="5" s="1"/>
  <c r="L50" i="5"/>
  <c r="R50" i="5" s="1"/>
  <c r="L30" i="5"/>
  <c r="R30" i="5" s="1"/>
  <c r="L46" i="5"/>
  <c r="R46" i="5" s="1"/>
  <c r="L24" i="5"/>
  <c r="R24" i="5" s="1"/>
  <c r="L29" i="5"/>
  <c r="R29" i="5" s="1"/>
  <c r="L34" i="5"/>
  <c r="R34" i="5" s="1"/>
  <c r="L38" i="5"/>
  <c r="R38" i="5" s="1"/>
  <c r="L39" i="5"/>
  <c r="R39" i="5" s="1"/>
  <c r="L49" i="5"/>
  <c r="R49" i="5" s="1"/>
  <c r="L31" i="5"/>
  <c r="R31" i="5" s="1"/>
  <c r="L26" i="5"/>
  <c r="R26" i="5" s="1"/>
  <c r="L52" i="5"/>
  <c r="R52" i="5" s="1"/>
  <c r="L41" i="5"/>
  <c r="R41" i="5" s="1"/>
  <c r="L36" i="5"/>
  <c r="R36" i="5" s="1"/>
  <c r="L40" i="5"/>
  <c r="R40" i="5" s="1"/>
  <c r="L27" i="5"/>
  <c r="R27" i="5" s="1"/>
  <c r="I12" i="17"/>
  <c r="J12" i="17" s="1"/>
  <c r="L14" i="5" s="1"/>
  <c r="R14" i="5" s="1"/>
  <c r="L12" i="5"/>
  <c r="R12" i="5" s="1"/>
  <c r="R32" i="5" l="1"/>
  <c r="S32" i="5" s="1"/>
  <c r="R21" i="5"/>
  <c r="S21" i="5" s="1"/>
  <c r="R43" i="5"/>
  <c r="S43" i="5" s="1"/>
  <c r="L17" i="5"/>
  <c r="R17" i="5" s="1"/>
  <c r="L20" i="5"/>
  <c r="R20" i="5" s="1"/>
  <c r="L15" i="5"/>
  <c r="R15" i="5" s="1"/>
  <c r="L16" i="5"/>
  <c r="R16" i="5" s="1"/>
  <c r="L19" i="5"/>
  <c r="R19" i="5" s="1"/>
  <c r="L13" i="5"/>
  <c r="R13" i="5" s="1"/>
  <c r="L18" i="5"/>
  <c r="R18" i="5" s="1"/>
  <c r="R10" i="5" l="1"/>
  <c r="S10" i="5" s="1"/>
</calcChain>
</file>

<file path=xl/sharedStrings.xml><?xml version="1.0" encoding="utf-8"?>
<sst xmlns="http://schemas.openxmlformats.org/spreadsheetml/2006/main" count="337" uniqueCount="266">
  <si>
    <t>N</t>
  </si>
  <si>
    <t>PLAZO</t>
  </si>
  <si>
    <t>(%)</t>
  </si>
  <si>
    <t>En Pesos Colombianos</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</si>
  <si>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</si>
  <si>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</si>
  <si>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</si>
  <si>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</si>
  <si>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</si>
  <si>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</si>
  <si>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</si>
  <si>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</si>
  <si>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</si>
  <si>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</si>
  <si>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</si>
  <si>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</si>
  <si>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</si>
  <si>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</si>
  <si>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</si>
  <si>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</si>
  <si>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</si>
  <si>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</si>
  <si>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</si>
  <si>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</si>
  <si>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</si>
  <si>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</si>
  <si>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</si>
  <si>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</si>
  <si>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</si>
  <si>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</si>
  <si>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</si>
  <si>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</si>
  <si>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</si>
  <si>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</si>
  <si>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</si>
  <si>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</si>
  <si>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</si>
  <si>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</si>
  <si>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</si>
  <si>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</si>
  <si>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</si>
  <si>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</si>
  <si>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</si>
  <si>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</si>
  <si>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</si>
  <si>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</si>
  <si>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</si>
  <si>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</si>
  <si>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</si>
  <si>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</si>
  <si>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</si>
  <si>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</si>
  <si>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</si>
  <si>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</si>
  <si>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</si>
  <si>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</si>
  <si>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</si>
  <si>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</si>
  <si>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</si>
  <si>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</si>
  <si>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</si>
  <si>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</si>
  <si>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</si>
  <si>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</si>
  <si>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</si>
  <si>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</si>
  <si>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</si>
  <si>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</si>
  <si>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</si>
  <si>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</si>
  <si>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</si>
  <si>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</si>
  <si>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</si>
  <si>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</si>
  <si>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</si>
  <si>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</si>
  <si>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</si>
  <si>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</si>
  <si>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</si>
  <si>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</si>
  <si>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</si>
  <si>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</si>
  <si>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</si>
  <si>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</si>
  <si>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</si>
  <si>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</si>
  <si>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</si>
  <si>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</si>
  <si>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</si>
  <si>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</si>
  <si>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</si>
  <si>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</si>
  <si>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</si>
  <si>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</si>
  <si>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</si>
  <si>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</si>
  <si>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</si>
  <si>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</si>
  <si>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</si>
  <si>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</si>
  <si>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</si>
  <si>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</si>
  <si>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</si>
  <si>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</si>
  <si>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</si>
  <si>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</si>
  <si>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</si>
  <si>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</si>
  <si>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</si>
  <si>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</si>
  <si>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</si>
  <si>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</si>
  <si>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</si>
  <si>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</si>
  <si>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</si>
  <si>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</si>
  <si>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</si>
  <si>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</si>
  <si>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</si>
  <si>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</si>
  <si>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</si>
  <si>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</si>
  <si>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</si>
  <si>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</si>
  <si>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</si>
  <si>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</si>
  <si>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</si>
  <si>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</si>
  <si>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</si>
  <si>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</si>
  <si>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</si>
  <si>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</si>
  <si>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</si>
  <si>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</si>
  <si>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</si>
  <si>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</si>
  <si>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</si>
  <si>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</si>
  <si>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</si>
  <si>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</si>
  <si>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</si>
  <si>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</si>
  <si>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</si>
  <si>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</si>
  <si>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</si>
  <si>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</si>
  <si>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</si>
  <si>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</si>
  <si>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</si>
  <si>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EVALUACIÓN FINANCIERA</t>
  </si>
  <si>
    <t xml:space="preserve">INSTITUTO NACIONAL DE VIAS </t>
  </si>
  <si>
    <t>INDICE-ENDEUDAMIENTO</t>
  </si>
  <si>
    <t>DATOS DEL INTERESADO</t>
  </si>
  <si>
    <t>RESULTADO</t>
  </si>
  <si>
    <t>INDICADOR</t>
  </si>
  <si>
    <t>ACTIVO TOTAL</t>
  </si>
  <si>
    <t>PASIVO TOTAL</t>
  </si>
  <si>
    <t>PROPONENTE</t>
  </si>
  <si>
    <t>OFERTA</t>
  </si>
  <si>
    <t>PASIVO CORRIENTE</t>
  </si>
  <si>
    <t>ACTIVO CORRIENTE</t>
  </si>
  <si>
    <t>Req. Min. Solvencia: &gt; =</t>
  </si>
  <si>
    <t>INFORMACIÓN  FINANCIERA - RUP</t>
  </si>
  <si>
    <t>MÓDULO</t>
  </si>
  <si>
    <t>INDICE-LIQUIDEZ</t>
  </si>
  <si>
    <t>Modulo</t>
  </si>
  <si>
    <t>PO</t>
  </si>
  <si>
    <t>VALOR PRESUPUESTO OFICIAL ANUAL(PO)</t>
  </si>
  <si>
    <t>Fórmula: Liquidez=AC/PC&gt;=1,2</t>
  </si>
  <si>
    <t>PORCENTAJE DE PARTICIPACION</t>
  </si>
  <si>
    <t>MODULOS ADJUDICADOS</t>
  </si>
  <si>
    <t>VALOR CAPITAL DE TRABAJO DEMANDADO MODULOS ADJUDICADOS</t>
  </si>
  <si>
    <t>VALOR PATRIMONIO REQUERIDO MODULOS ADJUDICADOS</t>
  </si>
  <si>
    <t>CALIDAD DE MIPYME</t>
  </si>
  <si>
    <t>SMMLV 2011</t>
  </si>
  <si>
    <t>SMMLV 2012</t>
  </si>
  <si>
    <t>CALIDAD DE MIPYME EN SMMLV</t>
  </si>
  <si>
    <t>HABIL/NO HABIL</t>
  </si>
  <si>
    <t>HABIL  / NO HABIL</t>
  </si>
  <si>
    <t>UTILIDAD OPERACIONAL</t>
  </si>
  <si>
    <t>GASTOS DE INTERESES</t>
  </si>
  <si>
    <t>RAZON DE COBERTURA DE INTERESES</t>
  </si>
  <si>
    <t>Req. Min. Cobertura Intereses: &gt; =</t>
  </si>
  <si>
    <t>EVALUACIÓN CAPACIDAD FINANCIERA</t>
  </si>
  <si>
    <t>EVALUACIÓN CAPACIDAD ORGANIZACIÓN</t>
  </si>
  <si>
    <t>RENTABILIDAD DEL PATRIMONIO (ROE)</t>
  </si>
  <si>
    <t>Req. Min. ROE: &gt; =</t>
  </si>
  <si>
    <t>RENTABILIDAD DEL ACTIVO (ROA)</t>
  </si>
  <si>
    <t>Req. Min. ROA: &gt; =</t>
  </si>
  <si>
    <t>Req. Min. Endeudamiento: &lt; =</t>
  </si>
  <si>
    <t>PRESUPUESTO OFICIAL ESTIMADO (POE)</t>
  </si>
  <si>
    <t>Anticipo</t>
  </si>
  <si>
    <t>CAPACIDAD RESIDUAL DEL PROCESO DE CONTRATACION</t>
  </si>
  <si>
    <t xml:space="preserve">CAPACIDAD DE ORGANIZACIÓN </t>
  </si>
  <si>
    <t xml:space="preserve">EXPERIENCIA         </t>
  </si>
  <si>
    <t>CAPACIDAD FINANCIERA</t>
  </si>
  <si>
    <t>CAPACIDAD RESIDUAL DEL PROPONENTE</t>
  </si>
  <si>
    <r>
      <t xml:space="preserve">Formula: CO * </t>
    </r>
    <r>
      <rPr>
        <b/>
        <sz val="8"/>
        <rFont val="Calibri"/>
        <family val="2"/>
      </rPr>
      <t>[(E+CT-CF)/100] - SCE</t>
    </r>
  </si>
  <si>
    <t>Formula: Si el plazo es menor a 12 meses (POE - Anticipo), si el plazo es mayor a 12 meses [(POE- Anticipo)/Plazo]x12</t>
  </si>
  <si>
    <t>INSTITUTO NACIONAL DE VIAS</t>
  </si>
  <si>
    <t>CAPACIDAD RESIDUAL</t>
  </si>
  <si>
    <t>EXPERIENCIA</t>
  </si>
  <si>
    <t>PROFESIONALES VINCULADOS</t>
  </si>
  <si>
    <t>Numeros de Socios y Profesionales de la Arquitectura , Ingenierìa y Geologìa vinculados mediante relaciòn laboral o contractual en actividades relacionadas directamente a la construcciòn</t>
  </si>
  <si>
    <t>Porcentaje de Participación para este Proceso</t>
  </si>
  <si>
    <t>Mayor a</t>
  </si>
  <si>
    <t>Puntaje</t>
  </si>
  <si>
    <t>Menor o Igual a</t>
  </si>
  <si>
    <t>Mayores</t>
  </si>
  <si>
    <t>CAPACIDAD TÉCNICA</t>
  </si>
  <si>
    <t>Desde</t>
  </si>
  <si>
    <t>Hasta</t>
  </si>
  <si>
    <t>PUNTAJE POR CAPACIDAD TÉCNICA</t>
  </si>
  <si>
    <t>DIRECCIÓN DE CONTRATACIÓN</t>
  </si>
  <si>
    <t>Rangos: 
Desde 1 hasta 5 = 20 Puntos
Desde 6 hasta 10 = 30 Puntos
Desde 11 hasta mayores = 40 Puntos</t>
  </si>
  <si>
    <t>PUNTAJE POR EXPERIENCIA</t>
  </si>
  <si>
    <t>Porcentaje de Participación para este Proceso
(A)</t>
  </si>
  <si>
    <t>RESULTADO   
B / (C * A)</t>
  </si>
  <si>
    <t>Rangos:
Mayor a 0 y Menor o Igual a 3 = 60 Puntos 
Mayor a 3 y Menor o Igual a 6 = 80 Puntos
Mayor a 6 y Menor o Igual a 10 = 100 Puntos
Mayor a 10 y Mayores = 120 Puntos</t>
  </si>
  <si>
    <t>Módulo</t>
  </si>
  <si>
    <t>PUNTAJE POR CAPACIDAD FINANCIERA</t>
  </si>
  <si>
    <t>ACTIVOS CORRIENTES
(A)</t>
  </si>
  <si>
    <t>PASIVOS CORRIENTES
(B)</t>
  </si>
  <si>
    <t xml:space="preserve">ÍNDICE DE LIQUIDEZ
(A) / (B) = (C) </t>
  </si>
  <si>
    <t>Rangos:
Mayor a 0 y Menor o Igual a 0,5 = 20 Puntos
Mayor a 0,5 y Menor o Igual a 0,75 = 25 Puntos
Mayor a 0,75 y Menor o Igual a 1,00 = 30 Puntos
Mayor a 1,00 y Menor o Igual a 1,5 = 35 Puntos
Mayor a 1,5 y Mayores =  40 Puntos</t>
  </si>
  <si>
    <t>SALDO CONTRATOS EN EJECUCIÓN</t>
  </si>
  <si>
    <t>TOTAL SALDOS CONTRATOS EN EJECUCION</t>
  </si>
  <si>
    <t>CAPACIDAD DE ORGANIZACIÓN</t>
  </si>
  <si>
    <t>CAPACIDAD DE ORGANIZACIÓN (En Pesos)</t>
  </si>
  <si>
    <t>En Pesos</t>
  </si>
  <si>
    <t>SALDOS CONTRATOS EN EJECUCIÓN</t>
  </si>
  <si>
    <t xml:space="preserve">CAPACIDAD RESIDUAL DE CONTRATACIÓN </t>
  </si>
  <si>
    <t xml:space="preserve">Fórmula: 
Cinco (5) años o más: Mayor Ingreso Operacional de los ultimos 5 años 
Entre uno (1) y cinco (5) años: Mayor Ingreso Operacional de los años de vida del Oferente
Menos de un (1) año: USD $ 125.000 </t>
  </si>
  <si>
    <t xml:space="preserve">VALOR TOTAL DE LOS CONTRATOS EJECUTADOS
</t>
  </si>
  <si>
    <t>VALOR TOTAL DE LOS CONTRATOS EJECUTADOS EN SMMLV
(B)</t>
  </si>
  <si>
    <t>PRESUPUESTO OFICIAL ESTIMADO (POE) EN SMMLV
(C)</t>
  </si>
  <si>
    <t>CAPITAL DE TRABAJO
(Activo Corriente - Pasivo Corriente)</t>
  </si>
  <si>
    <t>PATRIMONIO
(Activo Total - Pasivo Total)</t>
  </si>
  <si>
    <t>INDICE-CAPITAL DE TRABAJO DEMANDADO</t>
  </si>
  <si>
    <t>Req. Min. CTd: &gt; =</t>
  </si>
  <si>
    <t>INDICE-PATRIMONIO</t>
  </si>
  <si>
    <t>Req. Min. Patrimonio: &gt; =</t>
  </si>
  <si>
    <t>PLAZO (P)</t>
  </si>
  <si>
    <t>Fórmula: Endeudamiento = Pas.T/Act.Tot. &lt;= 0,70</t>
  </si>
  <si>
    <t>Fórmula: Razón Cobertura Intereses = UO/GI &gt;= 1,00</t>
  </si>
  <si>
    <t>PATRIMONIO ROE
(Activo Total - Pasivo Total)</t>
  </si>
  <si>
    <t/>
  </si>
  <si>
    <t>Fórmula: CT=AC-PC&gt;=(PO/n)</t>
  </si>
  <si>
    <t>(PO/n)</t>
  </si>
  <si>
    <t>Fórmula: P=AT-PT &gt;= (10%*PO)</t>
  </si>
  <si>
    <t>Fórmula:                        ROE=UO/Pat.ROE&gt;=0,00</t>
  </si>
  <si>
    <t>Fórmula:                        ROE=UO/Act.Tot.&gt;=0,00</t>
  </si>
  <si>
    <t>Capital de Trabajo Demandado</t>
  </si>
  <si>
    <t>% Requerido Patrimonio</t>
  </si>
  <si>
    <t>SMMLV 2024</t>
  </si>
  <si>
    <t>CCC DE LA SABANA SAS</t>
  </si>
  <si>
    <t>CONSORCIO CAFRA 2024</t>
  </si>
  <si>
    <t>CARRILES DEL ORIENTE</t>
  </si>
  <si>
    <t>HECTOR FRANCISCO SARMIENTO DURAN</t>
  </si>
  <si>
    <t>GAMA INGENIERIA SAS</t>
  </si>
  <si>
    <t>RODRIGO MATABANCHOY BOLAÑOS</t>
  </si>
  <si>
    <t>PROCESO SELECCIÓN ABREVIADA No. SA-MC-DT-SUC-001-2024</t>
  </si>
  <si>
    <t>MIGUEL ANGEL NUÑEZ HERRERA</t>
  </si>
  <si>
    <t>Evaluador</t>
  </si>
  <si>
    <t>HABIL</t>
  </si>
  <si>
    <r>
      <rPr>
        <b/>
        <sz val="10"/>
        <rFont val="Arial"/>
        <family val="2"/>
      </rPr>
      <t>Observaciones:</t>
    </r>
    <r>
      <rPr>
        <sz val="10"/>
        <rFont val="Arial"/>
        <family val="2"/>
      </rPr>
      <t xml:space="preserve"> Para los proponentes que no cumplen, se hace necesario subsanar estados de resultados dictaminados tal como lo establece el artículo 38 de la Ley 222 de 1995, con el objeto de hacer el cálculo para determinar la capacidad residual.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</si>
</sst>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 #,##0.00_);_(&quot;$&quot;\ * \(#,##0.00\);_(&quot;$&quot;\ * &quot;-&quot;??_);_(@_)"/>
    <numFmt numFmtId="165" formatCode="_(* #,##0.00_);_(* \(#,##0.00\);_(* &quot;-&quot;??_);_(@_)"/>
    <numFmt numFmtId="166" formatCode="_-* #,##0.00\ _€_-;\-* #,##0.00\ _€_-;_-* &quot;-&quot;??\ _€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0.0"/>
  </numFmts>
  <fonts count="40"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9"/>
      <color indexed="8"/>
      <name val="Arial"/>
      <family val="2"/>
    </font>
    <font>
      <b/>
      <sz val="9"/>
      <color indexed="63"/>
      <name val="Arial"/>
      <family val="2"/>
    </font>
    <font>
      <b/>
      <sz val="8"/>
      <name val="Arial"/>
      <family val="2"/>
    </font>
    <font>
      <b/>
      <sz val="11"/>
      <name val="Arial Narrow"/>
      <family val="2"/>
    </font>
    <font>
      <sz val="11"/>
      <name val="Arial Narrow"/>
      <family val="2"/>
    </font>
    <font>
      <b/>
      <sz val="9"/>
      <name val="Arial Narrow"/>
      <family val="2"/>
    </font>
    <font>
      <b/>
      <sz val="9"/>
      <color indexed="12"/>
      <name val="Arial"/>
      <family val="2"/>
    </font>
    <font>
      <sz val="8"/>
      <name val="Arial"/>
      <family val="2"/>
    </font>
    <font>
      <b/>
      <sz val="10"/>
      <name val="Arial Narrow"/>
      <family val="2"/>
    </font>
    <font>
      <sz val="10"/>
      <name val="Arial Narrow"/>
      <family val="2"/>
    </font>
    <font>
      <sz val="10"/>
      <name val="Arial"/>
      <family val="2"/>
    </font>
    <font>
      <sz val="12"/>
      <color theme="1"/>
      <name val="Calibri"/>
      <family val="2"/>
    </font>
    <font>
      <b/>
      <sz val="8"/>
      <name val="Calibri"/>
      <family val="2"/>
    </font>
    <font>
      <b/>
      <sz val="16"/>
      <name val="Arial"/>
      <family val="2"/>
    </font>
    <font>
      <b/>
      <sz val="14"/>
      <name val="Arial"/>
      <family val="2"/>
    </font>
    <font>
      <b/>
      <sz val="18"/>
      <name val="Arial"/>
      <family val="2"/>
    </font>
    <font>
      <sz val="14"/>
      <name val="Arial"/>
      <family val="2"/>
    </font>
    <font>
      <sz val="10"/>
      <color rgb="FF000000"/>
      <name val="Arial"/>
      <family val="2"/>
    </font>
    <font>
      <sz val="8"/>
      <color rgb="FF000000"/>
      <name val="Arial"/>
      <family val="2"/>
    </font>
    <font>
      <b/>
      <sz val="10"/>
      <color rgb="FFFF0000"/>
      <name val="Arial Narrow"/>
      <family val="2"/>
    </font>
    <font>
      <sz val="8"/>
      <name val="Tahoma"/>
      <family val="2"/>
    </font>
    <font>
      <u/>
      <sz val="10"/>
      <color theme="10"/>
      <name val="Arial"/>
      <family val="2"/>
    </font>
  </fonts>
  <fills count="16">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13"/>
        <bgColor indexed="64"/>
      </patternFill>
    </fill>
    <fill>
      <patternFill patternType="solid">
        <fgColor indexed="40"/>
        <bgColor indexed="64"/>
      </patternFill>
    </fill>
    <fill>
      <patternFill patternType="solid">
        <fgColor indexed="9"/>
        <bgColor indexed="64"/>
      </patternFill>
    </fill>
    <fill>
      <patternFill patternType="solid">
        <fgColor indexed="22"/>
        <bgColor indexed="64"/>
      </patternFill>
    </fill>
    <fill>
      <patternFill patternType="solid">
        <fgColor indexed="51"/>
        <bgColor indexed="64"/>
      </patternFill>
    </fill>
    <fill>
      <patternFill patternType="solid">
        <fgColor theme="0" tint="-0.249977111117893"/>
        <bgColor indexed="64"/>
      </patternFill>
    </fill>
    <fill>
      <patternFill patternType="solid">
        <fgColor theme="0"/>
        <bgColor indexed="64"/>
      </patternFill>
    </fill>
    <fill>
      <patternFill patternType="solid">
        <fgColor rgb="FF92D05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6" tint="0.39997558519241921"/>
        <bgColor indexed="64"/>
      </patternFill>
    </fill>
    <fill>
      <patternFill patternType="solid">
        <fgColor theme="8" tint="0.39997558519241921"/>
        <bgColor indexed="64"/>
      </patternFill>
    </fill>
  </fills>
  <borders count="55">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4">
    <xf numFmtId="0" fontId="0" fillId="0" borderId="0"/>
    <xf numFmtId="169" fontId="3" fillId="0" borderId="0" applyFont="0" applyFill="0" applyBorder="0" applyAlignment="0" applyProtection="0"/>
    <xf numFmtId="168"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9" fillId="0" borderId="0"/>
    <xf numFmtId="164"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38" fillId="0" borderId="0" applyFont="0" applyFill="0" applyBorder="0" applyAlignment="0" applyProtection="0"/>
    <xf numFmtId="0" fontId="3" fillId="0" borderId="0"/>
    <xf numFmtId="166" fontId="2" fillId="0" borderId="0" applyFont="0" applyFill="0" applyBorder="0" applyAlignment="0" applyProtection="0"/>
    <xf numFmtId="166" fontId="2" fillId="0" borderId="0" applyFont="0" applyFill="0" applyBorder="0" applyAlignment="0" applyProtection="0"/>
    <xf numFmtId="169" fontId="3"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3" fillId="0" borderId="0"/>
    <xf numFmtId="0" fontId="1" fillId="0" borderId="0"/>
    <xf numFmtId="166"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1" fillId="0" borderId="0"/>
    <xf numFmtId="9" fontId="3" fillId="0" borderId="0" applyFont="0" applyFill="0" applyBorder="0" applyAlignment="0" applyProtection="0"/>
    <xf numFmtId="0" fontId="39" fillId="0" borderId="0" applyNumberFormat="0" applyFill="0" applyBorder="0" applyAlignment="0" applyProtection="0"/>
  </cellStyleXfs>
  <cellXfs count="397">
    <xf numFmtId="0" fontId="0" fillId="0" borderId="0" xfId="0"/>
    <xf numFmtId="0" fontId="5" fillId="0" borderId="1" xfId="0" applyFont="1" applyBorder="1"/>
    <xf numFmtId="0" fontId="5" fillId="0" borderId="2" xfId="0" applyFont="1" applyBorder="1" applyAlignment="1">
      <alignment horizontal="left" vertical="center"/>
    </xf>
    <xf numFmtId="0" fontId="5" fillId="0" borderId="3" xfId="0" applyFont="1" applyBorder="1"/>
    <xf numFmtId="0" fontId="5" fillId="0" borderId="4" xfId="0" applyFont="1" applyBorder="1"/>
    <xf numFmtId="9" fontId="5" fillId="0" borderId="4" xfId="6" applyFont="1" applyFill="1" applyBorder="1"/>
    <xf numFmtId="0" fontId="5" fillId="0" borderId="4" xfId="0" applyFont="1" applyBorder="1" applyAlignment="1">
      <alignment horizontal="center"/>
    </xf>
    <xf numFmtId="0" fontId="5" fillId="0" borderId="4" xfId="0" applyFont="1" applyBorder="1" applyAlignment="1">
      <alignment horizontal="right"/>
    </xf>
    <xf numFmtId="0" fontId="4" fillId="0" borderId="1" xfId="0" applyFont="1" applyBorder="1"/>
    <xf numFmtId="0" fontId="4" fillId="0" borderId="5" xfId="0" quotePrefix="1" applyFont="1" applyBorder="1" applyAlignment="1">
      <alignment horizontal="left"/>
    </xf>
    <xf numFmtId="0" fontId="4" fillId="0" borderId="1" xfId="0" applyFont="1" applyBorder="1" applyAlignment="1">
      <alignment horizontal="centerContinuous"/>
    </xf>
    <xf numFmtId="0" fontId="4" fillId="0" borderId="1" xfId="0" applyFont="1" applyBorder="1" applyAlignment="1">
      <alignment horizontal="center" vertical="center"/>
    </xf>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Border="1" applyAlignment="1">
      <alignment horizontal="center" vertical="center" wrapText="1"/>
    </xf>
    <xf numFmtId="0" fontId="3" fillId="0" borderId="0" xfId="0" applyFont="1" applyAlignment="1">
      <alignment vertical="center" wrapText="1"/>
    </xf>
    <xf numFmtId="0" fontId="10" fillId="0" borderId="6" xfId="0" applyFont="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3" fontId="12" fillId="0" borderId="7" xfId="0" applyNumberFormat="1" applyFont="1" applyBorder="1" applyAlignment="1">
      <alignment vertical="center" wrapText="1"/>
    </xf>
    <xf numFmtId="0" fontId="0" fillId="0" borderId="0" xfId="0" applyAlignment="1">
      <alignment wrapText="1"/>
    </xf>
    <xf numFmtId="172" fontId="0" fillId="0" borderId="0" xfId="6" applyNumberFormat="1" applyFont="1"/>
    <xf numFmtId="172" fontId="0" fillId="0" borderId="6" xfId="6"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71" fontId="11" fillId="0" borderId="0" xfId="1" applyNumberFormat="1" applyFont="1" applyFill="1" applyAlignment="1">
      <alignment vertical="center" wrapText="1"/>
    </xf>
    <xf numFmtId="171" fontId="14" fillId="0" borderId="6" xfId="1" applyNumberFormat="1" applyFont="1" applyBorder="1"/>
    <xf numFmtId="0" fontId="14" fillId="0" borderId="0" xfId="0" applyFont="1"/>
    <xf numFmtId="9" fontId="14" fillId="0" borderId="1" xfId="6" applyFont="1" applyFill="1" applyBorder="1"/>
    <xf numFmtId="0" fontId="14" fillId="0" borderId="1" xfId="0" applyFont="1" applyBorder="1" applyAlignment="1">
      <alignment horizontal="center"/>
    </xf>
    <xf numFmtId="3" fontId="14" fillId="0" borderId="1" xfId="0" applyNumberFormat="1" applyFont="1" applyBorder="1" applyAlignment="1">
      <alignment horizontal="center"/>
    </xf>
    <xf numFmtId="9" fontId="14" fillId="0" borderId="1" xfId="6" applyFont="1" applyFill="1" applyBorder="1" applyAlignment="1">
      <alignment horizontal="center"/>
    </xf>
    <xf numFmtId="0" fontId="14" fillId="0" borderId="1" xfId="0" applyFont="1" applyBorder="1" applyAlignment="1">
      <alignment horizontal="right"/>
    </xf>
    <xf numFmtId="0" fontId="14" fillId="0" borderId="1" xfId="0" applyFont="1" applyBorder="1"/>
    <xf numFmtId="1" fontId="6" fillId="0" borderId="14" xfId="0" applyNumberFormat="1" applyFont="1" applyBorder="1" applyAlignment="1">
      <alignment horizontal="center" vertical="center"/>
    </xf>
    <xf numFmtId="1" fontId="6" fillId="0" borderId="15" xfId="0" applyNumberFormat="1" applyFont="1" applyBorder="1" applyAlignment="1">
      <alignment horizontal="center" vertical="center"/>
    </xf>
    <xf numFmtId="171"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2" fontId="0" fillId="0" borderId="15" xfId="6" applyNumberFormat="1" applyFont="1" applyBorder="1"/>
    <xf numFmtId="172" fontId="0" fillId="0" borderId="16" xfId="6" applyNumberFormat="1" applyFont="1" applyBorder="1"/>
    <xf numFmtId="172" fontId="0" fillId="0" borderId="17" xfId="6" applyNumberFormat="1" applyFont="1" applyBorder="1"/>
    <xf numFmtId="171" fontId="14" fillId="0" borderId="12" xfId="1" applyNumberFormat="1" applyFont="1" applyBorder="1" applyProtection="1">
      <protection locked="0"/>
    </xf>
    <xf numFmtId="171" fontId="14" fillId="0" borderId="12" xfId="1" applyNumberFormat="1" applyFont="1" applyBorder="1"/>
    <xf numFmtId="172" fontId="0" fillId="0" borderId="12" xfId="6" applyNumberFormat="1" applyFont="1" applyBorder="1"/>
    <xf numFmtId="172" fontId="0" fillId="0" borderId="13" xfId="6" applyNumberFormat="1" applyFont="1" applyBorder="1"/>
    <xf numFmtId="0" fontId="15" fillId="0" borderId="6" xfId="5" applyFont="1" applyBorder="1" applyAlignment="1">
      <alignment horizontal="left" indent="1"/>
    </xf>
    <xf numFmtId="0" fontId="0" fillId="0" borderId="0" xfId="0" applyProtection="1">
      <protection locked="0"/>
    </xf>
    <xf numFmtId="0" fontId="16" fillId="0" borderId="6" xfId="5" applyFont="1" applyBorder="1" applyAlignment="1">
      <alignment horizontal="left"/>
    </xf>
    <xf numFmtId="0" fontId="15" fillId="0" borderId="12" xfId="5" applyFont="1" applyBorder="1" applyAlignment="1">
      <alignment horizontal="left" indent="1"/>
    </xf>
    <xf numFmtId="1" fontId="6" fillId="0" borderId="11" xfId="0" applyNumberFormat="1" applyFont="1" applyBorder="1" applyAlignment="1">
      <alignment horizontal="center" vertical="center"/>
    </xf>
    <xf numFmtId="171" fontId="0" fillId="0" borderId="15" xfId="1" applyNumberFormat="1" applyFont="1" applyBorder="1" applyProtection="1">
      <protection locked="0"/>
    </xf>
    <xf numFmtId="170" fontId="13" fillId="0" borderId="6" xfId="0" applyNumberFormat="1" applyFont="1" applyBorder="1" applyAlignment="1">
      <alignment horizontal="center" vertical="center"/>
    </xf>
    <xf numFmtId="170" fontId="13" fillId="0" borderId="12" xfId="0" applyNumberFormat="1" applyFont="1" applyBorder="1" applyAlignment="1">
      <alignment horizontal="center" vertical="center"/>
    </xf>
    <xf numFmtId="0" fontId="16" fillId="0" borderId="15" xfId="5" applyFont="1" applyBorder="1" applyAlignment="1">
      <alignment horizontal="left"/>
    </xf>
    <xf numFmtId="169" fontId="20" fillId="5" borderId="9" xfId="1" applyFont="1" applyFill="1" applyBorder="1" applyAlignment="1">
      <alignment horizontal="center" vertical="center"/>
    </xf>
    <xf numFmtId="0" fontId="17" fillId="3" borderId="3" xfId="0" quotePrefix="1" applyFont="1" applyFill="1" applyBorder="1" applyAlignment="1">
      <alignment horizontal="left" vertical="center" wrapText="1"/>
    </xf>
    <xf numFmtId="0" fontId="17" fillId="3" borderId="19" xfId="0" applyFont="1" applyFill="1" applyBorder="1" applyAlignment="1">
      <alignment horizontal="center" vertical="center"/>
    </xf>
    <xf numFmtId="0" fontId="17" fillId="3" borderId="8" xfId="0" applyFont="1" applyFill="1" applyBorder="1" applyAlignment="1">
      <alignment horizontal="center" vertical="center"/>
    </xf>
    <xf numFmtId="169" fontId="14" fillId="6" borderId="6" xfId="1" applyFont="1" applyFill="1" applyBorder="1" applyAlignment="1">
      <alignment horizontal="center" vertical="center" wrapText="1"/>
    </xf>
    <xf numFmtId="0" fontId="14" fillId="6" borderId="14" xfId="0" applyFont="1" applyFill="1" applyBorder="1" applyAlignment="1">
      <alignment horizontal="center" vertical="center" wrapText="1"/>
    </xf>
    <xf numFmtId="167" fontId="23" fillId="6" borderId="6" xfId="1" applyNumberFormat="1" applyFont="1" applyFill="1" applyBorder="1" applyAlignment="1">
      <alignment horizontal="center" vertical="center" wrapText="1"/>
    </xf>
    <xf numFmtId="169" fontId="14" fillId="6" borderId="12" xfId="1" applyFont="1" applyFill="1" applyBorder="1" applyAlignment="1">
      <alignment horizontal="center" vertical="center" wrapText="1"/>
    </xf>
    <xf numFmtId="169" fontId="4" fillId="7" borderId="6" xfId="1" applyFont="1" applyFill="1" applyBorder="1" applyAlignment="1">
      <alignment horizontal="center" vertical="center"/>
    </xf>
    <xf numFmtId="171" fontId="23" fillId="7" borderId="15" xfId="1" applyNumberFormat="1" applyFont="1" applyFill="1" applyBorder="1" applyAlignment="1">
      <alignment horizontal="center" vertical="center"/>
    </xf>
    <xf numFmtId="169" fontId="4" fillId="7" borderId="15" xfId="1" applyFont="1" applyFill="1" applyBorder="1" applyAlignment="1">
      <alignment horizontal="center" vertical="center"/>
    </xf>
    <xf numFmtId="169" fontId="4" fillId="7" borderId="12" xfId="1" applyFont="1" applyFill="1" applyBorder="1" applyAlignment="1">
      <alignment horizontal="center" vertical="center"/>
    </xf>
    <xf numFmtId="0" fontId="24" fillId="5" borderId="6" xfId="0" applyFont="1" applyFill="1" applyBorder="1" applyAlignment="1">
      <alignment horizontal="center" vertical="center" wrapText="1"/>
    </xf>
    <xf numFmtId="169" fontId="17" fillId="0" borderId="6" xfId="1" applyFont="1" applyFill="1" applyBorder="1" applyAlignment="1">
      <alignment horizontal="center" vertical="center" wrapText="1"/>
    </xf>
    <xf numFmtId="169" fontId="17" fillId="7" borderId="15" xfId="1" applyFont="1" applyFill="1" applyBorder="1" applyAlignment="1">
      <alignment horizontal="center" vertical="center" wrapText="1"/>
    </xf>
    <xf numFmtId="0" fontId="24" fillId="5" borderId="15" xfId="0" applyFont="1" applyFill="1" applyBorder="1" applyAlignment="1">
      <alignment horizontal="center" vertical="center" wrapText="1"/>
    </xf>
    <xf numFmtId="167" fontId="23" fillId="6" borderId="12" xfId="1" applyNumberFormat="1" applyFont="1" applyFill="1" applyBorder="1" applyAlignment="1">
      <alignment horizontal="center" vertical="center" wrapText="1"/>
    </xf>
    <xf numFmtId="0" fontId="24" fillId="5" borderId="12" xfId="0" applyFont="1" applyFill="1" applyBorder="1" applyAlignment="1">
      <alignment horizontal="center" vertical="center" wrapText="1"/>
    </xf>
    <xf numFmtId="169" fontId="17" fillId="0" borderId="12" xfId="1" applyFont="1" applyFill="1" applyBorder="1" applyAlignment="1">
      <alignment horizontal="center" vertical="center" wrapText="1"/>
    </xf>
    <xf numFmtId="0" fontId="14" fillId="6" borderId="11" xfId="0" applyFont="1" applyFill="1" applyBorder="1" applyAlignment="1">
      <alignment horizontal="center" vertical="center" wrapText="1"/>
    </xf>
    <xf numFmtId="4" fontId="20" fillId="3" borderId="15" xfId="3" applyNumberFormat="1" applyFont="1" applyFill="1" applyBorder="1" applyAlignment="1">
      <alignment horizontal="center" vertical="center" wrapText="1"/>
    </xf>
    <xf numFmtId="0" fontId="20" fillId="3" borderId="15" xfId="3" applyFont="1" applyFill="1" applyBorder="1" applyAlignment="1">
      <alignment horizontal="center" vertical="center" wrapText="1"/>
    </xf>
    <xf numFmtId="10" fontId="26" fillId="6" borderId="6" xfId="3" applyNumberFormat="1" applyFont="1" applyFill="1" applyBorder="1" applyAlignment="1">
      <alignment horizontal="center" vertical="center" wrapText="1"/>
    </xf>
    <xf numFmtId="169" fontId="27" fillId="0" borderId="6" xfId="1" applyFont="1" applyFill="1" applyBorder="1" applyAlignment="1">
      <alignment horizontal="center" vertical="center" wrapText="1"/>
    </xf>
    <xf numFmtId="0" fontId="26" fillId="7" borderId="21" xfId="4" applyFont="1" applyFill="1" applyBorder="1" applyAlignment="1">
      <alignment horizontal="center" vertical="center" wrapText="1"/>
    </xf>
    <xf numFmtId="169" fontId="26" fillId="7" borderId="15" xfId="1" applyFont="1" applyFill="1" applyBorder="1" applyAlignment="1">
      <alignment horizontal="center" vertical="center" wrapText="1"/>
    </xf>
    <xf numFmtId="10" fontId="26" fillId="7" borderId="15" xfId="3" applyNumberFormat="1" applyFont="1" applyFill="1" applyBorder="1" applyAlignment="1">
      <alignment horizontal="center" vertical="center" wrapText="1"/>
    </xf>
    <xf numFmtId="169" fontId="26" fillId="7" borderId="15" xfId="3" applyNumberFormat="1" applyFont="1" applyFill="1" applyBorder="1" applyAlignment="1">
      <alignment horizontal="center" vertical="center" wrapText="1"/>
    </xf>
    <xf numFmtId="171" fontId="26" fillId="7" borderId="15" xfId="1" applyNumberFormat="1" applyFont="1" applyFill="1" applyBorder="1" applyAlignment="1">
      <alignment horizontal="center" vertical="center" wrapText="1"/>
    </xf>
    <xf numFmtId="0" fontId="27" fillId="6" borderId="14" xfId="4" applyFont="1" applyFill="1" applyBorder="1" applyAlignment="1">
      <alignment horizontal="center" vertical="center" wrapText="1"/>
    </xf>
    <xf numFmtId="0" fontId="27" fillId="6" borderId="11" xfId="4" applyFont="1" applyFill="1" applyBorder="1" applyAlignment="1">
      <alignment horizontal="center" vertical="center" wrapText="1"/>
    </xf>
    <xf numFmtId="169" fontId="27" fillId="0" borderId="12" xfId="1" applyFont="1" applyFill="1" applyBorder="1" applyAlignment="1">
      <alignment horizontal="center" vertical="center" wrapText="1"/>
    </xf>
    <xf numFmtId="10" fontId="26" fillId="6" borderId="12" xfId="3" applyNumberFormat="1" applyFont="1" applyFill="1" applyBorder="1" applyAlignment="1">
      <alignment horizontal="center" vertical="center" wrapText="1"/>
    </xf>
    <xf numFmtId="9" fontId="21" fillId="7" borderId="15" xfId="6" applyFont="1" applyFill="1" applyBorder="1" applyAlignment="1">
      <alignment horizontal="center" vertical="center" wrapText="1"/>
    </xf>
    <xf numFmtId="9" fontId="22" fillId="6" borderId="6" xfId="6" applyFont="1" applyFill="1" applyBorder="1" applyAlignment="1">
      <alignment horizontal="center" vertical="center" wrapText="1"/>
    </xf>
    <xf numFmtId="9" fontId="22" fillId="6" borderId="12" xfId="6" applyFont="1" applyFill="1" applyBorder="1" applyAlignment="1">
      <alignment horizontal="center" vertical="center" wrapText="1"/>
    </xf>
    <xf numFmtId="171" fontId="23" fillId="11" borderId="15" xfId="1" applyNumberFormat="1" applyFont="1" applyFill="1" applyBorder="1" applyAlignment="1">
      <alignment horizontal="center" vertical="center"/>
    </xf>
    <xf numFmtId="0" fontId="17" fillId="3" borderId="14" xfId="0" applyFont="1" applyFill="1" applyBorder="1" applyAlignment="1">
      <alignment vertical="center" wrapText="1"/>
    </xf>
    <xf numFmtId="168" fontId="17" fillId="3" borderId="17" xfId="2" applyFont="1" applyFill="1" applyBorder="1" applyAlignment="1">
      <alignment vertical="center" wrapText="1"/>
    </xf>
    <xf numFmtId="0" fontId="17" fillId="3" borderId="11" xfId="0" applyFont="1" applyFill="1" applyBorder="1" applyAlignment="1">
      <alignment vertical="center" wrapText="1"/>
    </xf>
    <xf numFmtId="168" fontId="17" fillId="3" borderId="13" xfId="2" applyFont="1" applyFill="1" applyBorder="1" applyAlignment="1">
      <alignment vertical="center" wrapText="1"/>
    </xf>
    <xf numFmtId="0" fontId="17" fillId="3" borderId="26" xfId="0" applyFont="1" applyFill="1" applyBorder="1" applyAlignment="1">
      <alignment vertical="center" wrapText="1"/>
    </xf>
    <xf numFmtId="168" fontId="17" fillId="3" borderId="27" xfId="2" applyFont="1" applyFill="1" applyBorder="1" applyAlignment="1">
      <alignment vertical="center" wrapText="1"/>
    </xf>
    <xf numFmtId="0" fontId="6" fillId="0" borderId="16" xfId="0" applyFont="1" applyBorder="1"/>
    <xf numFmtId="0" fontId="6" fillId="12" borderId="17" xfId="0" applyFont="1" applyFill="1" applyBorder="1"/>
    <xf numFmtId="0" fontId="6" fillId="12" borderId="13" xfId="0" applyFont="1" applyFill="1" applyBorder="1"/>
    <xf numFmtId="0" fontId="17" fillId="4" borderId="20" xfId="0" applyFont="1" applyFill="1" applyBorder="1" applyAlignment="1">
      <alignment horizontal="center" vertical="center"/>
    </xf>
    <xf numFmtId="0" fontId="17" fillId="4" borderId="20" xfId="0" quotePrefix="1" applyFont="1" applyFill="1" applyBorder="1" applyAlignment="1">
      <alignment horizontal="center" vertical="center"/>
    </xf>
    <xf numFmtId="167" fontId="17" fillId="4" borderId="20" xfId="0" applyNumberFormat="1" applyFont="1" applyFill="1" applyBorder="1" applyAlignment="1">
      <alignment horizontal="center" vertical="center" wrapText="1"/>
    </xf>
    <xf numFmtId="0" fontId="17" fillId="13" borderId="18" xfId="0" applyFont="1" applyFill="1" applyBorder="1" applyAlignment="1">
      <alignment horizontal="center" vertical="center" wrapText="1"/>
    </xf>
    <xf numFmtId="169" fontId="17" fillId="3" borderId="10" xfId="1" applyFont="1" applyFill="1" applyBorder="1" applyAlignment="1">
      <alignment horizontal="center" vertical="center" wrapText="1"/>
    </xf>
    <xf numFmtId="172" fontId="18" fillId="0" borderId="6" xfId="6" applyNumberFormat="1" applyFont="1" applyFill="1" applyBorder="1" applyAlignment="1">
      <alignment horizontal="center" vertical="center" wrapText="1"/>
    </xf>
    <xf numFmtId="172" fontId="18" fillId="0" borderId="12" xfId="6" applyNumberFormat="1" applyFont="1" applyFill="1" applyBorder="1" applyAlignment="1">
      <alignment horizontal="center" vertical="center" wrapText="1"/>
    </xf>
    <xf numFmtId="169" fontId="4" fillId="12" borderId="37" xfId="1" applyFont="1" applyFill="1" applyBorder="1"/>
    <xf numFmtId="0" fontId="4" fillId="0" borderId="38" xfId="0" applyFont="1" applyBorder="1"/>
    <xf numFmtId="169" fontId="4" fillId="12" borderId="39" xfId="1" applyFont="1" applyFill="1" applyBorder="1"/>
    <xf numFmtId="0" fontId="24" fillId="5" borderId="40" xfId="0" applyFont="1" applyFill="1" applyBorder="1" applyAlignment="1">
      <alignment horizontal="center" vertical="center" wrapText="1"/>
    </xf>
    <xf numFmtId="0" fontId="24" fillId="5" borderId="41" xfId="0" applyFont="1" applyFill="1" applyBorder="1" applyAlignment="1">
      <alignment horizontal="center" vertical="center" wrapText="1"/>
    </xf>
    <xf numFmtId="0" fontId="24" fillId="5" borderId="42" xfId="0" applyFont="1" applyFill="1" applyBorder="1" applyAlignment="1">
      <alignment horizontal="center" vertical="center" wrapText="1"/>
    </xf>
    <xf numFmtId="0" fontId="24" fillId="5" borderId="27" xfId="0" applyFont="1" applyFill="1" applyBorder="1" applyAlignment="1">
      <alignment horizontal="center" vertical="center" wrapText="1"/>
    </xf>
    <xf numFmtId="0" fontId="24" fillId="5" borderId="17" xfId="0" applyFont="1" applyFill="1" applyBorder="1" applyAlignment="1">
      <alignment horizontal="center" vertical="center" wrapText="1"/>
    </xf>
    <xf numFmtId="0" fontId="17" fillId="3" borderId="34" xfId="0" applyFont="1" applyFill="1" applyBorder="1" applyAlignment="1">
      <alignment horizontal="center" vertical="center"/>
    </xf>
    <xf numFmtId="172" fontId="17" fillId="3" borderId="3" xfId="6" quotePrefix="1" applyNumberFormat="1" applyFont="1" applyFill="1" applyBorder="1" applyAlignment="1">
      <alignment horizontal="left" vertical="center" wrapText="1"/>
    </xf>
    <xf numFmtId="172" fontId="17" fillId="3" borderId="18" xfId="6" applyNumberFormat="1" applyFont="1" applyFill="1" applyBorder="1" applyAlignment="1">
      <alignment horizontal="center" vertical="center"/>
    </xf>
    <xf numFmtId="172" fontId="23" fillId="6" borderId="6" xfId="6" applyNumberFormat="1" applyFont="1" applyFill="1" applyBorder="1" applyAlignment="1">
      <alignment horizontal="center" vertical="center" wrapText="1"/>
    </xf>
    <xf numFmtId="172" fontId="23" fillId="6" borderId="12" xfId="6" applyNumberFormat="1" applyFont="1" applyFill="1" applyBorder="1" applyAlignment="1">
      <alignment horizontal="center" vertical="center" wrapText="1"/>
    </xf>
    <xf numFmtId="0" fontId="20" fillId="11" borderId="15" xfId="3" applyFont="1" applyFill="1" applyBorder="1" applyAlignment="1">
      <alignment horizontal="center" vertical="center" wrapText="1"/>
    </xf>
    <xf numFmtId="0" fontId="20" fillId="3" borderId="43" xfId="3" applyFont="1" applyFill="1" applyBorder="1" applyAlignment="1">
      <alignment horizontal="center" vertical="center" wrapText="1"/>
    </xf>
    <xf numFmtId="169" fontId="26" fillId="7" borderId="43" xfId="1" applyFont="1" applyFill="1" applyBorder="1" applyAlignment="1">
      <alignment horizontal="center" vertical="center" wrapText="1"/>
    </xf>
    <xf numFmtId="169" fontId="26" fillId="6" borderId="7" xfId="1" applyFont="1" applyFill="1" applyBorder="1" applyAlignment="1">
      <alignment horizontal="center" vertical="center" wrapText="1"/>
    </xf>
    <xf numFmtId="0" fontId="20" fillId="11" borderId="43" xfId="3" applyFont="1" applyFill="1" applyBorder="1" applyAlignment="1">
      <alignment horizontal="center" vertical="center" wrapText="1"/>
    </xf>
    <xf numFmtId="169" fontId="27" fillId="0" borderId="47" xfId="1" applyFont="1" applyFill="1" applyBorder="1" applyAlignment="1">
      <alignment horizontal="center" vertical="center" wrapText="1"/>
    </xf>
    <xf numFmtId="169" fontId="26" fillId="7" borderId="47" xfId="1" applyFont="1" applyFill="1" applyBorder="1" applyAlignment="1">
      <alignment horizontal="center" vertical="center" wrapText="1"/>
    </xf>
    <xf numFmtId="171" fontId="26" fillId="7" borderId="47" xfId="1" applyNumberFormat="1" applyFont="1" applyFill="1" applyBorder="1" applyAlignment="1">
      <alignment horizontal="center" vertical="center" wrapText="1"/>
    </xf>
    <xf numFmtId="0" fontId="5" fillId="10" borderId="0" xfId="0" applyFont="1" applyFill="1"/>
    <xf numFmtId="0" fontId="4" fillId="10" borderId="0" xfId="0" applyFont="1" applyFill="1"/>
    <xf numFmtId="169" fontId="5" fillId="10" borderId="0" xfId="0" applyNumberFormat="1" applyFont="1" applyFill="1"/>
    <xf numFmtId="0" fontId="5" fillId="10" borderId="0" xfId="0" applyFont="1" applyFill="1" applyAlignment="1">
      <alignment horizontal="center"/>
    </xf>
    <xf numFmtId="169" fontId="5" fillId="10" borderId="0" xfId="1" applyFont="1" applyFill="1" applyAlignment="1">
      <alignment horizontal="center"/>
    </xf>
    <xf numFmtId="167" fontId="5" fillId="10" borderId="0" xfId="0" applyNumberFormat="1" applyFont="1" applyFill="1" applyAlignment="1">
      <alignment horizontal="center"/>
    </xf>
    <xf numFmtId="172" fontId="5" fillId="10" borderId="0" xfId="6" applyNumberFormat="1" applyFont="1" applyFill="1"/>
    <xf numFmtId="9" fontId="17" fillId="10" borderId="5" xfId="0" applyNumberFormat="1" applyFont="1" applyFill="1" applyBorder="1" applyAlignment="1">
      <alignment vertical="center"/>
    </xf>
    <xf numFmtId="9" fontId="17" fillId="10" borderId="1" xfId="0" applyNumberFormat="1" applyFont="1" applyFill="1" applyBorder="1" applyAlignment="1">
      <alignment vertical="center"/>
    </xf>
    <xf numFmtId="9" fontId="17" fillId="10" borderId="0" xfId="0" applyNumberFormat="1" applyFont="1" applyFill="1" applyAlignment="1">
      <alignment vertical="center"/>
    </xf>
    <xf numFmtId="0" fontId="5" fillId="10" borderId="1" xfId="0" applyFont="1" applyFill="1" applyBorder="1"/>
    <xf numFmtId="0" fontId="5" fillId="10" borderId="8" xfId="0" applyFont="1" applyFill="1" applyBorder="1"/>
    <xf numFmtId="172" fontId="5" fillId="10" borderId="0" xfId="6" applyNumberFormat="1" applyFont="1" applyFill="1" applyBorder="1"/>
    <xf numFmtId="0" fontId="5" fillId="10" borderId="10" xfId="0" applyFont="1" applyFill="1" applyBorder="1"/>
    <xf numFmtId="0" fontId="7" fillId="6" borderId="4" xfId="0" applyFont="1" applyFill="1" applyBorder="1" applyAlignment="1">
      <alignment horizontal="center" vertical="center"/>
    </xf>
    <xf numFmtId="0" fontId="0" fillId="10" borderId="0" xfId="0" applyFill="1" applyAlignment="1">
      <alignment horizontal="center" vertical="center"/>
    </xf>
    <xf numFmtId="0" fontId="0" fillId="10" borderId="0" xfId="0" applyFill="1"/>
    <xf numFmtId="0" fontId="4" fillId="10" borderId="0" xfId="0" applyFont="1" applyFill="1" applyAlignment="1">
      <alignment horizontal="center" vertical="center"/>
    </xf>
    <xf numFmtId="0" fontId="27" fillId="10" borderId="0" xfId="0" applyFont="1" applyFill="1"/>
    <xf numFmtId="169" fontId="27" fillId="10" borderId="0" xfId="1" applyFont="1" applyFill="1" applyBorder="1"/>
    <xf numFmtId="9" fontId="27" fillId="10" borderId="0" xfId="6" applyFont="1" applyFill="1" applyBorder="1"/>
    <xf numFmtId="0" fontId="27" fillId="10" borderId="0" xfId="0" applyFont="1" applyFill="1" applyAlignment="1">
      <alignment horizontal="center" vertical="center" wrapText="1"/>
    </xf>
    <xf numFmtId="10" fontId="26" fillId="10" borderId="0" xfId="3" applyNumberFormat="1" applyFont="1" applyFill="1" applyAlignment="1">
      <alignment horizontal="center" vertical="center" wrapText="1"/>
    </xf>
    <xf numFmtId="169" fontId="26" fillId="10" borderId="0" xfId="3" applyNumberFormat="1" applyFont="1" applyFill="1" applyAlignment="1">
      <alignment horizontal="center" vertical="center" wrapText="1"/>
    </xf>
    <xf numFmtId="4" fontId="26" fillId="10" borderId="0" xfId="3" applyNumberFormat="1" applyFont="1" applyFill="1" applyAlignment="1">
      <alignment horizontal="center" vertical="center" wrapText="1"/>
    </xf>
    <xf numFmtId="171" fontId="23" fillId="10" borderId="0" xfId="1" applyNumberFormat="1" applyFont="1" applyFill="1" applyBorder="1" applyAlignment="1">
      <alignment horizontal="center" vertical="center"/>
    </xf>
    <xf numFmtId="173" fontId="26" fillId="10" borderId="0" xfId="3" applyNumberFormat="1" applyFont="1" applyFill="1" applyAlignment="1">
      <alignment horizontal="center" vertical="center" wrapText="1"/>
    </xf>
    <xf numFmtId="169" fontId="0" fillId="10" borderId="0" xfId="1" applyFont="1" applyFill="1"/>
    <xf numFmtId="9" fontId="0" fillId="10" borderId="0" xfId="6" applyFont="1" applyFill="1"/>
    <xf numFmtId="169" fontId="4" fillId="10" borderId="0" xfId="1" applyFont="1" applyFill="1" applyAlignment="1">
      <alignment horizontal="center" vertical="center"/>
    </xf>
    <xf numFmtId="9" fontId="4" fillId="10" borderId="0" xfId="6" applyFont="1" applyFill="1" applyAlignment="1">
      <alignment horizontal="center" vertical="center"/>
    </xf>
    <xf numFmtId="169" fontId="26" fillId="7" borderId="12" xfId="1" applyFont="1" applyFill="1" applyBorder="1" applyAlignment="1">
      <alignment horizontal="center" vertical="center" wrapText="1"/>
    </xf>
    <xf numFmtId="171" fontId="26" fillId="7" borderId="12" xfId="1" applyNumberFormat="1" applyFont="1" applyFill="1" applyBorder="1" applyAlignment="1">
      <alignment horizontal="center" vertical="center" wrapText="1"/>
    </xf>
    <xf numFmtId="9" fontId="17" fillId="10" borderId="1" xfId="0" applyNumberFormat="1" applyFont="1" applyFill="1" applyBorder="1" applyAlignment="1">
      <alignment horizontal="center" vertical="center"/>
    </xf>
    <xf numFmtId="171" fontId="23" fillId="7" borderId="47" xfId="1" applyNumberFormat="1" applyFont="1" applyFill="1" applyBorder="1" applyAlignment="1">
      <alignment horizontal="center" vertical="center"/>
    </xf>
    <xf numFmtId="171" fontId="23" fillId="7" borderId="12" xfId="1" applyNumberFormat="1" applyFont="1" applyFill="1" applyBorder="1" applyAlignment="1">
      <alignment horizontal="center" vertical="center"/>
    </xf>
    <xf numFmtId="171" fontId="23" fillId="7" borderId="23" xfId="1" applyNumberFormat="1" applyFont="1" applyFill="1" applyBorder="1" applyAlignment="1">
      <alignment horizontal="center" vertical="center"/>
    </xf>
    <xf numFmtId="169" fontId="26" fillId="7" borderId="47" xfId="3" applyNumberFormat="1" applyFont="1" applyFill="1" applyBorder="1" applyAlignment="1">
      <alignment horizontal="center" vertical="center" wrapText="1"/>
    </xf>
    <xf numFmtId="169" fontId="26" fillId="7" borderId="12" xfId="3" applyNumberFormat="1" applyFont="1" applyFill="1" applyBorder="1" applyAlignment="1">
      <alignment horizontal="center" vertical="center" wrapText="1"/>
    </xf>
    <xf numFmtId="0" fontId="0" fillId="10" borderId="48" xfId="0" applyFill="1" applyBorder="1" applyAlignment="1">
      <alignment horizontal="center" vertical="center"/>
    </xf>
    <xf numFmtId="0" fontId="0" fillId="10" borderId="49" xfId="0" applyFill="1" applyBorder="1" applyAlignment="1">
      <alignment horizontal="center" vertical="center"/>
    </xf>
    <xf numFmtId="0" fontId="0" fillId="10" borderId="50" xfId="0" applyFill="1" applyBorder="1" applyAlignment="1">
      <alignment horizontal="center" vertical="center"/>
    </xf>
    <xf numFmtId="0" fontId="3" fillId="10" borderId="50" xfId="0" applyFont="1" applyFill="1" applyBorder="1" applyAlignment="1">
      <alignment horizontal="center" vertical="center"/>
    </xf>
    <xf numFmtId="0" fontId="0" fillId="10" borderId="51" xfId="0" applyFill="1" applyBorder="1" applyAlignment="1">
      <alignment horizontal="center" vertical="center"/>
    </xf>
    <xf numFmtId="0" fontId="3" fillId="10" borderId="51" xfId="0" applyFont="1" applyFill="1" applyBorder="1" applyAlignment="1">
      <alignment horizontal="center" vertical="center"/>
    </xf>
    <xf numFmtId="2" fontId="0" fillId="10" borderId="51" xfId="0" applyNumberFormat="1" applyFill="1" applyBorder="1" applyAlignment="1">
      <alignment horizontal="center" vertical="center"/>
    </xf>
    <xf numFmtId="2" fontId="0" fillId="10" borderId="49" xfId="0" applyNumberFormat="1" applyFill="1" applyBorder="1" applyAlignment="1">
      <alignment horizontal="center" vertical="center"/>
    </xf>
    <xf numFmtId="0" fontId="4" fillId="9" borderId="33" xfId="0" applyFont="1" applyFill="1" applyBorder="1" applyAlignment="1">
      <alignment horizontal="center" vertical="center"/>
    </xf>
    <xf numFmtId="0" fontId="4" fillId="9" borderId="34" xfId="0" applyFont="1" applyFill="1" applyBorder="1" applyAlignment="1">
      <alignment horizontal="center" vertical="center"/>
    </xf>
    <xf numFmtId="0" fontId="4" fillId="9" borderId="18" xfId="0" applyFont="1" applyFill="1" applyBorder="1" applyAlignment="1">
      <alignment horizontal="center" vertical="center"/>
    </xf>
    <xf numFmtId="0" fontId="0" fillId="10" borderId="1" xfId="0" applyFill="1" applyBorder="1" applyAlignment="1">
      <alignment horizontal="center" vertical="center"/>
    </xf>
    <xf numFmtId="0" fontId="3" fillId="10" borderId="1" xfId="0" applyFont="1" applyFill="1" applyBorder="1" applyAlignment="1">
      <alignment horizontal="center" vertical="center"/>
    </xf>
    <xf numFmtId="167" fontId="5" fillId="10" borderId="0" xfId="0" applyNumberFormat="1" applyFont="1" applyFill="1" applyAlignment="1">
      <alignment horizontal="center" vertical="center"/>
    </xf>
    <xf numFmtId="3" fontId="26" fillId="7" borderId="15" xfId="1" applyNumberFormat="1" applyFont="1" applyFill="1" applyBorder="1" applyAlignment="1">
      <alignment horizontal="center" vertical="center" wrapText="1"/>
    </xf>
    <xf numFmtId="3" fontId="26" fillId="7" borderId="16" xfId="1" applyNumberFormat="1" applyFont="1" applyFill="1" applyBorder="1" applyAlignment="1">
      <alignment horizontal="center" vertical="center" wrapText="1"/>
    </xf>
    <xf numFmtId="3" fontId="26" fillId="7" borderId="47" xfId="1" applyNumberFormat="1" applyFont="1" applyFill="1" applyBorder="1" applyAlignment="1">
      <alignment horizontal="center" vertical="center" wrapText="1"/>
    </xf>
    <xf numFmtId="3" fontId="26" fillId="7" borderId="12" xfId="1" applyNumberFormat="1" applyFont="1" applyFill="1" applyBorder="1" applyAlignment="1">
      <alignment horizontal="center" vertical="center" wrapText="1"/>
    </xf>
    <xf numFmtId="10" fontId="26" fillId="6" borderId="47" xfId="3" applyNumberFormat="1" applyFont="1" applyFill="1" applyBorder="1" applyAlignment="1">
      <alignment horizontal="center" vertical="center" wrapText="1"/>
    </xf>
    <xf numFmtId="169" fontId="26" fillId="7" borderId="16" xfId="1" applyFont="1" applyFill="1" applyBorder="1" applyAlignment="1">
      <alignment horizontal="center" vertical="center" wrapText="1"/>
    </xf>
    <xf numFmtId="169" fontId="26" fillId="6" borderId="17" xfId="1" applyFont="1" applyFill="1" applyBorder="1" applyAlignment="1">
      <alignment horizontal="center" vertical="center" wrapText="1"/>
    </xf>
    <xf numFmtId="169" fontId="26" fillId="6" borderId="13" xfId="1" applyFont="1" applyFill="1" applyBorder="1" applyAlignment="1">
      <alignment horizontal="center" vertical="center" wrapText="1"/>
    </xf>
    <xf numFmtId="0" fontId="4" fillId="10" borderId="31" xfId="0" applyFont="1" applyFill="1" applyBorder="1" applyAlignment="1">
      <alignment horizontal="center" vertical="center"/>
    </xf>
    <xf numFmtId="4" fontId="37" fillId="7" borderId="43" xfId="1" applyNumberFormat="1" applyFont="1" applyFill="1" applyBorder="1" applyAlignment="1">
      <alignment horizontal="center" vertical="center" wrapText="1"/>
    </xf>
    <xf numFmtId="0" fontId="20" fillId="14" borderId="15" xfId="3" applyFont="1" applyFill="1" applyBorder="1" applyAlignment="1">
      <alignment horizontal="center" vertical="center" wrapText="1"/>
    </xf>
    <xf numFmtId="0" fontId="20" fillId="14" borderId="16" xfId="3" applyFont="1" applyFill="1" applyBorder="1" applyAlignment="1">
      <alignment horizontal="center" vertical="center" wrapText="1"/>
    </xf>
    <xf numFmtId="0" fontId="20" fillId="14" borderId="46" xfId="3" applyFont="1" applyFill="1" applyBorder="1" applyAlignment="1">
      <alignment horizontal="center" vertical="center" wrapText="1"/>
    </xf>
    <xf numFmtId="0" fontId="20" fillId="14" borderId="42" xfId="3" applyFont="1" applyFill="1" applyBorder="1" applyAlignment="1">
      <alignment horizontal="center" vertical="center" wrapText="1"/>
    </xf>
    <xf numFmtId="4" fontId="26" fillId="7" borderId="15" xfId="1" applyNumberFormat="1" applyFont="1" applyFill="1" applyBorder="1" applyAlignment="1">
      <alignment horizontal="center" vertical="center" wrapText="1"/>
    </xf>
    <xf numFmtId="4" fontId="26" fillId="6" borderId="47" xfId="1" applyNumberFormat="1" applyFont="1" applyFill="1" applyBorder="1" applyAlignment="1">
      <alignment horizontal="center" vertical="center" wrapText="1"/>
    </xf>
    <xf numFmtId="4" fontId="26" fillId="6" borderId="12" xfId="1" applyNumberFormat="1" applyFont="1" applyFill="1" applyBorder="1" applyAlignment="1">
      <alignment horizontal="center" vertical="center" wrapText="1"/>
    </xf>
    <xf numFmtId="4" fontId="26" fillId="6" borderId="7" xfId="1" applyNumberFormat="1" applyFont="1" applyFill="1" applyBorder="1" applyAlignment="1">
      <alignment horizontal="center" vertical="center" wrapText="1"/>
    </xf>
    <xf numFmtId="4" fontId="26" fillId="6" borderId="44" xfId="1" applyNumberFormat="1" applyFont="1" applyFill="1" applyBorder="1" applyAlignment="1">
      <alignment horizontal="center" vertical="center" wrapText="1"/>
    </xf>
    <xf numFmtId="3" fontId="26" fillId="6" borderId="6" xfId="1" applyNumberFormat="1" applyFont="1" applyFill="1" applyBorder="1" applyAlignment="1">
      <alignment horizontal="center" vertical="center" wrapText="1"/>
    </xf>
    <xf numFmtId="3" fontId="26" fillId="6" borderId="12" xfId="1" applyNumberFormat="1" applyFont="1" applyFill="1" applyBorder="1" applyAlignment="1">
      <alignment horizontal="center" vertical="center" wrapText="1"/>
    </xf>
    <xf numFmtId="4" fontId="26" fillId="6" borderId="17" xfId="1" applyNumberFormat="1" applyFont="1" applyFill="1" applyBorder="1" applyAlignment="1">
      <alignment horizontal="center" vertical="center" wrapText="1"/>
    </xf>
    <xf numFmtId="4" fontId="26" fillId="6" borderId="13" xfId="1" applyNumberFormat="1" applyFont="1" applyFill="1" applyBorder="1" applyAlignment="1">
      <alignment horizontal="center" vertical="center" wrapText="1"/>
    </xf>
    <xf numFmtId="4" fontId="26" fillId="6" borderId="6" xfId="1" applyNumberFormat="1" applyFont="1" applyFill="1" applyBorder="1" applyAlignment="1">
      <alignment horizontal="center" vertical="center" wrapText="1"/>
    </xf>
    <xf numFmtId="169" fontId="26" fillId="6" borderId="12" xfId="1" applyFont="1" applyFill="1" applyBorder="1" applyAlignment="1">
      <alignment horizontal="center" vertical="center" wrapText="1"/>
    </xf>
    <xf numFmtId="168" fontId="26" fillId="6" borderId="47" xfId="2" applyFont="1" applyFill="1" applyBorder="1" applyAlignment="1">
      <alignment horizontal="center" vertical="center" wrapText="1"/>
    </xf>
    <xf numFmtId="168" fontId="26" fillId="6" borderId="12" xfId="2" applyFont="1" applyFill="1" applyBorder="1" applyAlignment="1">
      <alignment horizontal="center" vertical="center" wrapText="1"/>
    </xf>
    <xf numFmtId="168" fontId="26" fillId="6" borderId="17" xfId="2" applyFont="1" applyFill="1" applyBorder="1" applyAlignment="1">
      <alignment horizontal="center" vertical="center" wrapText="1"/>
    </xf>
    <xf numFmtId="168" fontId="26" fillId="6" borderId="13" xfId="2" applyFont="1" applyFill="1" applyBorder="1" applyAlignment="1">
      <alignment horizontal="center" vertical="center" wrapText="1"/>
    </xf>
    <xf numFmtId="0" fontId="4" fillId="15" borderId="16" xfId="3" applyFont="1" applyFill="1" applyBorder="1" applyAlignment="1">
      <alignment horizontal="center" vertical="center" wrapText="1"/>
    </xf>
    <xf numFmtId="168" fontId="26" fillId="6" borderId="6" xfId="2" applyFont="1" applyFill="1" applyBorder="1" applyAlignment="1">
      <alignment horizontal="center" vertical="center" wrapText="1"/>
    </xf>
    <xf numFmtId="169" fontId="14" fillId="6" borderId="47" xfId="1" applyFont="1" applyFill="1" applyBorder="1" applyAlignment="1">
      <alignment horizontal="center" vertical="center" wrapText="1"/>
    </xf>
    <xf numFmtId="169" fontId="20" fillId="5" borderId="9" xfId="1" applyFont="1" applyFill="1" applyBorder="1" applyAlignment="1">
      <alignment horizontal="center" vertical="center" wrapText="1"/>
    </xf>
    <xf numFmtId="169" fontId="23" fillId="7" borderId="15" xfId="1" applyFont="1" applyFill="1" applyBorder="1" applyAlignment="1">
      <alignment horizontal="center" vertical="center"/>
    </xf>
    <xf numFmtId="169" fontId="23" fillId="7" borderId="23" xfId="1" applyFont="1" applyFill="1" applyBorder="1" applyAlignment="1">
      <alignment horizontal="center" vertical="center"/>
    </xf>
    <xf numFmtId="0" fontId="24" fillId="9" borderId="17" xfId="0" applyFont="1" applyFill="1" applyBorder="1" applyAlignment="1">
      <alignment horizontal="center" vertical="center" wrapText="1"/>
    </xf>
    <xf numFmtId="0" fontId="24" fillId="9" borderId="13" xfId="0" applyFont="1" applyFill="1" applyBorder="1" applyAlignment="1">
      <alignment horizontal="center" vertical="center" wrapText="1"/>
    </xf>
    <xf numFmtId="0" fontId="24" fillId="9" borderId="40" xfId="0" applyFont="1" applyFill="1" applyBorder="1" applyAlignment="1">
      <alignment horizontal="center" vertical="center" wrapText="1"/>
    </xf>
    <xf numFmtId="169" fontId="18" fillId="7" borderId="15" xfId="1" applyFont="1" applyFill="1" applyBorder="1" applyAlignment="1">
      <alignment horizontal="center" vertical="center" wrapText="1"/>
    </xf>
    <xf numFmtId="4" fontId="20" fillId="5" borderId="9" xfId="6" applyNumberFormat="1" applyFont="1" applyFill="1" applyBorder="1" applyAlignment="1">
      <alignment horizontal="center" vertical="center"/>
    </xf>
    <xf numFmtId="9" fontId="22" fillId="6" borderId="47" xfId="6" applyFont="1" applyFill="1" applyBorder="1" applyAlignment="1">
      <alignment horizontal="center" vertical="center" wrapText="1"/>
    </xf>
    <xf numFmtId="0" fontId="4" fillId="9" borderId="6" xfId="0" applyFont="1" applyFill="1" applyBorder="1" applyAlignment="1">
      <alignment horizontal="center" vertical="center" wrapText="1"/>
    </xf>
    <xf numFmtId="0" fontId="4" fillId="10" borderId="0" xfId="0" applyFont="1" applyFill="1" applyAlignment="1">
      <alignment horizontal="center" vertical="center" wrapText="1"/>
    </xf>
    <xf numFmtId="0" fontId="4" fillId="9" borderId="47" xfId="0" applyFont="1" applyFill="1" applyBorder="1" applyAlignment="1">
      <alignment horizontal="center" vertical="center" wrapText="1"/>
    </xf>
    <xf numFmtId="0" fontId="0" fillId="10" borderId="0" xfId="0" applyFill="1" applyAlignment="1">
      <alignment wrapText="1"/>
    </xf>
    <xf numFmtId="0" fontId="0" fillId="0" borderId="6" xfId="0" applyBorder="1" applyAlignment="1">
      <alignment horizontal="center" vertical="center" wrapText="1"/>
    </xf>
    <xf numFmtId="169" fontId="28" fillId="10" borderId="6" xfId="1" applyFont="1" applyFill="1" applyBorder="1" applyAlignment="1">
      <alignment horizontal="center" vertical="center" wrapText="1"/>
    </xf>
    <xf numFmtId="0" fontId="0" fillId="10" borderId="6" xfId="0" applyFill="1" applyBorder="1" applyAlignment="1">
      <alignment horizontal="center" vertical="center" wrapText="1"/>
    </xf>
    <xf numFmtId="168" fontId="0" fillId="10" borderId="0" xfId="2" applyFont="1" applyFill="1" applyAlignment="1">
      <alignment horizontal="center" vertical="center" wrapText="1"/>
    </xf>
    <xf numFmtId="168" fontId="0" fillId="10" borderId="47" xfId="2" applyFont="1" applyFill="1" applyBorder="1" applyAlignment="1">
      <alignment horizontal="center" vertical="center" wrapText="1"/>
    </xf>
    <xf numFmtId="0" fontId="0" fillId="10" borderId="0" xfId="0" applyFill="1" applyAlignment="1">
      <alignment horizontal="center" vertical="center" wrapText="1"/>
    </xf>
    <xf numFmtId="9" fontId="0" fillId="10" borderId="0" xfId="6" applyFont="1" applyFill="1" applyAlignment="1">
      <alignment horizontal="center" vertical="center" wrapText="1"/>
    </xf>
    <xf numFmtId="169" fontId="0" fillId="10" borderId="0" xfId="1" applyFont="1" applyFill="1" applyAlignment="1">
      <alignment horizontal="center" vertical="center" wrapText="1"/>
    </xf>
    <xf numFmtId="169" fontId="0" fillId="10" borderId="47" xfId="1" applyFont="1" applyFill="1" applyBorder="1" applyAlignment="1">
      <alignment horizontal="center" vertical="center" wrapText="1"/>
    </xf>
    <xf numFmtId="169" fontId="0" fillId="10" borderId="0" xfId="1" applyFont="1" applyFill="1" applyAlignment="1">
      <alignment wrapText="1"/>
    </xf>
    <xf numFmtId="10" fontId="0" fillId="10" borderId="47" xfId="6" applyNumberFormat="1" applyFont="1" applyFill="1" applyBorder="1" applyAlignment="1">
      <alignment horizontal="center" vertical="center" wrapText="1"/>
    </xf>
    <xf numFmtId="0" fontId="6" fillId="9" borderId="47" xfId="0" applyFont="1" applyFill="1" applyBorder="1"/>
    <xf numFmtId="9" fontId="13" fillId="6" borderId="47" xfId="6" applyFont="1" applyFill="1" applyBorder="1" applyAlignment="1">
      <alignment horizontal="center" vertical="center" wrapText="1"/>
    </xf>
    <xf numFmtId="0" fontId="6" fillId="7" borderId="47" xfId="0" applyFont="1" applyFill="1" applyBorder="1" applyAlignment="1">
      <alignment horizontal="center" vertical="center" wrapText="1"/>
    </xf>
    <xf numFmtId="0" fontId="6" fillId="0" borderId="47" xfId="0" applyFont="1" applyBorder="1"/>
    <xf numFmtId="168" fontId="26" fillId="6" borderId="17" xfId="2" applyFont="1" applyFill="1" applyBorder="1" applyAlignment="1">
      <alignment horizontal="right" vertical="center" wrapText="1"/>
    </xf>
    <xf numFmtId="0" fontId="14" fillId="6" borderId="52" xfId="0" applyFont="1" applyFill="1" applyBorder="1" applyAlignment="1">
      <alignment horizontal="center" vertical="center" wrapText="1"/>
    </xf>
    <xf numFmtId="9" fontId="22" fillId="6" borderId="23" xfId="6" applyFont="1" applyFill="1" applyBorder="1" applyAlignment="1">
      <alignment horizontal="center" vertical="center" wrapText="1"/>
    </xf>
    <xf numFmtId="169" fontId="14" fillId="6" borderId="23" xfId="1" applyFont="1" applyFill="1" applyBorder="1" applyAlignment="1">
      <alignment horizontal="center" vertical="center" wrapText="1"/>
    </xf>
    <xf numFmtId="167" fontId="23" fillId="6" borderId="23" xfId="1" applyNumberFormat="1" applyFont="1" applyFill="1" applyBorder="1" applyAlignment="1">
      <alignment horizontal="center" vertical="center" wrapText="1"/>
    </xf>
    <xf numFmtId="169" fontId="4" fillId="7" borderId="23" xfId="1" applyFont="1" applyFill="1" applyBorder="1" applyAlignment="1">
      <alignment horizontal="center" vertical="center"/>
    </xf>
    <xf numFmtId="169" fontId="17" fillId="0" borderId="23" xfId="1" applyFont="1" applyFill="1" applyBorder="1" applyAlignment="1">
      <alignment horizontal="center" vertical="center" wrapText="1"/>
    </xf>
    <xf numFmtId="0" fontId="24" fillId="5" borderId="23" xfId="0" applyFont="1" applyFill="1" applyBorder="1" applyAlignment="1">
      <alignment horizontal="center" vertical="center" wrapText="1"/>
    </xf>
    <xf numFmtId="172" fontId="18" fillId="0" borderId="23" xfId="6" applyNumberFormat="1" applyFont="1" applyFill="1" applyBorder="1" applyAlignment="1">
      <alignment horizontal="center" vertical="center" wrapText="1"/>
    </xf>
    <xf numFmtId="169" fontId="4" fillId="12" borderId="53" xfId="1" applyFont="1" applyFill="1" applyBorder="1"/>
    <xf numFmtId="0" fontId="6" fillId="12" borderId="41" xfId="0" applyFont="1" applyFill="1" applyBorder="1"/>
    <xf numFmtId="172" fontId="23" fillId="6" borderId="23" xfId="6" applyNumberFormat="1" applyFont="1" applyFill="1" applyBorder="1" applyAlignment="1">
      <alignment horizontal="center" vertical="center" wrapText="1"/>
    </xf>
    <xf numFmtId="0" fontId="6" fillId="7" borderId="21" xfId="0" applyFont="1" applyFill="1" applyBorder="1" applyAlignment="1">
      <alignment horizontal="center" vertical="center" wrapText="1"/>
    </xf>
    <xf numFmtId="0" fontId="6" fillId="7" borderId="15" xfId="0" applyFont="1" applyFill="1" applyBorder="1" applyAlignment="1">
      <alignment horizontal="center" vertical="center" wrapText="1"/>
    </xf>
    <xf numFmtId="0" fontId="13" fillId="6" borderId="14" xfId="0" applyFont="1" applyFill="1" applyBorder="1" applyAlignment="1">
      <alignment horizontal="center" vertical="center" wrapText="1"/>
    </xf>
    <xf numFmtId="167" fontId="23" fillId="6" borderId="47" xfId="1" applyNumberFormat="1" applyFont="1" applyFill="1" applyBorder="1" applyAlignment="1">
      <alignment horizontal="center" vertical="center" wrapText="1"/>
    </xf>
    <xf numFmtId="169" fontId="4" fillId="7" borderId="47" xfId="1" applyFont="1" applyFill="1" applyBorder="1" applyAlignment="1">
      <alignment horizontal="center" vertical="center"/>
    </xf>
    <xf numFmtId="169" fontId="17" fillId="0" borderId="47" xfId="1" applyFont="1" applyFill="1" applyBorder="1" applyAlignment="1">
      <alignment horizontal="center" vertical="center" wrapText="1"/>
    </xf>
    <xf numFmtId="0" fontId="24" fillId="5" borderId="47" xfId="0" applyFont="1" applyFill="1" applyBorder="1" applyAlignment="1">
      <alignment horizontal="center" vertical="center" wrapText="1"/>
    </xf>
    <xf numFmtId="172" fontId="18" fillId="0" borderId="47" xfId="6" applyNumberFormat="1" applyFont="1" applyFill="1" applyBorder="1" applyAlignment="1">
      <alignment horizontal="center" vertical="center" wrapText="1"/>
    </xf>
    <xf numFmtId="172" fontId="23" fillId="6" borderId="47" xfId="6" applyNumberFormat="1" applyFont="1" applyFill="1" applyBorder="1" applyAlignment="1">
      <alignment horizontal="center" vertical="center" wrapText="1"/>
    </xf>
    <xf numFmtId="0" fontId="6" fillId="7" borderId="14" xfId="0" applyFont="1" applyFill="1" applyBorder="1" applyAlignment="1">
      <alignment horizontal="center" vertical="center" wrapText="1"/>
    </xf>
    <xf numFmtId="0" fontId="13" fillId="6" borderId="11" xfId="0" applyFont="1" applyFill="1" applyBorder="1" applyAlignment="1">
      <alignment horizontal="center" vertical="center" wrapText="1"/>
    </xf>
    <xf numFmtId="0" fontId="6" fillId="0" borderId="12" xfId="33" applyFont="1" applyBorder="1"/>
    <xf numFmtId="0" fontId="24" fillId="5" borderId="13" xfId="0" applyFont="1" applyFill="1" applyBorder="1" applyAlignment="1">
      <alignment horizontal="center" vertical="center" wrapText="1"/>
    </xf>
    <xf numFmtId="0" fontId="13" fillId="6" borderId="52" xfId="0" applyFont="1" applyFill="1" applyBorder="1" applyAlignment="1">
      <alignment horizontal="center" vertical="center" wrapText="1"/>
    </xf>
    <xf numFmtId="9" fontId="13" fillId="6" borderId="23" xfId="6" applyFont="1" applyFill="1" applyBorder="1" applyAlignment="1">
      <alignment horizontal="center" vertical="center" wrapText="1"/>
    </xf>
    <xf numFmtId="0" fontId="6" fillId="0" borderId="12" xfId="0" applyFont="1" applyBorder="1" applyAlignment="1">
      <alignment horizontal="left"/>
    </xf>
    <xf numFmtId="0" fontId="6" fillId="6" borderId="12" xfId="0" applyFont="1" applyFill="1" applyBorder="1" applyAlignment="1">
      <alignment horizontal="left" vertical="center" wrapText="1"/>
    </xf>
    <xf numFmtId="0" fontId="6" fillId="0" borderId="12" xfId="0" applyFont="1" applyBorder="1"/>
    <xf numFmtId="0" fontId="27" fillId="6" borderId="52" xfId="4" applyFont="1" applyFill="1" applyBorder="1" applyAlignment="1">
      <alignment horizontal="center" vertical="center" wrapText="1"/>
    </xf>
    <xf numFmtId="169" fontId="27" fillId="0" borderId="23" xfId="1" applyFont="1" applyFill="1" applyBorder="1" applyAlignment="1">
      <alignment horizontal="center" vertical="center" wrapText="1"/>
    </xf>
    <xf numFmtId="10" fontId="26" fillId="6" borderId="23" xfId="3" applyNumberFormat="1" applyFont="1" applyFill="1" applyBorder="1" applyAlignment="1">
      <alignment horizontal="center" vertical="center" wrapText="1"/>
    </xf>
    <xf numFmtId="169" fontId="26" fillId="7" borderId="23" xfId="3" applyNumberFormat="1" applyFont="1" applyFill="1" applyBorder="1" applyAlignment="1">
      <alignment horizontal="center" vertical="center" wrapText="1"/>
    </xf>
    <xf numFmtId="4" fontId="26" fillId="6" borderId="54" xfId="1" applyNumberFormat="1" applyFont="1" applyFill="1" applyBorder="1" applyAlignment="1">
      <alignment horizontal="center" vertical="center" wrapText="1"/>
    </xf>
    <xf numFmtId="4" fontId="26" fillId="6" borderId="41" xfId="1" applyNumberFormat="1" applyFont="1" applyFill="1" applyBorder="1" applyAlignment="1">
      <alignment horizontal="center" vertical="center" wrapText="1"/>
    </xf>
    <xf numFmtId="3" fontId="26" fillId="7" borderId="23" xfId="1" applyNumberFormat="1" applyFont="1" applyFill="1" applyBorder="1" applyAlignment="1">
      <alignment horizontal="center" vertical="center" wrapText="1"/>
    </xf>
    <xf numFmtId="4" fontId="26" fillId="6" borderId="23" xfId="1" applyNumberFormat="1" applyFont="1" applyFill="1" applyBorder="1" applyAlignment="1">
      <alignment horizontal="center" vertical="center" wrapText="1"/>
    </xf>
    <xf numFmtId="169" fontId="26" fillId="6" borderId="41" xfId="1" applyFont="1" applyFill="1" applyBorder="1" applyAlignment="1">
      <alignment horizontal="center" vertical="center" wrapText="1"/>
    </xf>
    <xf numFmtId="168" fontId="26" fillId="6" borderId="41" xfId="2" applyFont="1" applyFill="1" applyBorder="1" applyAlignment="1">
      <alignment horizontal="center" vertical="center" wrapText="1"/>
    </xf>
    <xf numFmtId="171" fontId="26" fillId="7" borderId="23" xfId="1" applyNumberFormat="1" applyFont="1" applyFill="1" applyBorder="1" applyAlignment="1">
      <alignment horizontal="center" vertical="center" wrapText="1"/>
    </xf>
    <xf numFmtId="169" fontId="26" fillId="7" borderId="23" xfId="1" applyFont="1" applyFill="1" applyBorder="1" applyAlignment="1">
      <alignment horizontal="center" vertical="center" wrapText="1"/>
    </xf>
    <xf numFmtId="168" fontId="26" fillId="6" borderId="23" xfId="2" applyFont="1" applyFill="1" applyBorder="1" applyAlignment="1">
      <alignment horizontal="center" vertical="center" wrapText="1"/>
    </xf>
    <xf numFmtId="3" fontId="26" fillId="6" borderId="23" xfId="1" applyNumberFormat="1" applyFont="1" applyFill="1" applyBorder="1" applyAlignment="1">
      <alignment horizontal="center" vertical="center" wrapText="1"/>
    </xf>
    <xf numFmtId="169" fontId="26" fillId="6" borderId="54" xfId="1" applyFont="1" applyFill="1" applyBorder="1" applyAlignment="1">
      <alignment horizontal="center" vertical="center" wrapText="1"/>
    </xf>
    <xf numFmtId="0" fontId="24" fillId="9" borderId="41" xfId="0" applyFont="1" applyFill="1" applyBorder="1" applyAlignment="1">
      <alignment horizontal="center" vertical="center" wrapText="1"/>
    </xf>
    <xf numFmtId="3" fontId="26" fillId="6" borderId="47" xfId="1" applyNumberFormat="1" applyFont="1" applyFill="1" applyBorder="1" applyAlignment="1">
      <alignment horizontal="center" vertical="center" wrapText="1"/>
    </xf>
    <xf numFmtId="169" fontId="26" fillId="6" borderId="44" xfId="1" applyFont="1" applyFill="1" applyBorder="1" applyAlignment="1">
      <alignment horizontal="center" vertical="center" wrapText="1"/>
    </xf>
    <xf numFmtId="0" fontId="3" fillId="10" borderId="0" xfId="0" applyFont="1" applyFill="1"/>
    <xf numFmtId="0" fontId="5" fillId="0" borderId="0" xfId="0" applyFont="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6" applyFont="1" applyFill="1" applyBorder="1" applyAlignment="1">
      <alignment horizontal="center" vertical="center" wrapText="1"/>
    </xf>
    <xf numFmtId="9" fontId="4" fillId="3" borderId="8" xfId="6" applyFont="1" applyFill="1" applyBorder="1" applyAlignment="1">
      <alignment horizontal="center" vertical="center" wrapText="1"/>
    </xf>
    <xf numFmtId="9" fontId="4" fillId="3" borderId="3" xfId="6" applyFont="1" applyFill="1" applyBorder="1" applyAlignment="1">
      <alignment horizontal="center" vertical="center" wrapText="1"/>
    </xf>
    <xf numFmtId="9" fontId="4" fillId="3" borderId="9" xfId="6" applyFont="1" applyFill="1" applyBorder="1" applyAlignment="1">
      <alignment horizontal="center" vertical="center" wrapText="1"/>
    </xf>
    <xf numFmtId="9" fontId="4" fillId="3" borderId="19" xfId="6" quotePrefix="1" applyFont="1" applyFill="1" applyBorder="1" applyAlignment="1">
      <alignment horizontal="center" vertical="center"/>
    </xf>
    <xf numFmtId="9" fontId="4" fillId="3" borderId="31" xfId="6" quotePrefix="1" applyFont="1" applyFill="1" applyBorder="1" applyAlignment="1">
      <alignment horizontal="center" vertical="center"/>
    </xf>
    <xf numFmtId="0" fontId="4" fillId="3" borderId="21"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21" xfId="0" applyNumberFormat="1" applyFont="1" applyBorder="1" applyAlignment="1">
      <alignment horizontal="center" vertical="center"/>
    </xf>
    <xf numFmtId="1" fontId="6" fillId="0" borderId="14" xfId="0" applyNumberFormat="1" applyFont="1" applyBorder="1" applyAlignment="1">
      <alignment horizontal="center" vertical="center"/>
    </xf>
    <xf numFmtId="0" fontId="4" fillId="10" borderId="33" xfId="0" applyFont="1" applyFill="1" applyBorder="1" applyAlignment="1">
      <alignment horizontal="center" vertical="center"/>
    </xf>
    <xf numFmtId="0" fontId="4" fillId="10" borderId="20" xfId="0" applyFont="1" applyFill="1" applyBorder="1" applyAlignment="1">
      <alignment horizontal="center" vertical="center"/>
    </xf>
    <xf numFmtId="0" fontId="4" fillId="10" borderId="34" xfId="0" applyFont="1" applyFill="1" applyBorder="1" applyAlignment="1">
      <alignment horizontal="center" vertical="center"/>
    </xf>
    <xf numFmtId="0" fontId="0" fillId="10" borderId="0" xfId="0" applyFill="1" applyAlignment="1">
      <alignment horizontal="center"/>
    </xf>
    <xf numFmtId="0" fontId="7" fillId="6" borderId="0" xfId="0" applyFont="1" applyFill="1" applyAlignment="1">
      <alignment horizontal="center"/>
    </xf>
    <xf numFmtId="0" fontId="32" fillId="6" borderId="0" xfId="0" applyFont="1" applyFill="1" applyAlignment="1">
      <alignment horizontal="center"/>
    </xf>
    <xf numFmtId="0" fontId="33" fillId="6" borderId="0" xfId="0" applyFont="1" applyFill="1" applyAlignment="1">
      <alignment horizontal="center"/>
    </xf>
    <xf numFmtId="167" fontId="17" fillId="3" borderId="32" xfId="0" applyNumberFormat="1" applyFont="1" applyFill="1" applyBorder="1" applyAlignment="1">
      <alignment horizontal="center" vertical="center" wrapText="1"/>
    </xf>
    <xf numFmtId="0" fontId="17" fillId="3" borderId="19" xfId="0" applyFont="1" applyFill="1" applyBorder="1" applyAlignment="1">
      <alignment horizontal="center" vertical="center" textRotation="90"/>
    </xf>
    <xf numFmtId="0" fontId="17" fillId="3" borderId="32" xfId="0" applyFont="1" applyFill="1" applyBorder="1" applyAlignment="1">
      <alignment horizontal="center" vertical="center" textRotation="90"/>
    </xf>
    <xf numFmtId="0" fontId="17" fillId="3" borderId="31" xfId="0" applyFont="1" applyFill="1" applyBorder="1" applyAlignment="1">
      <alignment horizontal="center" vertical="center" textRotation="90"/>
    </xf>
    <xf numFmtId="167" fontId="17" fillId="13" borderId="32" xfId="0" applyNumberFormat="1" applyFont="1" applyFill="1" applyBorder="1" applyAlignment="1">
      <alignment horizontal="center" vertical="center" wrapText="1"/>
    </xf>
    <xf numFmtId="0" fontId="17" fillId="3" borderId="8" xfId="0" applyFont="1" applyFill="1" applyBorder="1" applyAlignment="1">
      <alignment horizontal="center" vertical="center" textRotation="90"/>
    </xf>
    <xf numFmtId="0" fontId="17" fillId="3" borderId="10" xfId="0" applyFont="1" applyFill="1" applyBorder="1" applyAlignment="1">
      <alignment horizontal="center" vertical="center" textRotation="90"/>
    </xf>
    <xf numFmtId="0" fontId="17" fillId="3" borderId="9" xfId="0" applyFont="1" applyFill="1" applyBorder="1" applyAlignment="1">
      <alignment horizontal="center" vertical="center" textRotation="90"/>
    </xf>
    <xf numFmtId="9" fontId="17" fillId="3" borderId="10" xfId="6" applyFont="1" applyFill="1" applyBorder="1" applyAlignment="1">
      <alignment horizontal="center" vertical="center" wrapText="1"/>
    </xf>
    <xf numFmtId="169" fontId="17" fillId="3" borderId="32" xfId="1" applyFont="1" applyFill="1" applyBorder="1" applyAlignment="1">
      <alignment horizontal="center" vertical="center" wrapText="1"/>
    </xf>
    <xf numFmtId="9" fontId="17" fillId="3" borderId="19" xfId="6" applyFont="1" applyFill="1" applyBorder="1" applyAlignment="1">
      <alignment horizontal="center" vertical="center" wrapText="1"/>
    </xf>
    <xf numFmtId="9" fontId="17" fillId="3" borderId="32" xfId="6" applyFont="1" applyFill="1" applyBorder="1" applyAlignment="1">
      <alignment horizontal="center" vertical="center" wrapText="1"/>
    </xf>
    <xf numFmtId="0" fontId="19" fillId="4" borderId="33" xfId="0" applyFont="1" applyFill="1" applyBorder="1" applyAlignment="1">
      <alignment horizontal="center" vertical="center" wrapText="1"/>
    </xf>
    <xf numFmtId="0" fontId="19" fillId="4" borderId="20" xfId="0" applyFont="1" applyFill="1" applyBorder="1" applyAlignment="1">
      <alignment horizontal="center" vertical="center" wrapText="1"/>
    </xf>
    <xf numFmtId="0" fontId="19" fillId="4" borderId="34" xfId="0" applyFont="1" applyFill="1" applyBorder="1" applyAlignment="1">
      <alignment horizontal="center" vertical="center" wrapText="1"/>
    </xf>
    <xf numFmtId="167" fontId="17" fillId="4" borderId="33" xfId="0" applyNumberFormat="1" applyFont="1" applyFill="1" applyBorder="1" applyAlignment="1">
      <alignment horizontal="center" vertical="center" wrapText="1"/>
    </xf>
    <xf numFmtId="167" fontId="17" fillId="4" borderId="34" xfId="0" applyNumberFormat="1" applyFont="1" applyFill="1" applyBorder="1" applyAlignment="1">
      <alignment horizontal="center" vertical="center" wrapText="1"/>
    </xf>
    <xf numFmtId="0" fontId="17" fillId="4" borderId="33" xfId="0" applyFont="1" applyFill="1" applyBorder="1" applyAlignment="1">
      <alignment horizontal="center" vertical="center"/>
    </xf>
    <xf numFmtId="0" fontId="17" fillId="4" borderId="20" xfId="0" applyFont="1" applyFill="1" applyBorder="1" applyAlignment="1">
      <alignment horizontal="center" vertical="center"/>
    </xf>
    <xf numFmtId="0" fontId="7" fillId="6" borderId="0" xfId="0" applyFont="1" applyFill="1" applyAlignment="1">
      <alignment horizontal="center" vertical="center"/>
    </xf>
    <xf numFmtId="0" fontId="20" fillId="3" borderId="19" xfId="0" applyFont="1" applyFill="1" applyBorder="1" applyAlignment="1">
      <alignment horizontal="center" vertical="center" textRotation="90" wrapText="1"/>
    </xf>
    <xf numFmtId="0" fontId="0" fillId="0" borderId="32" xfId="0" applyBorder="1" applyAlignment="1">
      <alignment textRotation="90"/>
    </xf>
    <xf numFmtId="0" fontId="17" fillId="13" borderId="19" xfId="0" applyFont="1" applyFill="1" applyBorder="1" applyAlignment="1">
      <alignment horizontal="center" vertical="center" textRotation="90"/>
    </xf>
    <xf numFmtId="0" fontId="17" fillId="13" borderId="32" xfId="0" applyFont="1" applyFill="1" applyBorder="1" applyAlignment="1">
      <alignment horizontal="center" vertical="center" textRotation="90"/>
    </xf>
    <xf numFmtId="0" fontId="17" fillId="13" borderId="31" xfId="0" applyFont="1" applyFill="1" applyBorder="1" applyAlignment="1">
      <alignment horizontal="center" vertical="center" textRotation="90"/>
    </xf>
    <xf numFmtId="0" fontId="17" fillId="3" borderId="32" xfId="0" applyFont="1" applyFill="1" applyBorder="1" applyAlignment="1">
      <alignment horizontal="center" vertical="center" wrapText="1"/>
    </xf>
    <xf numFmtId="0" fontId="17" fillId="3" borderId="31" xfId="0" applyFont="1" applyFill="1" applyBorder="1" applyAlignment="1">
      <alignment horizontal="center" vertical="center" wrapText="1"/>
    </xf>
    <xf numFmtId="0" fontId="20" fillId="3" borderId="5" xfId="0" quotePrefix="1" applyFont="1" applyFill="1" applyBorder="1" applyAlignment="1">
      <alignment horizontal="center" vertical="center" wrapText="1"/>
    </xf>
    <xf numFmtId="0" fontId="20" fillId="3" borderId="8" xfId="0" quotePrefix="1" applyFont="1" applyFill="1" applyBorder="1" applyAlignment="1">
      <alignment horizontal="center" vertical="center" wrapText="1"/>
    </xf>
    <xf numFmtId="0" fontId="17" fillId="3" borderId="19" xfId="0" applyFont="1" applyFill="1" applyBorder="1" applyAlignment="1">
      <alignment horizontal="center" vertical="center" wrapText="1"/>
    </xf>
    <xf numFmtId="167" fontId="17" fillId="13" borderId="19" xfId="0" applyNumberFormat="1" applyFont="1" applyFill="1" applyBorder="1" applyAlignment="1">
      <alignment horizontal="center" vertical="center" wrapText="1"/>
    </xf>
    <xf numFmtId="167" fontId="17" fillId="13" borderId="31" xfId="0" applyNumberFormat="1" applyFont="1" applyFill="1" applyBorder="1" applyAlignment="1">
      <alignment horizontal="center" vertical="center" wrapText="1"/>
    </xf>
    <xf numFmtId="9" fontId="17" fillId="8" borderId="19" xfId="6" applyFont="1" applyFill="1" applyBorder="1" applyAlignment="1">
      <alignment horizontal="center" vertical="center" wrapText="1"/>
    </xf>
    <xf numFmtId="9" fontId="17" fillId="8" borderId="32" xfId="6"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0" fontId="17" fillId="3" borderId="28"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20" fillId="14" borderId="43" xfId="3" applyFont="1" applyFill="1" applyBorder="1" applyAlignment="1">
      <alignment horizontal="center" vertical="center" wrapText="1"/>
    </xf>
    <xf numFmtId="0" fontId="20" fillId="14" borderId="30" xfId="3" applyFont="1" applyFill="1" applyBorder="1" applyAlignment="1">
      <alignment horizontal="center" vertical="center" wrapText="1"/>
    </xf>
    <xf numFmtId="0" fontId="31" fillId="10" borderId="0" xfId="0" applyFont="1" applyFill="1" applyAlignment="1">
      <alignment horizontal="center" vertical="center" wrapText="1"/>
    </xf>
    <xf numFmtId="0" fontId="34" fillId="10" borderId="0" xfId="0" applyFont="1" applyFill="1" applyAlignment="1">
      <alignment horizontal="center" vertical="center" wrapText="1"/>
    </xf>
    <xf numFmtId="0" fontId="4" fillId="10" borderId="0" xfId="0" applyFont="1" applyFill="1" applyAlignment="1">
      <alignment horizontal="center" vertical="center" wrapText="1"/>
    </xf>
    <xf numFmtId="0" fontId="20" fillId="14" borderId="35" xfId="4" applyFont="1" applyFill="1" applyBorder="1" applyAlignment="1">
      <alignment horizontal="center" vertical="center" textRotation="90" wrapText="1"/>
    </xf>
    <xf numFmtId="0" fontId="20" fillId="14" borderId="45" xfId="4" applyFont="1" applyFill="1" applyBorder="1" applyAlignment="1">
      <alignment horizontal="center" vertical="center" textRotation="90" wrapText="1"/>
    </xf>
    <xf numFmtId="9" fontId="17" fillId="14" borderId="22" xfId="6" applyFont="1" applyFill="1" applyBorder="1" applyAlignment="1">
      <alignment horizontal="center" vertical="center" wrapText="1"/>
    </xf>
    <xf numFmtId="9" fontId="17" fillId="14" borderId="46" xfId="6" applyFont="1" applyFill="1" applyBorder="1" applyAlignment="1">
      <alignment horizontal="center" vertical="center" wrapText="1"/>
    </xf>
    <xf numFmtId="4" fontId="20" fillId="14" borderId="22" xfId="3" applyNumberFormat="1" applyFont="1" applyFill="1" applyBorder="1" applyAlignment="1">
      <alignment horizontal="center" vertical="center" wrapText="1"/>
    </xf>
    <xf numFmtId="4" fontId="20" fillId="14" borderId="46" xfId="3" applyNumberFormat="1" applyFont="1" applyFill="1" applyBorder="1" applyAlignment="1">
      <alignment horizontal="center" vertical="center" wrapText="1"/>
    </xf>
    <xf numFmtId="0" fontId="20" fillId="14" borderId="22" xfId="3" applyFont="1" applyFill="1" applyBorder="1" applyAlignment="1">
      <alignment horizontal="center" vertical="center" wrapText="1"/>
    </xf>
    <xf numFmtId="0" fontId="20" fillId="14" borderId="46" xfId="3" applyFont="1" applyFill="1" applyBorder="1" applyAlignment="1">
      <alignment horizontal="center" vertical="center" wrapText="1"/>
    </xf>
    <xf numFmtId="0" fontId="20" fillId="14" borderId="40" xfId="3" applyFont="1" applyFill="1" applyBorder="1" applyAlignment="1">
      <alignment horizontal="center" vertical="center" wrapText="1"/>
    </xf>
    <xf numFmtId="0" fontId="20" fillId="14" borderId="42" xfId="3" applyFont="1" applyFill="1" applyBorder="1" applyAlignment="1">
      <alignment horizontal="center" vertical="center" wrapText="1"/>
    </xf>
    <xf numFmtId="0" fontId="20" fillId="3" borderId="35" xfId="4" applyFont="1" applyFill="1" applyBorder="1" applyAlignment="1">
      <alignment horizontal="center" vertical="center" textRotation="90" wrapText="1"/>
    </xf>
    <xf numFmtId="0" fontId="20" fillId="3" borderId="36" xfId="4" applyFont="1" applyFill="1" applyBorder="1" applyAlignment="1">
      <alignment horizontal="center" vertical="center" textRotation="90" wrapText="1"/>
    </xf>
    <xf numFmtId="0" fontId="20" fillId="3" borderId="45" xfId="4" applyFont="1" applyFill="1" applyBorder="1" applyAlignment="1">
      <alignment horizontal="center" vertical="center" textRotation="90" wrapText="1"/>
    </xf>
    <xf numFmtId="9" fontId="17" fillId="3" borderId="22" xfId="6" applyFont="1" applyFill="1" applyBorder="1" applyAlignment="1">
      <alignment horizontal="center" vertical="center" wrapText="1"/>
    </xf>
    <xf numFmtId="9" fontId="17" fillId="3" borderId="25" xfId="6" applyFont="1" applyFill="1" applyBorder="1" applyAlignment="1">
      <alignment horizontal="center" vertical="center" wrapText="1"/>
    </xf>
    <xf numFmtId="9" fontId="17" fillId="3" borderId="46" xfId="6" applyFont="1" applyFill="1" applyBorder="1" applyAlignment="1">
      <alignment horizontal="center" vertical="center" wrapText="1"/>
    </xf>
    <xf numFmtId="4" fontId="20" fillId="3" borderId="24" xfId="3" applyNumberFormat="1" applyFont="1" applyFill="1" applyBorder="1" applyAlignment="1">
      <alignment horizontal="center" vertical="center" wrapText="1"/>
    </xf>
    <xf numFmtId="4" fontId="20" fillId="3" borderId="46" xfId="3" applyNumberFormat="1" applyFont="1" applyFill="1" applyBorder="1" applyAlignment="1">
      <alignment horizontal="center" vertical="center" wrapText="1"/>
    </xf>
    <xf numFmtId="171" fontId="17" fillId="3" borderId="22" xfId="1" applyNumberFormat="1" applyFont="1" applyFill="1" applyBorder="1" applyAlignment="1">
      <alignment horizontal="center" vertical="center" textRotation="90"/>
    </xf>
    <xf numFmtId="171" fontId="17" fillId="3" borderId="25" xfId="1" applyNumberFormat="1" applyFont="1" applyFill="1" applyBorder="1" applyAlignment="1">
      <alignment horizontal="center" vertical="center" textRotation="90"/>
    </xf>
    <xf numFmtId="171" fontId="17" fillId="3" borderId="46" xfId="1" applyNumberFormat="1" applyFont="1" applyFill="1" applyBorder="1" applyAlignment="1">
      <alignment horizontal="center" vertical="center" textRotation="90"/>
    </xf>
    <xf numFmtId="0" fontId="17" fillId="3" borderId="22" xfId="0" applyFont="1" applyFill="1" applyBorder="1" applyAlignment="1">
      <alignment horizontal="center" vertical="center" textRotation="90" wrapText="1"/>
    </xf>
    <xf numFmtId="0" fontId="17" fillId="3" borderId="25" xfId="0" applyFont="1" applyFill="1" applyBorder="1" applyAlignment="1">
      <alignment horizontal="center" vertical="center" textRotation="90" wrapText="1"/>
    </xf>
    <xf numFmtId="0" fontId="17" fillId="3" borderId="46" xfId="0" applyFont="1" applyFill="1" applyBorder="1" applyAlignment="1">
      <alignment horizontal="center" vertical="center" textRotation="90" wrapText="1"/>
    </xf>
    <xf numFmtId="0" fontId="4" fillId="15" borderId="27" xfId="3" applyFont="1" applyFill="1" applyBorder="1" applyAlignment="1">
      <alignment horizontal="center" vertical="center" wrapText="1"/>
    </xf>
    <xf numFmtId="0" fontId="4" fillId="15" borderId="42" xfId="3" applyFont="1" applyFill="1" applyBorder="1" applyAlignment="1">
      <alignment horizontal="center" vertical="center" wrapText="1"/>
    </xf>
    <xf numFmtId="0" fontId="20" fillId="11" borderId="24" xfId="3" applyFont="1" applyFill="1" applyBorder="1" applyAlignment="1">
      <alignment horizontal="center" vertical="center" wrapText="1"/>
    </xf>
    <xf numFmtId="0" fontId="20" fillId="11" borderId="46" xfId="3" applyFont="1" applyFill="1" applyBorder="1" applyAlignment="1">
      <alignment horizontal="center" vertical="center" wrapText="1"/>
    </xf>
    <xf numFmtId="0" fontId="20" fillId="3" borderId="24" xfId="3" applyFont="1" applyFill="1" applyBorder="1" applyAlignment="1">
      <alignment horizontal="center" vertical="center" wrapText="1"/>
    </xf>
    <xf numFmtId="0" fontId="20" fillId="3" borderId="46" xfId="3" applyFont="1" applyFill="1" applyBorder="1" applyAlignment="1">
      <alignment horizontal="center" vertical="center" wrapText="1"/>
    </xf>
  </cellXfs>
  <cellStyles count="34">
    <cellStyle name="Hipervínculo" xfId="33" builtinId="8"/>
    <cellStyle name="Millares" xfId="1" builtinId="3"/>
    <cellStyle name="Millares 12" xfId="30" xr:uid="{00000000-0005-0000-0000-000002000000}"/>
    <cellStyle name="Millares 16 8" xfId="21" xr:uid="{00000000-0005-0000-0000-000003000000}"/>
    <cellStyle name="Millares 2" xfId="11" xr:uid="{00000000-0005-0000-0000-000004000000}"/>
    <cellStyle name="Millares 2 2" xfId="14" xr:uid="{00000000-0005-0000-0000-000005000000}"/>
    <cellStyle name="Millares 3" xfId="13" xr:uid="{00000000-0005-0000-0000-000006000000}"/>
    <cellStyle name="Millares 4" xfId="28" xr:uid="{00000000-0005-0000-0000-000007000000}"/>
    <cellStyle name="Millares 43" xfId="24" xr:uid="{00000000-0005-0000-0000-000008000000}"/>
    <cellStyle name="Millares 5" xfId="22" xr:uid="{00000000-0005-0000-0000-000009000000}"/>
    <cellStyle name="Millares 66" xfId="23" xr:uid="{00000000-0005-0000-0000-00000A000000}"/>
    <cellStyle name="Moneda" xfId="2" builtinId="4"/>
    <cellStyle name="Moneda 2" xfId="9" xr:uid="{00000000-0005-0000-0000-00000C000000}"/>
    <cellStyle name="Normal" xfId="0" builtinId="0"/>
    <cellStyle name="Normal 10" xfId="20" xr:uid="{00000000-0005-0000-0000-00000E000000}"/>
    <cellStyle name="Normal 11 45 9" xfId="27" xr:uid="{00000000-0005-0000-0000-00000F000000}"/>
    <cellStyle name="Normal 12 2" xfId="26" xr:uid="{00000000-0005-0000-0000-000010000000}"/>
    <cellStyle name="Normal 2" xfId="7" xr:uid="{00000000-0005-0000-0000-000011000000}"/>
    <cellStyle name="Normal 2 2" xfId="3" xr:uid="{00000000-0005-0000-0000-000012000000}"/>
    <cellStyle name="Normal 3" xfId="4" xr:uid="{00000000-0005-0000-0000-000013000000}"/>
    <cellStyle name="Normal 4" xfId="8" xr:uid="{00000000-0005-0000-0000-000014000000}"/>
    <cellStyle name="Normal 4 3 2" xfId="16" xr:uid="{00000000-0005-0000-0000-000015000000}"/>
    <cellStyle name="Normal 5" xfId="10" xr:uid="{00000000-0005-0000-0000-000016000000}"/>
    <cellStyle name="Normal 68 2 2" xfId="31" xr:uid="{00000000-0005-0000-0000-000017000000}"/>
    <cellStyle name="Normal 73" xfId="18" xr:uid="{00000000-0005-0000-0000-000018000000}"/>
    <cellStyle name="Normal_Los 100 Grupos Tramos - 4 ABR 2005" xfId="5" xr:uid="{00000000-0005-0000-0000-000019000000}"/>
    <cellStyle name="Porcentaje" xfId="6" builtinId="5"/>
    <cellStyle name="Porcentaje 2" xfId="19" xr:uid="{00000000-0005-0000-0000-00001B000000}"/>
    <cellStyle name="Porcentaje 3" xfId="15" xr:uid="{00000000-0005-0000-0000-00001C000000}"/>
    <cellStyle name="Porcentaje 3 2 2" xfId="17" xr:uid="{00000000-0005-0000-0000-00001D000000}"/>
    <cellStyle name="Porcentaje 8" xfId="25" xr:uid="{00000000-0005-0000-0000-00001E000000}"/>
    <cellStyle name="Porcentaje 8 2" xfId="29" xr:uid="{00000000-0005-0000-0000-00001F000000}"/>
    <cellStyle name="Porcentual 2" xfId="12" xr:uid="{00000000-0005-0000-0000-000020000000}"/>
    <cellStyle name="Porcentual 2 2" xfId="32" xr:uid="{00000000-0005-0000-0000-000021000000}"/>
  </cellStyles>
  <dxfs count="280">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0</xdr:rowOff>
        </xdr:from>
        <xdr:to>
          <xdr:col>1</xdr:col>
          <xdr:colOff>0</xdr:colOff>
          <xdr:row>2</xdr:row>
          <xdr:rowOff>0</xdr:rowOff>
        </xdr:to>
        <xdr:sp macro="" textlink="">
          <xdr:nvSpPr>
            <xdr:cNvPr id="1058" name="Button 34" descr="No. Propuestas" hidden="1">
              <a:extLst>
                <a:ext uri="{63B3BB69-23CF-44E3-9099-C40C66FF867C}">
                  <a14:compatExt spid="_x0000_s1058"/>
                </a:ext>
                <a:ext uri="{FF2B5EF4-FFF2-40B4-BE49-F238E27FC236}">
                  <a16:creationId xmlns:a16="http://schemas.microsoft.com/office/drawing/2014/main" id="{00000000-0008-0000-0300-00002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0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400-000001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600-0000017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32769" name="Button 1" hidden="1">
              <a:extLst>
                <a:ext uri="{63B3BB69-23CF-44E3-9099-C40C66FF867C}">
                  <a14:compatExt spid="_x0000_s32769"/>
                </a:ext>
                <a:ext uri="{FF2B5EF4-FFF2-40B4-BE49-F238E27FC236}">
                  <a16:creationId xmlns:a16="http://schemas.microsoft.com/office/drawing/2014/main" id="{00000000-0008-0000-0700-000001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0800-0000018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8202" name="Button 10" hidden="1">
              <a:extLst>
                <a:ext uri="{63B3BB69-23CF-44E3-9099-C40C66FF867C}">
                  <a14:compatExt spid="_x0000_s8202"/>
                </a:ext>
                <a:ext uri="{FF2B5EF4-FFF2-40B4-BE49-F238E27FC236}">
                  <a16:creationId xmlns:a16="http://schemas.microsoft.com/office/drawing/2014/main" id="{00000000-0008-0000-0900-00000A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javascript:void(0);" TargetMode="Externa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trlProp" Target="../ctrlProps/ctrlProp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trlProp" Target="../ctrlProps/ctrlProp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trlProp" Target="../ctrlProps/ctrlProp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0.bin"/><Relationship Id="rId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B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2.75" x14ac:dyDescent="0.2"/>
  <cols>
    <col min="2" max="2" width="3.7109375" customWidth="1"/>
    <col min="3" max="3" width="6.85546875" customWidth="1"/>
    <col min="4" max="4" width="43" bestFit="1" customWidth="1"/>
    <col min="5" max="5" width="14.140625" bestFit="1" customWidth="1"/>
    <col min="6" max="6" width="13.85546875" bestFit="1" customWidth="1"/>
    <col min="7" max="7" width="14.140625" bestFit="1" customWidth="1"/>
    <col min="8" max="8" width="14" bestFit="1" customWidth="1"/>
    <col min="9" max="9" width="14.140625" bestFit="1" customWidth="1"/>
    <col min="10" max="11" width="13.85546875" bestFit="1" customWidth="1"/>
    <col min="12" max="12" width="14.140625" bestFit="1" customWidth="1"/>
    <col min="13" max="13" width="13.85546875" bestFit="1" customWidth="1"/>
    <col min="14" max="15" width="13.140625" bestFit="1" customWidth="1"/>
    <col min="16" max="18" width="14.140625" bestFit="1" customWidth="1"/>
    <col min="19" max="19" width="13.140625" bestFit="1" customWidth="1"/>
  </cols>
  <sheetData>
    <row r="3" spans="2:32" ht="13.5" thickBot="1" x14ac:dyDescent="0.25"/>
    <row r="4" spans="2:32" x14ac:dyDescent="0.2">
      <c r="B4" s="307" t="s">
        <v>5</v>
      </c>
      <c r="C4" s="308"/>
      <c r="D4" s="311" t="s">
        <v>6</v>
      </c>
      <c r="E4" s="313" t="s">
        <v>108</v>
      </c>
      <c r="F4" s="314"/>
      <c r="G4" s="314"/>
      <c r="H4" s="314"/>
      <c r="I4" s="314"/>
      <c r="J4" s="314"/>
      <c r="K4" s="314"/>
      <c r="L4" s="314"/>
      <c r="M4" s="314"/>
      <c r="N4" s="314"/>
      <c r="O4" s="315"/>
      <c r="P4" s="304" t="s">
        <v>112</v>
      </c>
      <c r="Q4" s="305"/>
      <c r="R4" s="305"/>
      <c r="S4" s="306"/>
      <c r="T4" s="304" t="s">
        <v>113</v>
      </c>
      <c r="U4" s="305"/>
      <c r="V4" s="305"/>
      <c r="W4" s="306"/>
    </row>
    <row r="5" spans="2:32" ht="39" thickBot="1" x14ac:dyDescent="0.25">
      <c r="B5" s="309"/>
      <c r="C5" s="310"/>
      <c r="D5" s="312"/>
      <c r="E5" s="30" t="s">
        <v>97</v>
      </c>
      <c r="F5" s="31" t="s">
        <v>98</v>
      </c>
      <c r="G5" s="31" t="s">
        <v>99</v>
      </c>
      <c r="H5" s="31" t="s">
        <v>100</v>
      </c>
      <c r="I5" s="31" t="s">
        <v>101</v>
      </c>
      <c r="J5" s="31" t="s">
        <v>102</v>
      </c>
      <c r="K5" s="31" t="s">
        <v>103</v>
      </c>
      <c r="L5" s="31" t="s">
        <v>104</v>
      </c>
      <c r="M5" s="31" t="s">
        <v>105</v>
      </c>
      <c r="N5" s="31" t="s">
        <v>106</v>
      </c>
      <c r="O5" s="32" t="s">
        <v>107</v>
      </c>
      <c r="P5" s="33" t="s">
        <v>109</v>
      </c>
      <c r="Q5" s="34" t="s">
        <v>103</v>
      </c>
      <c r="R5" s="34" t="s">
        <v>110</v>
      </c>
      <c r="S5" s="35" t="s">
        <v>111</v>
      </c>
      <c r="T5" s="33" t="s">
        <v>109</v>
      </c>
      <c r="U5" s="34" t="s">
        <v>103</v>
      </c>
      <c r="V5" s="34" t="s">
        <v>110</v>
      </c>
      <c r="W5" s="35" t="s">
        <v>111</v>
      </c>
      <c r="X5" s="21"/>
      <c r="Y5" s="21"/>
      <c r="Z5" s="21"/>
      <c r="AA5" s="21"/>
      <c r="AB5" s="21"/>
      <c r="AC5" s="21"/>
      <c r="AD5" s="21"/>
      <c r="AE5" s="21"/>
      <c r="AF5" s="21"/>
    </row>
    <row r="6" spans="2:32" ht="13.5" thickBot="1" x14ac:dyDescent="0.25">
      <c r="B6" s="10"/>
      <c r="C6" s="10"/>
      <c r="D6" s="11"/>
      <c r="L6" s="58"/>
      <c r="T6" s="22"/>
      <c r="U6" s="22"/>
      <c r="V6" s="22"/>
      <c r="W6" s="22"/>
    </row>
    <row r="7" spans="2:32" ht="15" x14ac:dyDescent="0.2">
      <c r="B7" s="316">
        <v>1</v>
      </c>
      <c r="C7" s="46"/>
      <c r="D7" s="65" t="s">
        <v>123</v>
      </c>
      <c r="E7" s="48"/>
      <c r="F7" s="48"/>
      <c r="G7" s="48"/>
      <c r="H7" s="49"/>
      <c r="I7" s="48"/>
      <c r="J7" s="48"/>
      <c r="K7" s="49"/>
      <c r="L7" s="48"/>
      <c r="M7" s="49"/>
      <c r="N7" s="62"/>
      <c r="O7" s="62"/>
      <c r="P7" s="62"/>
      <c r="Q7" s="62"/>
      <c r="R7" s="62"/>
      <c r="S7" s="62"/>
      <c r="T7" s="50"/>
      <c r="U7" s="50"/>
      <c r="V7" s="50"/>
      <c r="W7" s="51"/>
    </row>
    <row r="8" spans="2:32" ht="14.25" x14ac:dyDescent="0.2">
      <c r="B8" s="317"/>
      <c r="C8" s="63">
        <v>1.1000000000000001</v>
      </c>
      <c r="D8" s="57" t="s">
        <v>124</v>
      </c>
      <c r="E8" s="47">
        <v>661279000</v>
      </c>
      <c r="F8" s="47">
        <v>586850000</v>
      </c>
      <c r="G8" s="47"/>
      <c r="H8" s="37">
        <f>SUM(E8:G8)</f>
        <v>1248129000</v>
      </c>
      <c r="I8" s="47">
        <v>133995725</v>
      </c>
      <c r="J8" s="47">
        <v>243009275</v>
      </c>
      <c r="K8" s="37">
        <f>SUM(I8:J8)</f>
        <v>377005000</v>
      </c>
      <c r="L8" s="47">
        <f>+H8-K8</f>
        <v>871124000</v>
      </c>
      <c r="M8" s="37">
        <f>+K8+L8</f>
        <v>1248129000</v>
      </c>
      <c r="N8" s="47">
        <v>89170000</v>
      </c>
      <c r="O8" s="47">
        <v>65583000</v>
      </c>
      <c r="P8" s="47">
        <v>1248129000</v>
      </c>
      <c r="Q8" s="47">
        <v>353418000</v>
      </c>
      <c r="R8" s="47">
        <v>894711000</v>
      </c>
      <c r="S8" s="47">
        <v>93656000</v>
      </c>
      <c r="T8" s="23">
        <f>(H8-P8)/P8</f>
        <v>0</v>
      </c>
      <c r="U8" s="23">
        <f>+(K8-Q8)/Q8</f>
        <v>6.673966804180885E-2</v>
      </c>
      <c r="V8" s="23">
        <f>(L8-R8)/R8</f>
        <v>-2.6362702593351373E-2</v>
      </c>
      <c r="W8" s="52">
        <f>(O8-S8)/S8</f>
        <v>-0.29974587853421031</v>
      </c>
    </row>
    <row r="9" spans="2:32" ht="14.25" x14ac:dyDescent="0.2">
      <c r="B9" s="317"/>
      <c r="C9" s="63">
        <v>1.2</v>
      </c>
      <c r="D9" s="57" t="s">
        <v>125</v>
      </c>
      <c r="E9" s="47">
        <v>902790808</v>
      </c>
      <c r="F9" s="47">
        <v>22582416</v>
      </c>
      <c r="G9" s="47">
        <v>15532940</v>
      </c>
      <c r="H9" s="37">
        <f t="shared" ref="H9:H31" si="0">SUM(E9:G9)</f>
        <v>940906164</v>
      </c>
      <c r="I9" s="47">
        <v>69497421</v>
      </c>
      <c r="J9" s="47">
        <v>467428657</v>
      </c>
      <c r="K9" s="37">
        <f t="shared" ref="K9:K31" si="1">SUM(I9:J9)</f>
        <v>536926078</v>
      </c>
      <c r="L9" s="47">
        <v>403980086</v>
      </c>
      <c r="M9" s="37">
        <f t="shared" ref="M9:M31" si="2">+K9+L9</f>
        <v>940906164</v>
      </c>
      <c r="N9" s="47">
        <v>18766695</v>
      </c>
      <c r="O9" s="47">
        <v>20396695</v>
      </c>
      <c r="P9" s="47"/>
      <c r="Q9" s="47"/>
      <c r="R9" s="47"/>
      <c r="S9" s="47"/>
      <c r="T9" s="23" t="e">
        <f t="shared" ref="T9:T31" si="3">(H9-P9)/P9</f>
        <v>#DIV/0!</v>
      </c>
      <c r="U9" s="23" t="e">
        <f t="shared" ref="U9:U31" si="4">+(K9-Q9)/Q9</f>
        <v>#DIV/0!</v>
      </c>
      <c r="V9" s="23" t="e">
        <f t="shared" ref="V9:V31" si="5">(L9-R9)/R9</f>
        <v>#DIV/0!</v>
      </c>
      <c r="W9" s="52" t="e">
        <f t="shared" ref="W9:W31" si="6">(O9-S9)/S9</f>
        <v>#DIV/0!</v>
      </c>
    </row>
    <row r="10" spans="2:32" ht="14.25" x14ac:dyDescent="0.2">
      <c r="B10" s="317"/>
      <c r="C10" s="63">
        <v>1.3</v>
      </c>
      <c r="D10" s="57" t="s">
        <v>126</v>
      </c>
      <c r="E10" s="47">
        <v>300353422</v>
      </c>
      <c r="F10" s="47">
        <v>251940082</v>
      </c>
      <c r="G10" s="47">
        <v>69532472</v>
      </c>
      <c r="H10" s="37">
        <f t="shared" si="0"/>
        <v>621825976</v>
      </c>
      <c r="I10" s="47">
        <v>153716887</v>
      </c>
      <c r="J10" s="47">
        <v>54587444</v>
      </c>
      <c r="K10" s="37">
        <f t="shared" si="1"/>
        <v>208304331</v>
      </c>
      <c r="L10" s="47">
        <v>413521645</v>
      </c>
      <c r="M10" s="37">
        <f t="shared" si="2"/>
        <v>621825976</v>
      </c>
      <c r="N10" s="47">
        <v>16241438</v>
      </c>
      <c r="O10" s="47">
        <v>16221673</v>
      </c>
      <c r="P10" s="47">
        <v>611957000</v>
      </c>
      <c r="Q10" s="47">
        <v>208285000</v>
      </c>
      <c r="R10" s="47">
        <v>403672000</v>
      </c>
      <c r="S10" s="47">
        <v>17042000</v>
      </c>
      <c r="T10" s="23">
        <f t="shared" si="3"/>
        <v>1.6126910877725067E-2</v>
      </c>
      <c r="U10" s="23">
        <f t="shared" si="4"/>
        <v>9.2810331997023312E-5</v>
      </c>
      <c r="V10" s="23">
        <f t="shared" si="5"/>
        <v>2.4400119403872451E-2</v>
      </c>
      <c r="W10" s="52">
        <f t="shared" si="6"/>
        <v>-4.8135606149512969E-2</v>
      </c>
    </row>
    <row r="11" spans="2:32" ht="14.25" x14ac:dyDescent="0.2">
      <c r="B11" s="317"/>
      <c r="C11" s="63">
        <v>1.4</v>
      </c>
      <c r="D11" s="57" t="s">
        <v>127</v>
      </c>
      <c r="E11" s="47">
        <v>506655816</v>
      </c>
      <c r="F11" s="47">
        <v>152054516</v>
      </c>
      <c r="G11" s="47">
        <v>245059330</v>
      </c>
      <c r="H11" s="37">
        <f t="shared" si="0"/>
        <v>903769662</v>
      </c>
      <c r="I11" s="47">
        <v>137779007</v>
      </c>
      <c r="J11" s="47">
        <v>42562365</v>
      </c>
      <c r="K11" s="37">
        <f t="shared" si="1"/>
        <v>180341372</v>
      </c>
      <c r="L11" s="47">
        <v>723428291</v>
      </c>
      <c r="M11" s="37">
        <f t="shared" si="2"/>
        <v>903769663</v>
      </c>
      <c r="N11" s="47">
        <v>50395207</v>
      </c>
      <c r="O11" s="47">
        <v>42647207</v>
      </c>
      <c r="P11" s="47">
        <v>903769000</v>
      </c>
      <c r="Q11" s="47">
        <v>180341000</v>
      </c>
      <c r="R11" s="47">
        <v>723428000</v>
      </c>
      <c r="S11" s="47">
        <v>46988000</v>
      </c>
      <c r="T11" s="23">
        <f t="shared" si="3"/>
        <v>7.3248805834234188E-7</v>
      </c>
      <c r="U11" s="23">
        <f t="shared" si="4"/>
        <v>2.0627588845575881E-6</v>
      </c>
      <c r="V11" s="23">
        <f t="shared" si="5"/>
        <v>4.0225150256832744E-7</v>
      </c>
      <c r="W11" s="52">
        <f t="shared" si="6"/>
        <v>-9.2380884481144121E-2</v>
      </c>
    </row>
    <row r="12" spans="2:32" ht="14.25" x14ac:dyDescent="0.2">
      <c r="B12" s="317"/>
      <c r="C12" s="63">
        <v>1.5</v>
      </c>
      <c r="D12" s="57" t="s">
        <v>128</v>
      </c>
      <c r="E12" s="47">
        <v>378072865</v>
      </c>
      <c r="F12" s="47">
        <v>103601233</v>
      </c>
      <c r="G12" s="47">
        <v>955950</v>
      </c>
      <c r="H12" s="37">
        <f t="shared" si="0"/>
        <v>482630048</v>
      </c>
      <c r="I12" s="47">
        <v>36771662</v>
      </c>
      <c r="J12" s="47">
        <v>134085789</v>
      </c>
      <c r="K12" s="37">
        <f t="shared" si="1"/>
        <v>170857451</v>
      </c>
      <c r="L12" s="47">
        <v>311772597</v>
      </c>
      <c r="M12" s="37">
        <f t="shared" si="2"/>
        <v>482630048</v>
      </c>
      <c r="N12" s="47">
        <v>15703386</v>
      </c>
      <c r="O12" s="47">
        <v>7048986</v>
      </c>
      <c r="P12" s="47">
        <v>482631000</v>
      </c>
      <c r="Q12" s="47">
        <v>170858000</v>
      </c>
      <c r="R12" s="47">
        <v>311773000</v>
      </c>
      <c r="S12" s="47">
        <v>22479000</v>
      </c>
      <c r="T12" s="23">
        <f t="shared" si="3"/>
        <v>-1.9725214501347823E-6</v>
      </c>
      <c r="U12" s="23">
        <f t="shared" si="4"/>
        <v>-3.2131945826358732E-6</v>
      </c>
      <c r="V12" s="23">
        <f t="shared" si="5"/>
        <v>-1.2926071212067754E-6</v>
      </c>
      <c r="W12" s="52">
        <f t="shared" si="6"/>
        <v>-0.68641905778726808</v>
      </c>
    </row>
    <row r="13" spans="2:32" ht="14.25" x14ac:dyDescent="0.2">
      <c r="B13" s="317"/>
      <c r="C13" s="63">
        <v>1.6</v>
      </c>
      <c r="D13" s="57" t="s">
        <v>129</v>
      </c>
      <c r="E13" s="47">
        <v>69932426</v>
      </c>
      <c r="F13" s="47">
        <v>460250218</v>
      </c>
      <c r="G13" s="47">
        <v>107112095</v>
      </c>
      <c r="H13" s="37">
        <f t="shared" si="0"/>
        <v>637294739</v>
      </c>
      <c r="I13" s="47">
        <v>29489669</v>
      </c>
      <c r="J13" s="47">
        <v>80572256</v>
      </c>
      <c r="K13" s="37">
        <f t="shared" si="1"/>
        <v>110061925</v>
      </c>
      <c r="L13" s="47">
        <v>527232814</v>
      </c>
      <c r="M13" s="37">
        <f t="shared" si="2"/>
        <v>637294739</v>
      </c>
      <c r="N13" s="47">
        <v>8363847</v>
      </c>
      <c r="O13" s="47">
        <v>3783847</v>
      </c>
      <c r="P13" s="47">
        <v>637294000</v>
      </c>
      <c r="Q13" s="47">
        <v>110061000</v>
      </c>
      <c r="R13" s="47">
        <v>527233000</v>
      </c>
      <c r="S13" s="47">
        <v>11897000</v>
      </c>
      <c r="T13" s="23">
        <f t="shared" si="3"/>
        <v>1.1595903931309569E-6</v>
      </c>
      <c r="U13" s="23">
        <f t="shared" si="4"/>
        <v>8.4044302704863674E-6</v>
      </c>
      <c r="V13" s="23">
        <f t="shared" si="5"/>
        <v>-3.527852012298168E-7</v>
      </c>
      <c r="W13" s="52">
        <f t="shared" si="6"/>
        <v>-0.681949483062957</v>
      </c>
    </row>
    <row r="14" spans="2:32" ht="15" x14ac:dyDescent="0.2">
      <c r="B14" s="45">
        <v>2</v>
      </c>
      <c r="C14" s="63"/>
      <c r="D14" s="59" t="s">
        <v>130</v>
      </c>
      <c r="E14" s="47">
        <v>40069494079</v>
      </c>
      <c r="F14" s="47">
        <v>5482697057</v>
      </c>
      <c r="G14" s="47">
        <v>13667555753</v>
      </c>
      <c r="H14" s="37">
        <f t="shared" si="0"/>
        <v>59219746889</v>
      </c>
      <c r="I14" s="47">
        <v>21914617588</v>
      </c>
      <c r="J14" s="47">
        <v>7301680273</v>
      </c>
      <c r="K14" s="37">
        <f t="shared" si="1"/>
        <v>29216297861</v>
      </c>
      <c r="L14" s="47">
        <v>30003449028</v>
      </c>
      <c r="M14" s="37">
        <f t="shared" si="2"/>
        <v>59219746889</v>
      </c>
      <c r="N14" s="47">
        <v>6682012591</v>
      </c>
      <c r="O14" s="47">
        <v>6273203591</v>
      </c>
      <c r="P14" s="47">
        <v>42778874000</v>
      </c>
      <c r="Q14" s="47">
        <v>22139102000</v>
      </c>
      <c r="R14" s="47">
        <v>20639772000</v>
      </c>
      <c r="S14" s="47">
        <v>1168027000</v>
      </c>
      <c r="T14" s="23">
        <f t="shared" si="3"/>
        <v>0.3843222448772261</v>
      </c>
      <c r="U14" s="23">
        <f t="shared" si="4"/>
        <v>0.31966950877230704</v>
      </c>
      <c r="V14" s="23">
        <f t="shared" si="5"/>
        <v>0.453671534162296</v>
      </c>
      <c r="W14" s="52">
        <f t="shared" si="6"/>
        <v>4.3707693323870078</v>
      </c>
    </row>
    <row r="15" spans="2:32" ht="14.25" x14ac:dyDescent="0.2">
      <c r="B15" s="317">
        <v>3</v>
      </c>
      <c r="C15" s="63"/>
      <c r="D15" s="59" t="s">
        <v>131</v>
      </c>
      <c r="E15" s="47"/>
      <c r="F15" s="47"/>
      <c r="G15" s="47"/>
      <c r="H15" s="37"/>
      <c r="I15" s="47"/>
      <c r="J15" s="47"/>
      <c r="K15" s="37"/>
      <c r="L15" s="47"/>
      <c r="M15" s="37"/>
      <c r="N15" s="47"/>
      <c r="O15" s="47"/>
      <c r="P15" s="47"/>
      <c r="Q15" s="47"/>
      <c r="R15" s="47"/>
      <c r="S15" s="47"/>
      <c r="T15" s="23"/>
      <c r="U15" s="23"/>
      <c r="V15" s="23"/>
      <c r="W15" s="52"/>
    </row>
    <row r="16" spans="2:32" ht="14.25" x14ac:dyDescent="0.2">
      <c r="B16" s="317"/>
      <c r="C16" s="63">
        <v>3.1</v>
      </c>
      <c r="D16" s="57" t="s">
        <v>132</v>
      </c>
      <c r="E16" s="47">
        <v>1044688000</v>
      </c>
      <c r="F16" s="47">
        <v>114208000</v>
      </c>
      <c r="G16" s="47">
        <v>507125000</v>
      </c>
      <c r="H16" s="37">
        <f t="shared" si="0"/>
        <v>1666021000</v>
      </c>
      <c r="I16" s="47">
        <v>89341000</v>
      </c>
      <c r="J16" s="47">
        <v>920563000</v>
      </c>
      <c r="K16" s="37">
        <f t="shared" si="1"/>
        <v>1009904000</v>
      </c>
      <c r="L16" s="47">
        <v>656117000</v>
      </c>
      <c r="M16" s="37">
        <f t="shared" si="2"/>
        <v>1666021000</v>
      </c>
      <c r="N16" s="47">
        <v>82940000</v>
      </c>
      <c r="O16" s="47">
        <v>65192000</v>
      </c>
      <c r="P16" s="47">
        <v>1666021000</v>
      </c>
      <c r="Q16" s="47">
        <v>1009904000</v>
      </c>
      <c r="R16" s="47">
        <v>656117000</v>
      </c>
      <c r="S16" s="47">
        <v>82940000</v>
      </c>
      <c r="T16" s="23">
        <f t="shared" si="3"/>
        <v>0</v>
      </c>
      <c r="U16" s="23">
        <f t="shared" si="4"/>
        <v>0</v>
      </c>
      <c r="V16" s="23">
        <f t="shared" si="5"/>
        <v>0</v>
      </c>
      <c r="W16" s="52">
        <f t="shared" si="6"/>
        <v>-0.213986013986014</v>
      </c>
    </row>
    <row r="17" spans="2:23" ht="14.25" x14ac:dyDescent="0.2">
      <c r="B17" s="317"/>
      <c r="C17" s="63">
        <v>3.2</v>
      </c>
      <c r="D17" s="57" t="s">
        <v>133</v>
      </c>
      <c r="E17" s="47">
        <v>2210583412</v>
      </c>
      <c r="F17" s="47">
        <v>1796245413</v>
      </c>
      <c r="G17" s="47">
        <v>950172658</v>
      </c>
      <c r="H17" s="37">
        <f t="shared" si="0"/>
        <v>4957001483</v>
      </c>
      <c r="I17" s="47">
        <v>578205453</v>
      </c>
      <c r="J17" s="47">
        <v>2306752990</v>
      </c>
      <c r="K17" s="37">
        <f t="shared" si="1"/>
        <v>2884958443</v>
      </c>
      <c r="L17" s="47">
        <v>2072043050</v>
      </c>
      <c r="M17" s="37">
        <f t="shared" si="2"/>
        <v>4957001493</v>
      </c>
      <c r="N17" s="47">
        <v>126050800</v>
      </c>
      <c r="O17" s="47">
        <v>81933020</v>
      </c>
      <c r="P17" s="47">
        <v>4957002000</v>
      </c>
      <c r="Q17" s="47">
        <v>2884958000</v>
      </c>
      <c r="R17" s="47">
        <v>2072044000</v>
      </c>
      <c r="S17" s="47">
        <v>126051000</v>
      </c>
      <c r="T17" s="23">
        <f t="shared" si="3"/>
        <v>-1.042969117220449E-7</v>
      </c>
      <c r="U17" s="23">
        <f t="shared" si="4"/>
        <v>1.5355509508284004E-7</v>
      </c>
      <c r="V17" s="23">
        <f t="shared" si="5"/>
        <v>-4.5848447233746003E-7</v>
      </c>
      <c r="W17" s="52">
        <f t="shared" si="6"/>
        <v>-0.35000103132858923</v>
      </c>
    </row>
    <row r="18" spans="2:23" ht="14.25" x14ac:dyDescent="0.2">
      <c r="B18" s="317"/>
      <c r="C18" s="63">
        <v>3.3</v>
      </c>
      <c r="D18" s="57" t="s">
        <v>134</v>
      </c>
      <c r="E18" s="47">
        <v>1128389590</v>
      </c>
      <c r="F18" s="47">
        <v>497010730</v>
      </c>
      <c r="G18" s="47">
        <v>450516529</v>
      </c>
      <c r="H18" s="37">
        <f t="shared" si="0"/>
        <v>2075916849</v>
      </c>
      <c r="I18" s="47">
        <v>843827380</v>
      </c>
      <c r="J18" s="47">
        <v>171544974</v>
      </c>
      <c r="K18" s="37">
        <f t="shared" si="1"/>
        <v>1015372354</v>
      </c>
      <c r="L18" s="47">
        <v>1060544495</v>
      </c>
      <c r="M18" s="37">
        <f t="shared" si="2"/>
        <v>2075916849</v>
      </c>
      <c r="N18" s="47">
        <v>150152888</v>
      </c>
      <c r="O18" s="47">
        <v>84818888</v>
      </c>
      <c r="P18" s="47">
        <v>2075917000</v>
      </c>
      <c r="Q18" s="47">
        <v>1014364000</v>
      </c>
      <c r="R18" s="47">
        <v>1061553000</v>
      </c>
      <c r="S18" s="47">
        <v>186669000</v>
      </c>
      <c r="T18" s="23">
        <f t="shared" si="3"/>
        <v>-7.2738938984554782E-8</v>
      </c>
      <c r="U18" s="23">
        <f t="shared" si="4"/>
        <v>9.9407510518906435E-4</v>
      </c>
      <c r="V18" s="23">
        <f t="shared" si="5"/>
        <v>-9.5002793077689012E-4</v>
      </c>
      <c r="W18" s="52">
        <f t="shared" si="6"/>
        <v>-0.54561877976525297</v>
      </c>
    </row>
    <row r="19" spans="2:23" ht="14.25" x14ac:dyDescent="0.2">
      <c r="B19" s="317"/>
      <c r="C19" s="63">
        <v>3.4</v>
      </c>
      <c r="D19" s="57" t="s">
        <v>135</v>
      </c>
      <c r="E19" s="47"/>
      <c r="F19" s="47"/>
      <c r="G19" s="47"/>
      <c r="H19" s="37">
        <f t="shared" si="0"/>
        <v>0</v>
      </c>
      <c r="I19" s="47"/>
      <c r="J19" s="47"/>
      <c r="K19" s="37">
        <f t="shared" si="1"/>
        <v>0</v>
      </c>
      <c r="L19" s="47"/>
      <c r="M19" s="37">
        <f t="shared" si="2"/>
        <v>0</v>
      </c>
      <c r="N19" s="47"/>
      <c r="O19" s="47"/>
      <c r="P19" s="47"/>
      <c r="Q19" s="47"/>
      <c r="R19" s="47"/>
      <c r="S19" s="47"/>
      <c r="T19" s="23" t="e">
        <f t="shared" si="3"/>
        <v>#DIV/0!</v>
      </c>
      <c r="U19" s="23" t="e">
        <f t="shared" si="4"/>
        <v>#DIV/0!</v>
      </c>
      <c r="V19" s="23" t="e">
        <f t="shared" si="5"/>
        <v>#DIV/0!</v>
      </c>
      <c r="W19" s="52" t="e">
        <f t="shared" si="6"/>
        <v>#DIV/0!</v>
      </c>
    </row>
    <row r="20" spans="2:23" ht="14.25" x14ac:dyDescent="0.2">
      <c r="B20" s="317"/>
      <c r="C20" s="63">
        <v>3.5</v>
      </c>
      <c r="D20" s="57" t="s">
        <v>136</v>
      </c>
      <c r="E20" s="47">
        <v>397516649</v>
      </c>
      <c r="F20" s="47">
        <v>44535519</v>
      </c>
      <c r="G20" s="47"/>
      <c r="H20" s="37">
        <f t="shared" si="0"/>
        <v>442052168</v>
      </c>
      <c r="I20" s="47">
        <v>205584360</v>
      </c>
      <c r="J20" s="47"/>
      <c r="K20" s="37">
        <f t="shared" si="1"/>
        <v>205584360</v>
      </c>
      <c r="L20" s="47">
        <v>236467808</v>
      </c>
      <c r="M20" s="37">
        <f t="shared" si="2"/>
        <v>442052168</v>
      </c>
      <c r="N20" s="47">
        <v>52120000</v>
      </c>
      <c r="O20" s="47">
        <v>52120000</v>
      </c>
      <c r="P20" s="47">
        <v>442053000</v>
      </c>
      <c r="Q20" s="47">
        <v>205584000</v>
      </c>
      <c r="R20" s="47">
        <f>P20-Q20</f>
        <v>236469000</v>
      </c>
      <c r="S20" s="47">
        <v>52120000</v>
      </c>
      <c r="T20" s="23">
        <f t="shared" si="3"/>
        <v>-1.8821272562339809E-6</v>
      </c>
      <c r="U20" s="23">
        <f t="shared" si="4"/>
        <v>1.7511090357226243E-6</v>
      </c>
      <c r="V20" s="23">
        <f t="shared" si="5"/>
        <v>-5.0408298762205619E-6</v>
      </c>
      <c r="W20" s="52">
        <f t="shared" si="6"/>
        <v>0</v>
      </c>
    </row>
    <row r="21" spans="2:23" ht="14.25" x14ac:dyDescent="0.2">
      <c r="B21" s="317"/>
      <c r="C21" s="63">
        <v>3.6</v>
      </c>
      <c r="D21" s="57" t="s">
        <v>137</v>
      </c>
      <c r="E21" s="47">
        <v>230187357</v>
      </c>
      <c r="F21" s="47">
        <v>487735892</v>
      </c>
      <c r="G21" s="47">
        <v>9625046</v>
      </c>
      <c r="H21" s="37">
        <f t="shared" si="0"/>
        <v>727548295</v>
      </c>
      <c r="I21" s="47">
        <v>117145481</v>
      </c>
      <c r="J21" s="47">
        <v>76862715</v>
      </c>
      <c r="K21" s="37">
        <f t="shared" si="1"/>
        <v>194008196</v>
      </c>
      <c r="L21" s="47">
        <v>533540099</v>
      </c>
      <c r="M21" s="37">
        <f t="shared" si="2"/>
        <v>727548295</v>
      </c>
      <c r="N21" s="47"/>
      <c r="O21" s="47"/>
      <c r="P21" s="47">
        <v>727548000</v>
      </c>
      <c r="Q21" s="47">
        <v>194008000</v>
      </c>
      <c r="R21" s="47">
        <v>533540000</v>
      </c>
      <c r="S21" s="47"/>
      <c r="T21" s="23">
        <f t="shared" si="3"/>
        <v>4.0547152902626356E-7</v>
      </c>
      <c r="U21" s="23">
        <f t="shared" si="4"/>
        <v>1.0102676178301925E-6</v>
      </c>
      <c r="V21" s="23">
        <f t="shared" si="5"/>
        <v>1.855530981744574E-7</v>
      </c>
      <c r="W21" s="52" t="e">
        <f t="shared" si="6"/>
        <v>#DIV/0!</v>
      </c>
    </row>
    <row r="22" spans="2:23" ht="14.25" x14ac:dyDescent="0.2">
      <c r="B22" s="317">
        <v>4</v>
      </c>
      <c r="C22" s="63"/>
      <c r="D22" s="59" t="s">
        <v>138</v>
      </c>
      <c r="E22" s="47"/>
      <c r="F22" s="47"/>
      <c r="G22" s="47"/>
      <c r="H22" s="37"/>
      <c r="I22" s="47"/>
      <c r="J22" s="47"/>
      <c r="K22" s="37"/>
      <c r="L22" s="47"/>
      <c r="M22" s="37"/>
      <c r="N22" s="47"/>
      <c r="O22" s="47"/>
      <c r="P22" s="47"/>
      <c r="Q22" s="47"/>
      <c r="R22" s="47"/>
      <c r="S22" s="47"/>
      <c r="T22" s="23"/>
      <c r="U22" s="23"/>
      <c r="V22" s="23"/>
      <c r="W22" s="52"/>
    </row>
    <row r="23" spans="2:23" ht="14.25" x14ac:dyDescent="0.2">
      <c r="B23" s="317"/>
      <c r="C23" s="63">
        <v>4.0999999999999996</v>
      </c>
      <c r="D23" s="57" t="s">
        <v>139</v>
      </c>
      <c r="E23" s="47">
        <v>940500000</v>
      </c>
      <c r="F23" s="47">
        <v>220000000</v>
      </c>
      <c r="G23" s="47">
        <v>19500000</v>
      </c>
      <c r="H23" s="37">
        <f t="shared" si="0"/>
        <v>1180000000</v>
      </c>
      <c r="I23" s="47">
        <v>50000000</v>
      </c>
      <c r="J23" s="47">
        <v>50000000</v>
      </c>
      <c r="K23" s="37">
        <f t="shared" si="1"/>
        <v>100000000</v>
      </c>
      <c r="L23" s="47">
        <v>1080000000</v>
      </c>
      <c r="M23" s="37">
        <f t="shared" si="2"/>
        <v>1180000000</v>
      </c>
      <c r="N23" s="47">
        <v>38000000</v>
      </c>
      <c r="O23" s="47">
        <v>38000000</v>
      </c>
      <c r="P23" s="47">
        <v>1180000000</v>
      </c>
      <c r="Q23" s="47">
        <v>100000000</v>
      </c>
      <c r="R23" s="47">
        <v>1080000000</v>
      </c>
      <c r="S23" s="47">
        <v>35000000</v>
      </c>
      <c r="T23" s="23">
        <f t="shared" si="3"/>
        <v>0</v>
      </c>
      <c r="U23" s="23">
        <f t="shared" si="4"/>
        <v>0</v>
      </c>
      <c r="V23" s="23">
        <f t="shared" si="5"/>
        <v>0</v>
      </c>
      <c r="W23" s="52">
        <f t="shared" si="6"/>
        <v>8.5714285714285715E-2</v>
      </c>
    </row>
    <row r="24" spans="2:23" ht="14.25" x14ac:dyDescent="0.2">
      <c r="B24" s="317"/>
      <c r="C24" s="63">
        <v>4.2</v>
      </c>
      <c r="D24" s="57" t="s">
        <v>140</v>
      </c>
      <c r="E24" s="47">
        <v>1215892000</v>
      </c>
      <c r="F24" s="47">
        <v>443008000</v>
      </c>
      <c r="G24" s="47">
        <v>283790000</v>
      </c>
      <c r="H24" s="37">
        <f t="shared" si="0"/>
        <v>1942690000</v>
      </c>
      <c r="I24" s="47">
        <v>374625000</v>
      </c>
      <c r="J24" s="47">
        <v>55000000</v>
      </c>
      <c r="K24" s="37">
        <f t="shared" si="1"/>
        <v>429625000</v>
      </c>
      <c r="L24" s="47">
        <v>1513065000</v>
      </c>
      <c r="M24" s="37">
        <f t="shared" si="2"/>
        <v>1942690000</v>
      </c>
      <c r="N24" s="47">
        <v>47375000</v>
      </c>
      <c r="O24" s="47">
        <v>47375000</v>
      </c>
      <c r="P24" s="47">
        <v>1942690000</v>
      </c>
      <c r="Q24" s="47">
        <v>429625000</v>
      </c>
      <c r="R24" s="47">
        <v>1513065000</v>
      </c>
      <c r="S24" s="47">
        <v>47375000</v>
      </c>
      <c r="T24" s="23">
        <f t="shared" si="3"/>
        <v>0</v>
      </c>
      <c r="U24" s="23">
        <f t="shared" si="4"/>
        <v>0</v>
      </c>
      <c r="V24" s="23">
        <f t="shared" si="5"/>
        <v>0</v>
      </c>
      <c r="W24" s="52">
        <f t="shared" si="6"/>
        <v>0</v>
      </c>
    </row>
    <row r="25" spans="2:23" ht="14.25" x14ac:dyDescent="0.2">
      <c r="B25" s="317"/>
      <c r="C25" s="63">
        <v>4.3</v>
      </c>
      <c r="D25" s="57" t="s">
        <v>141</v>
      </c>
      <c r="E25" s="47">
        <v>2149248232</v>
      </c>
      <c r="F25" s="47">
        <v>390736722</v>
      </c>
      <c r="G25" s="47"/>
      <c r="H25" s="37">
        <f t="shared" si="0"/>
        <v>2539984954</v>
      </c>
      <c r="I25" s="47">
        <v>1922763807</v>
      </c>
      <c r="J25" s="47">
        <v>93405043</v>
      </c>
      <c r="K25" s="37">
        <f t="shared" si="1"/>
        <v>2016168850</v>
      </c>
      <c r="L25" s="47">
        <v>523816104</v>
      </c>
      <c r="M25" s="37">
        <f t="shared" si="2"/>
        <v>2539984954</v>
      </c>
      <c r="N25" s="47">
        <v>41060626</v>
      </c>
      <c r="O25" s="47">
        <v>54549620</v>
      </c>
      <c r="P25" s="47">
        <v>2539984000</v>
      </c>
      <c r="Q25" s="47">
        <v>2016168000</v>
      </c>
      <c r="R25" s="47">
        <v>523816000</v>
      </c>
      <c r="S25" s="47">
        <v>71993000</v>
      </c>
      <c r="T25" s="23">
        <f t="shared" si="3"/>
        <v>3.7559291712073775E-7</v>
      </c>
      <c r="U25" s="23">
        <f t="shared" si="4"/>
        <v>4.2159185147269473E-7</v>
      </c>
      <c r="V25" s="23">
        <f t="shared" si="5"/>
        <v>1.9854299983200209E-7</v>
      </c>
      <c r="W25" s="52">
        <f t="shared" si="6"/>
        <v>-0.24229272290361564</v>
      </c>
    </row>
    <row r="26" spans="2:23" ht="14.25" x14ac:dyDescent="0.2">
      <c r="B26" s="317"/>
      <c r="C26" s="63">
        <v>4.4000000000000004</v>
      </c>
      <c r="D26" s="57" t="s">
        <v>142</v>
      </c>
      <c r="E26" s="47">
        <v>1286602000</v>
      </c>
      <c r="F26" s="47">
        <v>529776000</v>
      </c>
      <c r="G26" s="47">
        <v>367025000</v>
      </c>
      <c r="H26" s="37">
        <f t="shared" si="0"/>
        <v>2183403000</v>
      </c>
      <c r="I26" s="47">
        <v>631956000</v>
      </c>
      <c r="J26" s="47">
        <v>6584000</v>
      </c>
      <c r="K26" s="37">
        <f t="shared" si="1"/>
        <v>638540000</v>
      </c>
      <c r="L26" s="47">
        <v>1544863000</v>
      </c>
      <c r="M26" s="37">
        <f t="shared" si="2"/>
        <v>2183403000</v>
      </c>
      <c r="N26" s="47"/>
      <c r="O26" s="47"/>
      <c r="P26" s="47">
        <v>2183403000</v>
      </c>
      <c r="Q26" s="47">
        <v>638540000</v>
      </c>
      <c r="R26" s="47">
        <f>P26-Q26</f>
        <v>1544863000</v>
      </c>
      <c r="S26" s="47"/>
      <c r="T26" s="23">
        <f t="shared" si="3"/>
        <v>0</v>
      </c>
      <c r="U26" s="23">
        <f t="shared" si="4"/>
        <v>0</v>
      </c>
      <c r="V26" s="23">
        <f t="shared" si="5"/>
        <v>0</v>
      </c>
      <c r="W26" s="52" t="e">
        <f t="shared" si="6"/>
        <v>#DIV/0!</v>
      </c>
    </row>
    <row r="27" spans="2:23" ht="14.25" x14ac:dyDescent="0.2">
      <c r="B27" s="317">
        <v>5</v>
      </c>
      <c r="C27" s="63"/>
      <c r="D27" s="59" t="s">
        <v>143</v>
      </c>
      <c r="E27" s="47"/>
      <c r="F27" s="47"/>
      <c r="G27" s="47"/>
      <c r="H27" s="37"/>
      <c r="I27" s="47"/>
      <c r="J27" s="47"/>
      <c r="K27" s="37"/>
      <c r="L27" s="47"/>
      <c r="M27" s="37"/>
      <c r="N27" s="47"/>
      <c r="O27" s="47"/>
      <c r="P27" s="47"/>
      <c r="Q27" s="47"/>
      <c r="R27" s="47"/>
      <c r="S27" s="47"/>
      <c r="T27" s="23"/>
      <c r="U27" s="23"/>
      <c r="V27" s="23"/>
      <c r="W27" s="52"/>
    </row>
    <row r="28" spans="2:23" ht="14.25" x14ac:dyDescent="0.2">
      <c r="B28" s="317"/>
      <c r="C28" s="63">
        <v>5.0999999999999996</v>
      </c>
      <c r="D28" s="57" t="s">
        <v>144</v>
      </c>
      <c r="E28" s="47">
        <v>3662005000</v>
      </c>
      <c r="F28" s="47">
        <v>457085000</v>
      </c>
      <c r="G28" s="47">
        <v>114779000</v>
      </c>
      <c r="H28" s="37">
        <f t="shared" si="0"/>
        <v>4233869000</v>
      </c>
      <c r="I28" s="47">
        <v>530721000</v>
      </c>
      <c r="J28" s="47">
        <v>160038000</v>
      </c>
      <c r="K28" s="37">
        <f t="shared" si="1"/>
        <v>690759000</v>
      </c>
      <c r="L28" s="47">
        <v>3543110000</v>
      </c>
      <c r="M28" s="37">
        <f t="shared" si="2"/>
        <v>4233869000</v>
      </c>
      <c r="N28" s="47">
        <v>457250000</v>
      </c>
      <c r="O28" s="47">
        <v>297212000</v>
      </c>
      <c r="P28" s="47">
        <v>4229443000</v>
      </c>
      <c r="Q28" s="47">
        <v>686333000</v>
      </c>
      <c r="R28" s="47">
        <v>3543110000</v>
      </c>
      <c r="S28" s="47">
        <v>457250000</v>
      </c>
      <c r="T28" s="23">
        <f t="shared" si="3"/>
        <v>1.0464734954460906E-3</v>
      </c>
      <c r="U28" s="23">
        <f t="shared" si="4"/>
        <v>6.4487646667142628E-3</v>
      </c>
      <c r="V28" s="23">
        <f t="shared" si="5"/>
        <v>0</v>
      </c>
      <c r="W28" s="52">
        <f t="shared" si="6"/>
        <v>-0.35000109349371239</v>
      </c>
    </row>
    <row r="29" spans="2:23" ht="14.25" x14ac:dyDescent="0.2">
      <c r="B29" s="317"/>
      <c r="C29" s="63">
        <v>5.2</v>
      </c>
      <c r="D29" s="57" t="s">
        <v>145</v>
      </c>
      <c r="E29" s="47">
        <v>1345051857</v>
      </c>
      <c r="F29" s="47">
        <v>622683311</v>
      </c>
      <c r="G29" s="47">
        <v>1888148909</v>
      </c>
      <c r="H29" s="37">
        <f t="shared" si="0"/>
        <v>3855884077</v>
      </c>
      <c r="I29" s="47">
        <v>235974264</v>
      </c>
      <c r="J29" s="47">
        <v>1059293810</v>
      </c>
      <c r="K29" s="37">
        <f t="shared" si="1"/>
        <v>1295268074</v>
      </c>
      <c r="L29" s="47">
        <v>2560616003</v>
      </c>
      <c r="M29" s="37">
        <f t="shared" si="2"/>
        <v>3855884077</v>
      </c>
      <c r="N29" s="47">
        <v>211804765</v>
      </c>
      <c r="O29" s="47">
        <v>128144765</v>
      </c>
      <c r="P29" s="47">
        <v>1968115000</v>
      </c>
      <c r="Q29" s="47">
        <v>1295268000</v>
      </c>
      <c r="R29" s="47">
        <v>672847000</v>
      </c>
      <c r="S29" s="47">
        <v>239030000</v>
      </c>
      <c r="T29" s="23">
        <f t="shared" si="3"/>
        <v>0.95917620515061364</v>
      </c>
      <c r="U29" s="23">
        <f t="shared" si="4"/>
        <v>5.7131033886423504E-8</v>
      </c>
      <c r="V29" s="23">
        <f t="shared" si="5"/>
        <v>2.8056437838022612</v>
      </c>
      <c r="W29" s="52">
        <f t="shared" si="6"/>
        <v>-0.46389672844412833</v>
      </c>
    </row>
    <row r="30" spans="2:23" ht="14.25" x14ac:dyDescent="0.2">
      <c r="B30" s="317"/>
      <c r="C30" s="63">
        <v>5.3</v>
      </c>
      <c r="D30" s="57" t="s">
        <v>146</v>
      </c>
      <c r="E30" s="47">
        <v>68481000</v>
      </c>
      <c r="F30" s="47">
        <v>248149000</v>
      </c>
      <c r="G30" s="47">
        <v>1829723000</v>
      </c>
      <c r="H30" s="37">
        <f t="shared" si="0"/>
        <v>2146353000</v>
      </c>
      <c r="I30" s="47">
        <v>20336000</v>
      </c>
      <c r="J30" s="47">
        <v>1030069000</v>
      </c>
      <c r="K30" s="37">
        <f t="shared" si="1"/>
        <v>1050405000</v>
      </c>
      <c r="L30" s="47">
        <v>1095948000</v>
      </c>
      <c r="M30" s="37">
        <f t="shared" si="2"/>
        <v>2146353000</v>
      </c>
      <c r="N30" s="47">
        <v>63435000</v>
      </c>
      <c r="O30" s="47">
        <v>51635000</v>
      </c>
      <c r="P30" s="47">
        <v>2146353000</v>
      </c>
      <c r="Q30" s="47">
        <v>1050405000</v>
      </c>
      <c r="R30" s="47">
        <v>1095948000</v>
      </c>
      <c r="S30" s="47">
        <v>63435000</v>
      </c>
      <c r="T30" s="23">
        <f t="shared" si="3"/>
        <v>0</v>
      </c>
      <c r="U30" s="23">
        <f t="shared" si="4"/>
        <v>0</v>
      </c>
      <c r="V30" s="23">
        <f t="shared" si="5"/>
        <v>0</v>
      </c>
      <c r="W30" s="52">
        <f t="shared" si="6"/>
        <v>-0.18601718294317018</v>
      </c>
    </row>
    <row r="31" spans="2:23" ht="14.25" x14ac:dyDescent="0.2">
      <c r="B31" s="317"/>
      <c r="C31" s="63">
        <v>5.4</v>
      </c>
      <c r="D31" s="57" t="s">
        <v>147</v>
      </c>
      <c r="E31" s="47">
        <v>9098479232</v>
      </c>
      <c r="F31" s="47">
        <v>531593591</v>
      </c>
      <c r="G31" s="47">
        <f>1377315265+27043045</f>
        <v>1404358310</v>
      </c>
      <c r="H31" s="37">
        <f t="shared" si="0"/>
        <v>11034431133</v>
      </c>
      <c r="I31" s="47">
        <v>1681476244</v>
      </c>
      <c r="J31" s="47">
        <v>4212950518</v>
      </c>
      <c r="K31" s="37">
        <f t="shared" si="1"/>
        <v>5894426762</v>
      </c>
      <c r="L31" s="47">
        <v>5140004372</v>
      </c>
      <c r="M31" s="37">
        <f t="shared" si="2"/>
        <v>11034431134</v>
      </c>
      <c r="N31" s="47">
        <v>101528025</v>
      </c>
      <c r="O31" s="47">
        <v>54379630</v>
      </c>
      <c r="P31" s="47">
        <v>11007389000</v>
      </c>
      <c r="Q31" s="47">
        <v>5894427000</v>
      </c>
      <c r="R31" s="47">
        <v>5112962000</v>
      </c>
      <c r="S31" s="47">
        <v>122857000</v>
      </c>
      <c r="T31" s="23">
        <f t="shared" si="3"/>
        <v>2.4567254777677068E-3</v>
      </c>
      <c r="U31" s="23">
        <f t="shared" si="4"/>
        <v>-4.0377122322492076E-8</v>
      </c>
      <c r="V31" s="23">
        <f t="shared" si="5"/>
        <v>5.2889835676463073E-3</v>
      </c>
      <c r="W31" s="52">
        <f t="shared" si="6"/>
        <v>-0.55737458997045342</v>
      </c>
    </row>
    <row r="32" spans="2:23" ht="15.75" thickBot="1" x14ac:dyDescent="0.25">
      <c r="B32" s="61"/>
      <c r="C32" s="64"/>
      <c r="D32" s="60"/>
      <c r="E32" s="53"/>
      <c r="F32" s="53"/>
      <c r="G32" s="53"/>
      <c r="H32" s="54"/>
      <c r="I32" s="53"/>
      <c r="J32" s="53"/>
      <c r="K32" s="54"/>
      <c r="L32" s="53"/>
      <c r="M32" s="54"/>
      <c r="N32" s="53"/>
      <c r="O32" s="53"/>
      <c r="P32" s="53"/>
      <c r="Q32" s="53"/>
      <c r="R32" s="53"/>
      <c r="S32" s="53"/>
      <c r="T32" s="55"/>
      <c r="U32" s="55"/>
      <c r="V32" s="55"/>
      <c r="W32" s="56"/>
    </row>
    <row r="33" spans="2:23" ht="13.5" thickBot="1" x14ac:dyDescent="0.25">
      <c r="E33" s="38"/>
      <c r="F33" s="38"/>
      <c r="G33" s="38"/>
      <c r="H33" s="38"/>
      <c r="I33" s="38"/>
      <c r="J33" s="38"/>
      <c r="K33" s="38"/>
      <c r="L33" s="38"/>
      <c r="M33" s="38"/>
      <c r="N33" s="38"/>
      <c r="O33" s="38"/>
      <c r="P33" s="38"/>
      <c r="Q33" s="38"/>
      <c r="R33" s="38"/>
      <c r="S33" s="38"/>
    </row>
    <row r="34" spans="2:23" x14ac:dyDescent="0.2">
      <c r="B34" s="9" t="s">
        <v>4</v>
      </c>
      <c r="C34" s="8"/>
      <c r="D34" s="1"/>
      <c r="E34" s="39"/>
      <c r="F34" s="40"/>
      <c r="G34" s="41"/>
      <c r="H34" s="40"/>
      <c r="I34" s="42"/>
      <c r="J34" s="42"/>
      <c r="K34" s="43"/>
      <c r="L34" s="40"/>
      <c r="M34" s="44"/>
      <c r="N34" s="40"/>
      <c r="O34" s="44"/>
      <c r="P34" s="40"/>
      <c r="Q34" s="44"/>
      <c r="R34" s="44"/>
      <c r="S34" s="44"/>
      <c r="T34" s="25"/>
      <c r="U34" s="25"/>
      <c r="V34" s="25"/>
      <c r="W34" s="26"/>
    </row>
    <row r="35" spans="2:23" x14ac:dyDescent="0.2">
      <c r="B35" s="2"/>
      <c r="C35" s="302" t="s">
        <v>148</v>
      </c>
      <c r="D35" s="303"/>
      <c r="E35" s="303"/>
      <c r="F35" s="303"/>
      <c r="G35" s="303"/>
      <c r="H35" s="303"/>
      <c r="I35" s="303"/>
      <c r="J35" s="303"/>
      <c r="K35" s="303"/>
      <c r="L35" s="303"/>
      <c r="M35" s="303"/>
      <c r="N35" s="303"/>
      <c r="O35" s="303"/>
      <c r="P35" s="303"/>
      <c r="Q35" s="303"/>
      <c r="R35" s="303"/>
      <c r="S35" s="303"/>
      <c r="T35" s="303"/>
      <c r="U35" s="303"/>
      <c r="V35" s="303"/>
      <c r="W35" s="29"/>
    </row>
    <row r="36" spans="2:23" x14ac:dyDescent="0.2">
      <c r="B36" s="2"/>
      <c r="C36" s="303"/>
      <c r="D36" s="303"/>
      <c r="E36" s="303"/>
      <c r="F36" s="303"/>
      <c r="G36" s="303"/>
      <c r="H36" s="303"/>
      <c r="I36" s="303"/>
      <c r="J36" s="303"/>
      <c r="K36" s="303"/>
      <c r="L36" s="303"/>
      <c r="M36" s="303"/>
      <c r="N36" s="303"/>
      <c r="O36" s="303"/>
      <c r="P36" s="303"/>
      <c r="Q36" s="303"/>
      <c r="R36" s="303"/>
      <c r="S36" s="303"/>
      <c r="T36" s="303"/>
      <c r="U36" s="303"/>
      <c r="V36" s="303"/>
      <c r="W36" s="29"/>
    </row>
    <row r="37" spans="2:23" x14ac:dyDescent="0.2">
      <c r="B37" s="2"/>
      <c r="C37" s="303"/>
      <c r="D37" s="303"/>
      <c r="E37" s="303"/>
      <c r="F37" s="303"/>
      <c r="G37" s="303"/>
      <c r="H37" s="303"/>
      <c r="I37" s="303"/>
      <c r="J37" s="303"/>
      <c r="K37" s="303"/>
      <c r="L37" s="303"/>
      <c r="M37" s="303"/>
      <c r="N37" s="303"/>
      <c r="O37" s="303"/>
      <c r="P37" s="303"/>
      <c r="Q37" s="303"/>
      <c r="R37" s="303"/>
      <c r="S37" s="303"/>
      <c r="T37" s="303"/>
      <c r="U37" s="303"/>
      <c r="V37" s="303"/>
      <c r="W37" s="29"/>
    </row>
    <row r="38" spans="2:23" x14ac:dyDescent="0.2">
      <c r="B38" s="2"/>
      <c r="C38" s="303"/>
      <c r="D38" s="303"/>
      <c r="E38" s="303"/>
      <c r="F38" s="303"/>
      <c r="G38" s="303"/>
      <c r="H38" s="303"/>
      <c r="I38" s="303"/>
      <c r="J38" s="303"/>
      <c r="K38" s="303"/>
      <c r="L38" s="303"/>
      <c r="M38" s="303"/>
      <c r="N38" s="303"/>
      <c r="O38" s="303"/>
      <c r="P38" s="303"/>
      <c r="Q38" s="303"/>
      <c r="R38" s="303"/>
      <c r="S38" s="303"/>
      <c r="T38" s="303"/>
      <c r="U38" s="303"/>
      <c r="V38" s="303"/>
      <c r="W38" s="29"/>
    </row>
    <row r="39" spans="2:23" ht="13.5" thickBot="1" x14ac:dyDescent="0.25">
      <c r="B39" s="3"/>
      <c r="C39" s="4"/>
      <c r="D39" s="4"/>
      <c r="E39" s="5"/>
      <c r="F39" s="6"/>
      <c r="G39" s="6"/>
      <c r="H39" s="6"/>
      <c r="I39" s="6"/>
      <c r="J39" s="6"/>
      <c r="K39" s="7"/>
      <c r="L39" s="6"/>
      <c r="M39" s="4"/>
      <c r="N39" s="6"/>
      <c r="O39" s="4"/>
      <c r="P39" s="6"/>
      <c r="Q39" s="27"/>
      <c r="R39" s="27"/>
      <c r="S39" s="27"/>
      <c r="T39" s="27"/>
      <c r="U39" s="27"/>
      <c r="V39" s="27"/>
      <c r="W39" s="28"/>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279"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M7"/>
  <sheetViews>
    <sheetView workbookViewId="0">
      <selection activeCell="G16" sqref="G16"/>
    </sheetView>
  </sheetViews>
  <sheetFormatPr baseColWidth="10" defaultRowHeight="12.75" x14ac:dyDescent="0.2"/>
  <cols>
    <col min="1" max="1" width="11.42578125" style="243"/>
    <col min="2" max="2" width="18.5703125" style="243" bestFit="1" customWidth="1"/>
    <col min="3" max="3" width="11.42578125" style="243"/>
    <col min="4" max="4" width="18.140625" style="243" customWidth="1"/>
    <col min="5" max="5" width="4.7109375" style="243" customWidth="1"/>
    <col min="6" max="6" width="14.42578125" style="243" bestFit="1" customWidth="1"/>
    <col min="7" max="7" width="4.7109375" style="237" customWidth="1"/>
    <col min="8" max="8" width="15.42578125" style="237" customWidth="1"/>
    <col min="9" max="9" width="14.7109375" style="237" customWidth="1"/>
    <col min="10" max="10" width="4.7109375" style="237" customWidth="1"/>
    <col min="11" max="11" width="11.42578125" style="237"/>
    <col min="12" max="12" width="12.85546875" style="247" bestFit="1" customWidth="1"/>
    <col min="13" max="13" width="13.85546875" style="247" bestFit="1" customWidth="1"/>
    <col min="14" max="16384" width="11.42578125" style="237"/>
  </cols>
  <sheetData>
    <row r="1" spans="1:11" ht="41.25" customHeight="1" x14ac:dyDescent="0.2">
      <c r="A1" s="234" t="s">
        <v>165</v>
      </c>
      <c r="B1" s="234" t="s">
        <v>166</v>
      </c>
      <c r="C1" s="234" t="s">
        <v>0</v>
      </c>
      <c r="D1" s="234" t="s">
        <v>191</v>
      </c>
      <c r="E1" s="235"/>
      <c r="F1" s="236" t="s">
        <v>254</v>
      </c>
      <c r="H1" s="236" t="s">
        <v>252</v>
      </c>
      <c r="I1" s="236" t="s">
        <v>104</v>
      </c>
      <c r="K1" s="236" t="s">
        <v>253</v>
      </c>
    </row>
    <row r="2" spans="1:11" x14ac:dyDescent="0.2">
      <c r="A2" s="238">
        <v>1</v>
      </c>
      <c r="B2" s="239">
        <v>765000000</v>
      </c>
      <c r="C2" s="240">
        <v>4</v>
      </c>
      <c r="D2" s="239">
        <f>+B2*0.3</f>
        <v>229500000</v>
      </c>
      <c r="E2" s="241"/>
      <c r="F2" s="242">
        <v>1300000</v>
      </c>
      <c r="H2" s="246">
        <f>+IF(OR(B2="",PlazoM1=""),"",B2/PlazoM1)</f>
        <v>191250000</v>
      </c>
      <c r="I2" s="246">
        <f>IF(OR(B2="",$K$2=""),"",B2*$K$2)</f>
        <v>76500000</v>
      </c>
      <c r="K2" s="248">
        <v>0.1</v>
      </c>
    </row>
    <row r="3" spans="1:11" x14ac:dyDescent="0.2">
      <c r="A3" s="238"/>
      <c r="B3" s="239"/>
      <c r="C3" s="240"/>
      <c r="D3" s="239"/>
      <c r="H3" s="246" t="str">
        <f>+IF(OR(B3="",PlazoM2=""),"",B3/PlazoM2)</f>
        <v/>
      </c>
      <c r="I3" s="246" t="str">
        <f t="shared" ref="I3:I5" si="0">IF(OR(B3="",$K$2=""),"",B3*$K$2)</f>
        <v/>
      </c>
    </row>
    <row r="4" spans="1:11" x14ac:dyDescent="0.2">
      <c r="A4" s="238"/>
      <c r="B4" s="239"/>
      <c r="C4" s="240"/>
      <c r="D4" s="239"/>
      <c r="H4" s="246" t="str">
        <f>+IF(OR(B4="",PlazoM3=""),"",B4/PlazoM3)</f>
        <v/>
      </c>
      <c r="I4" s="246" t="str">
        <f t="shared" si="0"/>
        <v/>
      </c>
    </row>
    <row r="5" spans="1:11" x14ac:dyDescent="0.2">
      <c r="A5" s="238"/>
      <c r="B5" s="239"/>
      <c r="C5" s="240"/>
      <c r="D5" s="239"/>
      <c r="H5" s="246" t="str">
        <f>+IF(OR(B5="",PlazoM4=""),"",B5/PlazoM4)</f>
        <v/>
      </c>
      <c r="I5" s="246" t="str">
        <f t="shared" si="0"/>
        <v/>
      </c>
    </row>
    <row r="6" spans="1:11" x14ac:dyDescent="0.2">
      <c r="E6" s="244"/>
    </row>
    <row r="7" spans="1:11" x14ac:dyDescent="0.2">
      <c r="D7" s="245"/>
    </row>
  </sheetData>
  <customSheetViews>
    <customSheetView guid="{7043DB3C-32B3-43B5-9ACE-4B1C78863594}" topLeftCell="A4">
      <selection activeCell="F24" sqref="F24"/>
      <pageMargins left="0.75" right="0.75" top="1" bottom="1" header="0" footer="0"/>
      <headerFooter alignWithMargins="0"/>
    </customSheetView>
  </customSheetViews>
  <phoneticPr fontId="25"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4">
    <tabColor rgb="FFFFC000"/>
  </sheetPr>
  <dimension ref="B1:H16"/>
  <sheetViews>
    <sheetView workbookViewId="0">
      <selection activeCell="J26" sqref="J26"/>
    </sheetView>
  </sheetViews>
  <sheetFormatPr baseColWidth="10" defaultRowHeight="12.75" x14ac:dyDescent="0.2"/>
  <cols>
    <col min="1" max="2" width="11.42578125" style="155"/>
    <col min="3" max="3" width="15.28515625" style="155" bestFit="1" customWidth="1"/>
    <col min="4" max="6" width="11.42578125" style="155"/>
    <col min="7" max="7" width="11.42578125" style="155" customWidth="1"/>
    <col min="8" max="16384" width="11.42578125" style="155"/>
  </cols>
  <sheetData>
    <row r="1" spans="2:8" ht="13.5" thickBot="1" x14ac:dyDescent="0.25"/>
    <row r="2" spans="2:8" ht="13.5" thickBot="1" x14ac:dyDescent="0.25">
      <c r="B2" s="318" t="s">
        <v>201</v>
      </c>
      <c r="C2" s="319"/>
      <c r="D2" s="320"/>
      <c r="F2" s="318" t="s">
        <v>209</v>
      </c>
      <c r="G2" s="319"/>
      <c r="H2" s="320"/>
    </row>
    <row r="3" spans="2:8" ht="13.5" thickBot="1" x14ac:dyDescent="0.25">
      <c r="B3" s="187" t="s">
        <v>205</v>
      </c>
      <c r="C3" s="189" t="s">
        <v>207</v>
      </c>
      <c r="D3" s="188" t="s">
        <v>206</v>
      </c>
      <c r="F3" s="187" t="s">
        <v>210</v>
      </c>
      <c r="G3" s="189" t="s">
        <v>211</v>
      </c>
      <c r="H3" s="188" t="s">
        <v>206</v>
      </c>
    </row>
    <row r="4" spans="2:8" x14ac:dyDescent="0.2">
      <c r="B4" s="179">
        <v>0</v>
      </c>
      <c r="C4" s="179">
        <v>3</v>
      </c>
      <c r="D4" s="179">
        <v>60</v>
      </c>
      <c r="F4" s="179">
        <v>1</v>
      </c>
      <c r="G4" s="179">
        <v>5</v>
      </c>
      <c r="H4" s="179">
        <v>20</v>
      </c>
    </row>
    <row r="5" spans="2:8" x14ac:dyDescent="0.2">
      <c r="B5" s="180">
        <v>3</v>
      </c>
      <c r="C5" s="180">
        <v>6</v>
      </c>
      <c r="D5" s="180">
        <v>80</v>
      </c>
      <c r="F5" s="180">
        <v>6</v>
      </c>
      <c r="G5" s="180">
        <v>10</v>
      </c>
      <c r="H5" s="180">
        <v>30</v>
      </c>
    </row>
    <row r="6" spans="2:8" ht="13.5" thickBot="1" x14ac:dyDescent="0.25">
      <c r="B6" s="180">
        <v>6</v>
      </c>
      <c r="C6" s="180">
        <v>10</v>
      </c>
      <c r="D6" s="180">
        <v>100</v>
      </c>
      <c r="F6" s="181">
        <v>11</v>
      </c>
      <c r="G6" s="182" t="s">
        <v>208</v>
      </c>
      <c r="H6" s="181">
        <v>40</v>
      </c>
    </row>
    <row r="7" spans="2:8" ht="13.5" thickBot="1" x14ac:dyDescent="0.25">
      <c r="B7" s="181">
        <v>10</v>
      </c>
      <c r="C7" s="182" t="s">
        <v>208</v>
      </c>
      <c r="D7" s="181">
        <v>120</v>
      </c>
      <c r="F7" s="190"/>
      <c r="G7" s="191"/>
      <c r="H7" s="190"/>
    </row>
    <row r="9" spans="2:8" ht="13.5" thickBot="1" x14ac:dyDescent="0.25"/>
    <row r="10" spans="2:8" ht="13.5" thickBot="1" x14ac:dyDescent="0.25">
      <c r="B10" s="318" t="s">
        <v>195</v>
      </c>
      <c r="C10" s="319"/>
      <c r="D10" s="320"/>
    </row>
    <row r="11" spans="2:8" ht="13.5" thickBot="1" x14ac:dyDescent="0.25">
      <c r="B11" s="187" t="s">
        <v>205</v>
      </c>
      <c r="C11" s="189" t="s">
        <v>207</v>
      </c>
      <c r="D11" s="188" t="s">
        <v>206</v>
      </c>
    </row>
    <row r="12" spans="2:8" x14ac:dyDescent="0.2">
      <c r="B12" s="179">
        <v>0</v>
      </c>
      <c r="C12" s="179">
        <v>0.5</v>
      </c>
      <c r="D12" s="179">
        <v>20</v>
      </c>
    </row>
    <row r="13" spans="2:8" x14ac:dyDescent="0.2">
      <c r="B13" s="180">
        <v>0.5</v>
      </c>
      <c r="C13" s="180">
        <v>0.75</v>
      </c>
      <c r="D13" s="180">
        <v>25</v>
      </c>
    </row>
    <row r="14" spans="2:8" x14ac:dyDescent="0.2">
      <c r="B14" s="180">
        <v>0.75</v>
      </c>
      <c r="C14" s="186">
        <v>1</v>
      </c>
      <c r="D14" s="180">
        <v>30</v>
      </c>
    </row>
    <row r="15" spans="2:8" x14ac:dyDescent="0.2">
      <c r="B15" s="185">
        <v>1</v>
      </c>
      <c r="C15" s="184">
        <v>1.5</v>
      </c>
      <c r="D15" s="183">
        <v>35</v>
      </c>
    </row>
    <row r="16" spans="2:8" ht="13.5" thickBot="1" x14ac:dyDescent="0.25">
      <c r="B16" s="181">
        <v>1.5</v>
      </c>
      <c r="C16" s="182" t="s">
        <v>208</v>
      </c>
      <c r="D16" s="181">
        <v>40</v>
      </c>
    </row>
  </sheetData>
  <mergeCells count="3">
    <mergeCell ref="B2:D2"/>
    <mergeCell ref="B10:D10"/>
    <mergeCell ref="F2:H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AK59"/>
  <sheetViews>
    <sheetView topLeftCell="M6" zoomScale="80" zoomScaleNormal="80" zoomScaleSheetLayoutView="100" workbookViewId="0">
      <selection activeCell="AL45" sqref="AL45"/>
    </sheetView>
  </sheetViews>
  <sheetFormatPr baseColWidth="10" defaultRowHeight="18" customHeight="1" x14ac:dyDescent="0.2"/>
  <cols>
    <col min="1" max="1" width="19.85546875" style="140" customWidth="1"/>
    <col min="2" max="2" width="8.85546875" style="140" bestFit="1" customWidth="1"/>
    <col min="3" max="3" width="48.85546875" style="140" customWidth="1"/>
    <col min="4" max="4" width="17.42578125" style="140" customWidth="1"/>
    <col min="5" max="5" width="25" style="140" customWidth="1"/>
    <col min="6" max="6" width="26.7109375" style="143" customWidth="1"/>
    <col min="7" max="7" width="25" style="143" bestFit="1" customWidth="1"/>
    <col min="8" max="9" width="23.140625" style="143" customWidth="1"/>
    <col min="10" max="10" width="28.7109375" style="144" customWidth="1"/>
    <col min="11" max="11" width="28.28515625" style="144" customWidth="1"/>
    <col min="12" max="12" width="23" style="144" customWidth="1"/>
    <col min="13" max="13" width="20.85546875" style="144" customWidth="1"/>
    <col min="14" max="14" width="4.140625" style="145" bestFit="1" customWidth="1"/>
    <col min="15" max="15" width="8" style="145" bestFit="1" customWidth="1"/>
    <col min="16" max="16" width="8" style="145" hidden="1" customWidth="1"/>
    <col min="17" max="17" width="19.5703125" style="145" hidden="1" customWidth="1"/>
    <col min="18" max="18" width="21.7109375" style="145" bestFit="1" customWidth="1"/>
    <col min="19" max="19" width="24.85546875" style="145" customWidth="1"/>
    <col min="20" max="20" width="21.5703125" style="145" customWidth="1"/>
    <col min="21" max="21" width="27.85546875" style="145" customWidth="1"/>
    <col min="22" max="22" width="17.85546875" style="145" customWidth="1"/>
    <col min="23" max="24" width="14.7109375" style="145" customWidth="1"/>
    <col min="25" max="25" width="17.5703125" style="145" customWidth="1"/>
    <col min="26" max="26" width="20.140625" style="145" customWidth="1"/>
    <col min="27" max="27" width="22.7109375" style="145" hidden="1" customWidth="1"/>
    <col min="28" max="29" width="14.7109375" style="145" customWidth="1"/>
    <col min="30" max="30" width="15.85546875" style="143" customWidth="1"/>
    <col min="31" max="31" width="15.5703125" style="140" hidden="1" customWidth="1"/>
    <col min="32" max="32" width="15.85546875" style="140" hidden="1" customWidth="1"/>
    <col min="33" max="33" width="15.85546875" style="146" customWidth="1"/>
    <col min="34" max="34" width="16.5703125" style="140" customWidth="1"/>
    <col min="35" max="35" width="14.5703125" style="146" customWidth="1"/>
    <col min="36" max="36" width="14.5703125" style="140" customWidth="1"/>
    <col min="37" max="37" width="17.42578125" style="140" customWidth="1"/>
    <col min="38" max="16384" width="11.42578125" style="140"/>
  </cols>
  <sheetData>
    <row r="1" spans="1:37" ht="18" customHeight="1" x14ac:dyDescent="0.2">
      <c r="B1" s="321"/>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row>
    <row r="2" spans="1:37" s="141" customFormat="1" ht="23.25" x14ac:dyDescent="0.35">
      <c r="B2" s="324" t="s">
        <v>150</v>
      </c>
      <c r="C2" s="324"/>
      <c r="D2" s="324"/>
      <c r="E2" s="324"/>
      <c r="F2" s="324"/>
      <c r="G2" s="324"/>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row>
    <row r="3" spans="1:37" s="141" customFormat="1" x14ac:dyDescent="0.25">
      <c r="B3" s="323" t="s">
        <v>213</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row>
    <row r="4" spans="1:37" ht="18" customHeight="1" x14ac:dyDescent="0.25">
      <c r="B4" s="322" t="s">
        <v>261</v>
      </c>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5" spans="1:37" ht="18" customHeight="1" x14ac:dyDescent="0.2">
      <c r="B5" s="344" t="s">
        <v>149</v>
      </c>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c r="AJ5" s="344"/>
      <c r="AK5" s="344"/>
    </row>
    <row r="6" spans="1:37" ht="18" customHeight="1" thickBot="1" x14ac:dyDescent="0.25">
      <c r="B6" s="154"/>
      <c r="C6" s="154"/>
      <c r="D6" s="154"/>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c r="AJ6" s="154"/>
      <c r="AK6" s="154"/>
    </row>
    <row r="7" spans="1:37" ht="44.25" customHeight="1" thickBot="1" x14ac:dyDescent="0.25">
      <c r="B7" s="337" t="s">
        <v>152</v>
      </c>
      <c r="C7" s="338"/>
      <c r="D7" s="339"/>
      <c r="E7" s="342" t="s">
        <v>162</v>
      </c>
      <c r="F7" s="343"/>
      <c r="G7" s="343"/>
      <c r="H7" s="343"/>
      <c r="I7" s="343"/>
      <c r="J7" s="343"/>
      <c r="K7" s="112"/>
      <c r="L7" s="112"/>
      <c r="M7" s="112"/>
      <c r="N7" s="112"/>
      <c r="O7" s="112"/>
      <c r="P7" s="112"/>
      <c r="Q7" s="112"/>
      <c r="R7" s="113"/>
      <c r="S7" s="340" t="s">
        <v>238</v>
      </c>
      <c r="T7" s="341"/>
      <c r="U7" s="340" t="s">
        <v>240</v>
      </c>
      <c r="V7" s="341"/>
      <c r="W7" s="340" t="s">
        <v>164</v>
      </c>
      <c r="X7" s="341"/>
      <c r="Y7" s="340" t="s">
        <v>151</v>
      </c>
      <c r="Z7" s="341"/>
      <c r="AA7" s="114"/>
      <c r="AB7" s="340" t="s">
        <v>181</v>
      </c>
      <c r="AC7" s="341"/>
      <c r="AD7" s="115" t="s">
        <v>183</v>
      </c>
      <c r="AE7" s="360" t="s">
        <v>173</v>
      </c>
      <c r="AF7" s="361"/>
      <c r="AG7" s="340" t="s">
        <v>185</v>
      </c>
      <c r="AH7" s="341"/>
      <c r="AI7" s="340" t="s">
        <v>187</v>
      </c>
      <c r="AJ7" s="341"/>
      <c r="AK7" s="115" t="s">
        <v>184</v>
      </c>
    </row>
    <row r="8" spans="1:37" ht="56.25" customHeight="1" x14ac:dyDescent="0.2">
      <c r="B8" s="345" t="s">
        <v>158</v>
      </c>
      <c r="C8" s="333" t="s">
        <v>157</v>
      </c>
      <c r="D8" s="357" t="s">
        <v>169</v>
      </c>
      <c r="E8" s="335" t="s">
        <v>160</v>
      </c>
      <c r="F8" s="354" t="s">
        <v>155</v>
      </c>
      <c r="G8" s="354" t="s">
        <v>159</v>
      </c>
      <c r="H8" s="350" t="s">
        <v>156</v>
      </c>
      <c r="I8" s="334" t="s">
        <v>236</v>
      </c>
      <c r="J8" s="334" t="s">
        <v>237</v>
      </c>
      <c r="K8" s="334" t="s">
        <v>245</v>
      </c>
      <c r="L8" s="116"/>
      <c r="M8" s="116"/>
      <c r="N8" s="330" t="s">
        <v>163</v>
      </c>
      <c r="O8" s="326" t="s">
        <v>242</v>
      </c>
      <c r="P8" s="347" t="s">
        <v>170</v>
      </c>
      <c r="Q8" s="329" t="s">
        <v>171</v>
      </c>
      <c r="R8" s="325" t="s">
        <v>167</v>
      </c>
      <c r="S8" s="352" t="s">
        <v>247</v>
      </c>
      <c r="T8" s="353"/>
      <c r="U8" s="352" t="s">
        <v>249</v>
      </c>
      <c r="V8" s="353"/>
      <c r="W8" s="352" t="s">
        <v>168</v>
      </c>
      <c r="X8" s="353"/>
      <c r="Y8" s="352" t="s">
        <v>243</v>
      </c>
      <c r="Z8" s="353"/>
      <c r="AA8" s="355" t="s">
        <v>172</v>
      </c>
      <c r="AB8" s="352" t="s">
        <v>244</v>
      </c>
      <c r="AC8" s="353"/>
      <c r="AD8" s="350" t="s">
        <v>177</v>
      </c>
      <c r="AE8" s="103" t="s">
        <v>174</v>
      </c>
      <c r="AF8" s="104">
        <v>535600</v>
      </c>
      <c r="AG8" s="352" t="s">
        <v>250</v>
      </c>
      <c r="AH8" s="353"/>
      <c r="AI8" s="352" t="s">
        <v>251</v>
      </c>
      <c r="AJ8" s="353"/>
      <c r="AK8" s="350" t="s">
        <v>177</v>
      </c>
    </row>
    <row r="9" spans="1:37" ht="54" customHeight="1" thickBot="1" x14ac:dyDescent="0.25">
      <c r="B9" s="346"/>
      <c r="C9" s="333"/>
      <c r="D9" s="358"/>
      <c r="E9" s="336"/>
      <c r="F9" s="359"/>
      <c r="G9" s="350"/>
      <c r="H9" s="359"/>
      <c r="I9" s="334"/>
      <c r="J9" s="334"/>
      <c r="K9" s="334"/>
      <c r="L9" s="116" t="s">
        <v>179</v>
      </c>
      <c r="M9" s="116" t="s">
        <v>180</v>
      </c>
      <c r="N9" s="331"/>
      <c r="O9" s="327"/>
      <c r="P9" s="348"/>
      <c r="Q9" s="329"/>
      <c r="R9" s="325"/>
      <c r="S9" s="67" t="s">
        <v>239</v>
      </c>
      <c r="T9" s="225" t="s">
        <v>248</v>
      </c>
      <c r="U9" s="67" t="s">
        <v>241</v>
      </c>
      <c r="V9" s="225" t="str">
        <f>"10%*PO"</f>
        <v>10%*PO</v>
      </c>
      <c r="W9" s="67" t="s">
        <v>161</v>
      </c>
      <c r="X9" s="66">
        <v>1.1100000000000001</v>
      </c>
      <c r="Y9" s="67" t="s">
        <v>189</v>
      </c>
      <c r="Z9" s="66">
        <v>0.75</v>
      </c>
      <c r="AA9" s="329"/>
      <c r="AB9" s="67" t="s">
        <v>182</v>
      </c>
      <c r="AC9" s="66">
        <v>0</v>
      </c>
      <c r="AD9" s="350"/>
      <c r="AE9" s="105" t="s">
        <v>175</v>
      </c>
      <c r="AF9" s="106">
        <v>566700</v>
      </c>
      <c r="AG9" s="128" t="s">
        <v>186</v>
      </c>
      <c r="AH9" s="232">
        <v>0</v>
      </c>
      <c r="AI9" s="128" t="s">
        <v>188</v>
      </c>
      <c r="AJ9" s="232">
        <v>0</v>
      </c>
      <c r="AK9" s="350"/>
    </row>
    <row r="10" spans="1:37" ht="44.25" customHeight="1" thickBot="1" x14ac:dyDescent="0.25">
      <c r="B10" s="346"/>
      <c r="C10" s="333"/>
      <c r="D10" s="358"/>
      <c r="E10" s="336"/>
      <c r="F10" s="359"/>
      <c r="G10" s="350"/>
      <c r="H10" s="359"/>
      <c r="I10" s="334"/>
      <c r="J10" s="334"/>
      <c r="K10" s="334"/>
      <c r="L10" s="116"/>
      <c r="M10" s="116"/>
      <c r="N10" s="332"/>
      <c r="O10" s="328"/>
      <c r="P10" s="349"/>
      <c r="Q10" s="329"/>
      <c r="R10" s="325"/>
      <c r="S10" s="68" t="s">
        <v>154</v>
      </c>
      <c r="T10" s="69" t="s">
        <v>153</v>
      </c>
      <c r="U10" s="68" t="s">
        <v>154</v>
      </c>
      <c r="V10" s="69" t="s">
        <v>153</v>
      </c>
      <c r="W10" s="68" t="s">
        <v>154</v>
      </c>
      <c r="X10" s="69" t="s">
        <v>153</v>
      </c>
      <c r="Y10" s="68" t="s">
        <v>154</v>
      </c>
      <c r="Z10" s="69" t="s">
        <v>153</v>
      </c>
      <c r="AA10" s="356"/>
      <c r="AB10" s="68" t="s">
        <v>154</v>
      </c>
      <c r="AC10" s="69" t="s">
        <v>153</v>
      </c>
      <c r="AD10" s="351"/>
      <c r="AE10" s="107" t="s">
        <v>176</v>
      </c>
      <c r="AF10" s="108">
        <v>30000</v>
      </c>
      <c r="AG10" s="129" t="s">
        <v>154</v>
      </c>
      <c r="AH10" s="127" t="s">
        <v>153</v>
      </c>
      <c r="AI10" s="129" t="s">
        <v>154</v>
      </c>
      <c r="AJ10" s="127" t="s">
        <v>153</v>
      </c>
      <c r="AK10" s="351"/>
    </row>
    <row r="11" spans="1:37" ht="18" customHeight="1" thickBot="1" x14ac:dyDescent="0.25">
      <c r="B11" s="147"/>
      <c r="C11" s="148"/>
      <c r="D11" s="148"/>
      <c r="E11" s="148"/>
      <c r="F11" s="148"/>
      <c r="G11" s="148"/>
      <c r="H11" s="148"/>
      <c r="I11" s="148"/>
      <c r="J11" s="148"/>
      <c r="K11" s="148"/>
      <c r="L11" s="148"/>
      <c r="M11" s="148"/>
      <c r="N11" s="148"/>
      <c r="O11" s="173"/>
      <c r="P11" s="148"/>
      <c r="Q11" s="148"/>
      <c r="R11" s="148"/>
      <c r="S11" s="148"/>
      <c r="T11" s="148"/>
      <c r="U11" s="148"/>
      <c r="V11" s="148"/>
      <c r="W11" s="148"/>
      <c r="X11" s="148"/>
      <c r="Y11" s="148"/>
      <c r="Z11" s="148"/>
      <c r="AA11" s="148"/>
      <c r="AB11" s="148"/>
      <c r="AC11" s="148"/>
      <c r="AD11" s="149"/>
      <c r="AE11" s="150"/>
      <c r="AF11" s="151"/>
      <c r="AG11" s="152"/>
      <c r="AI11" s="152"/>
      <c r="AK11" s="153"/>
    </row>
    <row r="12" spans="1:37" ht="23.25" customHeight="1" x14ac:dyDescent="0.25">
      <c r="B12" s="265">
        <v>1</v>
      </c>
      <c r="C12" s="266"/>
      <c r="D12" s="99">
        <f>IF(SUM(D13:D22)=0,"",SUM(D13:D22))</f>
        <v>1</v>
      </c>
      <c r="E12" s="80">
        <f>IF(ISERROR(($D13*E13)+($D14*E14)+($D15*E15)+($D16*E16)+($D17*E17)+($D18*E18)+($D19*E19)+($D20*E20)+($D21*E21)+($D22*E22)),"",($D13*E13)+($D14*E14)+($D15*E15)+($D16*E16)+($D17*E17)+($D18*E18)+($D19*E19)+($D20*E20)+($D21*E21)+($D22*E22))</f>
        <v>311561000</v>
      </c>
      <c r="F12" s="80">
        <f>IF(ISERROR(($D13*F13)+($D14*F14)+($D15*F15)+($D16*F16)+($D17*F17)+($D18*F18)+($D19*F19)+($D20*F20)+($D21*F21)+($D22*F22)),"",($D13*F13)+($D14*F14)+($D15*F15)+($D16*F16)+($D17*F17)+($D18*F18)+($D19*F19)+($D20*F20)+($D21*F21)+($D22*F22))</f>
        <v>399199000</v>
      </c>
      <c r="G12" s="80">
        <f>IF(ISERROR(($D13*G13)+($D14*G14)+($D15*G15)+($D16*G16)+($D17*G17)+($D18*G18)+($D19*G19)+($D20*G20)+($D21*G21)+($D22*G22)),"",($D13*G13)+($D14*G14)+($D15*G15)+($D16*G16)+($D17*G17)+($D18*G18)+($D19*G19)+($D20*G20)+($D21*G21)+($D22*G22))</f>
        <v>57858000</v>
      </c>
      <c r="H12" s="80">
        <f>IF(ISERROR(($D13*H13)+($D14*H14)+($D15*H15)+($D16*H16)+($D17*H17)+($D18*H18)+($D19*H19)+($D20*H20)+($D21*H21)+($D22*H22)),"",($D13*H13)+($D14*H14)+($D15*H15)+($D16*H16)+($D17*H17)+($D18*H18)+($D19*H19)+($D20*H20)+($D21*H21)+($D22*H22))</f>
        <v>57858000</v>
      </c>
      <c r="I12" s="80">
        <f>IF(ISERROR(SUM(I13:I22)),"",SUM(I13:I22))</f>
        <v>253703000</v>
      </c>
      <c r="J12" s="80">
        <f>IF(ISERROR(SUM(J13:J22)),"",SUM(J13:J22))</f>
        <v>341341000</v>
      </c>
      <c r="K12" s="80">
        <f>IF(ISERROR(($D13*K13)+($D14*K14)+($D15*K15)+($D16*K16)+($D17*K17)+($D18*K18)+($D19*K19)+($D20*K20)+($D21*K21)+($D22*K22)),"",($D13*K13)+($D14*K14)+($D15*K15)+($D16*K16)+($D17*K17)+($D18*K18)+($D19*K19)+($D20*K20)+($D21*K21)+($D22*K22))</f>
        <v>341341000</v>
      </c>
      <c r="L12" s="80">
        <f>IF(ISERROR(($D13*L13)+($D14*L14)+($D15*L15)+($D16*L16)+($D17*L17)+($D18*L18)+($D19*L19)+($D20*L20)+($D21*L21)+($D22*L22)),"",($D13*L13)+($D14*L14)+($D15*L15)+($D16*L16)+($D17*L17)+($D18*L18)+($D19*L19)+($D20*L20)+($D21*L21)+($D22*L22))</f>
        <v>24431000</v>
      </c>
      <c r="M12" s="80">
        <f>IF(ISERROR(($D13*M13)+($D14*M14)+($D15*M15)+($D16*M16)+($D17*M17)+($D18*M18)+($D19*M19)+($D20*M20)+($D21*M21)+($D22*M22)),"",($D13*M13)+($D14*M14)+($D15*M15)+($D16*M16)+($D17*M17)+($D18*M18)+($D19*M19)+($D20*M20)+($D21*M21)+($D22*M22))</f>
        <v>0</v>
      </c>
      <c r="N12" s="75">
        <v>1</v>
      </c>
      <c r="O12" s="226">
        <f>IF(ISERROR(VLOOKUP(N12,POA!$A$2:$C$16,3,0)),"",VLOOKUP(N12,POA!$A$2:$C$16,3,0))</f>
        <v>4</v>
      </c>
      <c r="P12" s="102"/>
      <c r="Q12" s="75">
        <f>+SUM(Q13:Q22)</f>
        <v>0</v>
      </c>
      <c r="R12" s="76">
        <f>IF(ISERROR(VLOOKUP(N12,POA!$A$2:$C$16,2,0)),"",VLOOKUP(N12,POA!$A$2:$C$16,2,0))</f>
        <v>765000000</v>
      </c>
      <c r="S12" s="80">
        <f>SUM(I12)</f>
        <v>253703000</v>
      </c>
      <c r="T12" s="81" t="str">
        <f>IF(OR(S12=0,N12="",R12=""),"",IF(S12&gt;=(R12/O12),"HABIL","NO HABIL"))</f>
        <v>HABIL</v>
      </c>
      <c r="U12" s="80">
        <f>SUM(J12)</f>
        <v>341341000</v>
      </c>
      <c r="V12" s="81" t="str">
        <f>IF(OR(U12=0,N12="",R12=""),"",IF(U12&gt;=(10%*R12),"HABIL","NO HABIL"))</f>
        <v>HABIL</v>
      </c>
      <c r="W12" s="80">
        <f>IF(ISERROR(SUM(E12/G12)),0,SUM(E12/G12))</f>
        <v>5.3849251616025438</v>
      </c>
      <c r="X12" s="81" t="str">
        <f>IF(OR(W12=0,N12="",R12=""),"",IF(W12&gt;=$X$9,"HABIL","NO HABIL"))</f>
        <v>HABIL</v>
      </c>
      <c r="Y12" s="231">
        <f>IF(ISERROR(SUM(H12/F12)),0,SUM(H12/F12))</f>
        <v>0.14493523280368939</v>
      </c>
      <c r="Z12" s="81" t="str">
        <f>IF(OR(Y12=0,N12="",R12=""),"",IF(Y12&lt;=$Z$9,"HABIL","NO HABIL"))</f>
        <v>HABIL</v>
      </c>
      <c r="AA12" s="75">
        <f>+SUM(AA13:AA22)</f>
        <v>0</v>
      </c>
      <c r="AB12" s="231">
        <f>IF(ISERROR(SUM(L12/M12)),0,SUM(L12/M12))</f>
        <v>0</v>
      </c>
      <c r="AC12" s="81" t="s">
        <v>264</v>
      </c>
      <c r="AD12" s="81" t="str">
        <f t="shared" ref="AD12:AD22" si="0">IF(OR(T12="",V12="",X12="",Z12="",AC12=""),"",IF(T12="NO HABIL","NO HABIL",IF(V12="NO HABIL","NO HABIL",IF(X12="NO HABIL","NO HABIL",IF(Z12="NO HABIL","NO HABIL",IF(AC12="NO HABIL","NO HABIL",IF(AC12="NO HABIL","NO HABIL","HABIL")))))))</f>
        <v>HABIL</v>
      </c>
      <c r="AE12" s="120"/>
      <c r="AF12" s="109"/>
      <c r="AG12" s="231">
        <f>IF(ISERROR(SUM(L12/K12)),0,SUM(L12/K12))</f>
        <v>7.1573587702619956E-2</v>
      </c>
      <c r="AH12" s="81" t="str">
        <f>IF(OR(AG12=0,N12="",R12=""),"",IF(AG12&gt;=$AH$9,"HABIL","NO HABIL"))</f>
        <v>HABIL</v>
      </c>
      <c r="AI12" s="231">
        <f>IF(ISERROR(SUM(L12/F12)),0,SUM(L12/F12))</f>
        <v>6.1200053106345458E-2</v>
      </c>
      <c r="AJ12" s="81" t="str">
        <f>IF(OR(AI12=0,N12="",R12=""),"",IF(AI12&gt;=$AJ$9,"HABIL","NO HABIL"))</f>
        <v>HABIL</v>
      </c>
      <c r="AK12" s="122" t="str">
        <f t="shared" ref="AK12:AK22" si="1">IF(OR(AH12="",AJ12=""),"",IF(AH12="NO HABIL","NO HABIL",IF(AJ12="NO HABIL","NO HABIL",IF(AJ12="NO HABIL","NO HABIL","HABIL"))))</f>
        <v>HABIL</v>
      </c>
    </row>
    <row r="13" spans="1:37" ht="23.25" customHeight="1" thickBot="1" x14ac:dyDescent="0.3">
      <c r="A13" s="142"/>
      <c r="B13" s="275">
        <f t="shared" ref="B13:B18" si="2">IF(C13="","",B12+0.1)</f>
        <v>1.1000000000000001</v>
      </c>
      <c r="C13" s="280" t="s">
        <v>255</v>
      </c>
      <c r="D13" s="233">
        <v>1</v>
      </c>
      <c r="E13" s="224">
        <v>311561000</v>
      </c>
      <c r="F13" s="224">
        <v>399199000</v>
      </c>
      <c r="G13" s="224">
        <v>57858000</v>
      </c>
      <c r="H13" s="224">
        <v>57858000</v>
      </c>
      <c r="I13" s="224">
        <f t="shared" ref="I13:I14" si="3">IF(ISERROR(E13-G13),"",E13-G13)</f>
        <v>253703000</v>
      </c>
      <c r="J13" s="224">
        <f t="shared" ref="J13:J14" si="4">IF(ISERROR(F13-H13),"",F13-H13)</f>
        <v>341341000</v>
      </c>
      <c r="K13" s="224">
        <f t="shared" ref="K13:K14" si="5">IF(ISERROR(F13-H13),"",F13-H13)</f>
        <v>341341000</v>
      </c>
      <c r="L13" s="224">
        <v>24431000</v>
      </c>
      <c r="M13" s="224">
        <v>0</v>
      </c>
      <c r="N13" s="176"/>
      <c r="O13" s="227" t="str">
        <f>IF(ISERROR(VLOOKUP(N13,POA!$A$2:$C$16,3,0)),"",VLOOKUP(N13,POA!$A$2:$C$16,3,0))</f>
        <v/>
      </c>
      <c r="P13" s="268"/>
      <c r="Q13" s="268" t="str">
        <f>IF(ISERROR(VLOOKUP(P13,POA!$A$2:$F$16,4,0)),"",VLOOKUP(P13,POA!$A$2:$F$16,4,0))</f>
        <v/>
      </c>
      <c r="R13" s="269" t="str">
        <f>IF(ISERROR(VLOOKUP(N13,POA!$A$2:$C$16,2,0)),"",VLOOKUP(N13,POA!$A$2:$C$16,2,0))</f>
        <v/>
      </c>
      <c r="S13" s="270"/>
      <c r="T13" s="271" t="str">
        <f>IF(OR(S12=0,N13="",R13=""),"",IF(S12&gt;=(0.4*R13),"HABIL","NO HABIL"))</f>
        <v/>
      </c>
      <c r="U13" s="270"/>
      <c r="V13" s="271" t="str">
        <f>IF(OR(U12=0,N13="",R13=""),"",IF(U12&gt;=(0.5*R13),"HABIL","NO HABIL"))</f>
        <v/>
      </c>
      <c r="W13" s="270"/>
      <c r="X13" s="271" t="str">
        <f>IF(OR(W12=0,N13="",R13=""),"",IF(W12&gt;=$X$9,"HABIL","NO HABIL"))</f>
        <v/>
      </c>
      <c r="Y13" s="272"/>
      <c r="Z13" s="271" t="str">
        <f>IF(OR(Y12=0,N13="",R13=""),"",IF(Y12&lt;=$Z$9,"HABIL","NO HABIL"))</f>
        <v/>
      </c>
      <c r="AA13" s="268" t="s">
        <v>246</v>
      </c>
      <c r="AB13" s="268"/>
      <c r="AC13" s="271" t="str">
        <f>IF(OR(AB12=0,N13="",R13=""),"",IF(AB12&gt;=$AC$9,"HABIL","NO HABIL"))</f>
        <v/>
      </c>
      <c r="AD13" s="271" t="str">
        <f t="shared" si="0"/>
        <v/>
      </c>
      <c r="AE13" s="119">
        <f t="shared" ref="AE13:AE22" si="6">IF(ISERROR(F13/$AF$9),"",F13/$AF$9)</f>
        <v>704.42738662431623</v>
      </c>
      <c r="AF13" s="110" t="str">
        <f>+IF(AE13&lt;$AF$10,"MIPYME","NO CUMPLE")</f>
        <v>MIPYME</v>
      </c>
      <c r="AG13" s="273"/>
      <c r="AH13" s="271" t="str">
        <f>IF(OR(AG12=0,N13="",R13=""),"",IF(AG12&gt;=$AH$9,"HABIL","NO HABIL"))</f>
        <v/>
      </c>
      <c r="AI13" s="273"/>
      <c r="AJ13" s="271" t="str">
        <f>IF(OR(AI12=0,N13="",R13=""),"",IF(AI12&gt;=$AJ$9,"HABIL","NO HABIL"))</f>
        <v/>
      </c>
      <c r="AK13" s="125" t="str">
        <f>IF(OR(AH13="",AJ13=""),"",IF(AH13="NO HABIL","NO HABIL",IF(AJ13="NO HABIL","NO HABIL",IF(AJ13="NO HABIL","NO HABIL","HABIL"))))</f>
        <v/>
      </c>
    </row>
    <row r="14" spans="1:37" ht="23.25" hidden="1" customHeight="1" x14ac:dyDescent="0.25">
      <c r="A14" s="142"/>
      <c r="B14" s="278" t="str">
        <f t="shared" si="2"/>
        <v/>
      </c>
      <c r="C14" s="279"/>
      <c r="D14" s="233"/>
      <c r="E14" s="224">
        <f>IF(ISERROR(VLOOKUP(C14,#REF!,2,0)),0,VLOOKUP(C14,#REF!,2,0))</f>
        <v>0</v>
      </c>
      <c r="F14" s="224">
        <f>IF(ISERROR(VLOOKUP(C14,#REF!,3,0)),0,VLOOKUP(C14,#REF!,3,0))</f>
        <v>0</v>
      </c>
      <c r="G14" s="224">
        <f>IF(ISERROR(VLOOKUP(C14,#REF!,4,0)),0,VLOOKUP(C14,#REF!,4,0))</f>
        <v>0</v>
      </c>
      <c r="H14" s="224">
        <f>IF(ISERROR(VLOOKUP(C14,#REF!,5,0)),0,VLOOKUP(C14,#REF!,5,0))</f>
        <v>0</v>
      </c>
      <c r="I14" s="224">
        <f t="shared" si="3"/>
        <v>0</v>
      </c>
      <c r="J14" s="224">
        <f t="shared" si="4"/>
        <v>0</v>
      </c>
      <c r="K14" s="224">
        <f t="shared" si="5"/>
        <v>0</v>
      </c>
      <c r="L14" s="224">
        <f>IF(ISERROR(VLOOKUP(C14,#REF!,6,0)),0,VLOOKUP(C14,#REF!,6,0))</f>
        <v>0</v>
      </c>
      <c r="M14" s="224">
        <f>IF(ISERROR(VLOOKUP(C14,#REF!,7,0)),0,VLOOKUP(C14,#REF!,7,0))</f>
        <v>0</v>
      </c>
      <c r="N14" s="174"/>
      <c r="O14" s="174" t="str">
        <f>IF(ISERROR(VLOOKUP(N14,POA!$A$2:$C$16,3,0)),"",VLOOKUP(N14,POA!$A$2:$C$16,3,0))</f>
        <v/>
      </c>
      <c r="P14" s="268"/>
      <c r="Q14" s="268" t="str">
        <f>IF(ISERROR(VLOOKUP(P14,POA!$A$2:$F$16,4,0)),"",VLOOKUP(P14,POA!$A$2:$F$16,4,0))</f>
        <v/>
      </c>
      <c r="R14" s="269" t="str">
        <f>IF(ISERROR(VLOOKUP(N14,POA!$A$2:$C$16,2,0)),"",VLOOKUP(N14,POA!$A$2:$C$16,2,0))</f>
        <v/>
      </c>
      <c r="S14" s="270"/>
      <c r="T14" s="271" t="str">
        <f>IF(OR(S12=0,N14="",R14=""),"",IF(S12&gt;=(0.4*R14),"HABIL","NO HABIL"))</f>
        <v/>
      </c>
      <c r="U14" s="270"/>
      <c r="V14" s="271" t="str">
        <f>IF(OR(U12=0,N14="",R14=""),"",IF(U12&gt;=(0.5*R14),"HABIL","NO HABIL"))</f>
        <v/>
      </c>
      <c r="W14" s="270"/>
      <c r="X14" s="271" t="str">
        <f>IF(OR(W12=0,N14="",R14=""),"",IF(W12&gt;=$X$9,"HABIL","NO HABIL"))</f>
        <v/>
      </c>
      <c r="Y14" s="272"/>
      <c r="Z14" s="271" t="str">
        <f>IF(OR(Y12=0,N14="",R14=""),"",IF(Y12&lt;=$Z$9,"HABIL","NO HABIL"))</f>
        <v/>
      </c>
      <c r="AA14" s="268" t="s">
        <v>246</v>
      </c>
      <c r="AB14" s="268"/>
      <c r="AC14" s="271" t="str">
        <f>IF(OR(AB12=0,N14="",R14=""),"",IF(AB12&gt;=$AC$9,"HABIL","NO HABIL"))</f>
        <v/>
      </c>
      <c r="AD14" s="271" t="str">
        <f t="shared" si="0"/>
        <v/>
      </c>
      <c r="AE14" s="119">
        <f t="shared" si="6"/>
        <v>0</v>
      </c>
      <c r="AF14" s="110" t="str">
        <f t="shared" ref="AF14:AF22" si="7">+IF(AE14&lt;$AF$10,"MIPYME","NO CUMPLE")</f>
        <v>MIPYME</v>
      </c>
      <c r="AG14" s="273"/>
      <c r="AH14" s="271" t="str">
        <f>IF(OR(AG12=0,N14="",R14=""),"",IF(AG12&gt;=$AH$9,"HABIL","NO HABIL"))</f>
        <v/>
      </c>
      <c r="AI14" s="273"/>
      <c r="AJ14" s="271" t="str">
        <f>IF(OR(AI12=0,N14="",R14=""),"",IF(AI12&gt;=$AJ$9,"HABIL","NO HABIL"))</f>
        <v/>
      </c>
      <c r="AK14" s="126" t="str">
        <f t="shared" si="1"/>
        <v/>
      </c>
    </row>
    <row r="15" spans="1:37" ht="23.25" hidden="1" customHeight="1" x14ac:dyDescent="0.25">
      <c r="A15" s="142"/>
      <c r="B15" s="267" t="str">
        <f t="shared" si="2"/>
        <v/>
      </c>
      <c r="C15" s="250"/>
      <c r="D15" s="233"/>
      <c r="E15" s="224">
        <f>IF(ISERROR(VLOOKUP(C15,#REF!,2,0)),0,VLOOKUP(C15,#REF!,2,0))</f>
        <v>0</v>
      </c>
      <c r="F15" s="224">
        <f>IF(ISERROR(VLOOKUP(C15,#REF!,3,0)),0,VLOOKUP(C15,#REF!,3,0))</f>
        <v>0</v>
      </c>
      <c r="G15" s="224">
        <f>IF(ISERROR(VLOOKUP(C15,#REF!,4,0)),0,VLOOKUP(C15,#REF!,4,0))</f>
        <v>0</v>
      </c>
      <c r="H15" s="224">
        <f>IF(ISERROR(VLOOKUP(C15,#REF!,5,0)),0,VLOOKUP(C15,#REF!,5,0))</f>
        <v>0</v>
      </c>
      <c r="I15" s="224">
        <f t="shared" ref="I15:J22" si="8">IF(ISERROR(E15-G15),"",E15-G15)</f>
        <v>0</v>
      </c>
      <c r="J15" s="224">
        <f t="shared" si="8"/>
        <v>0</v>
      </c>
      <c r="K15" s="224">
        <f t="shared" ref="K15:K22" si="9">IF(ISERROR(F15-H15),"",F15-H15)</f>
        <v>0</v>
      </c>
      <c r="L15" s="224">
        <f>IF(ISERROR(VLOOKUP(C15,#REF!,6,0)),0,VLOOKUP(C15,#REF!,6,0))</f>
        <v>0</v>
      </c>
      <c r="M15" s="224">
        <f>IF(ISERROR(VLOOKUP(C15,#REF!,7,0)),0,VLOOKUP(C15,#REF!,7,0))</f>
        <v>0</v>
      </c>
      <c r="N15" s="174"/>
      <c r="O15" s="174" t="str">
        <f>IF(ISERROR(VLOOKUP(N15,POA!$A$2:$C$16,3,0)),"",VLOOKUP(N15,POA!$A$2:$C$16,3,0))</f>
        <v/>
      </c>
      <c r="P15" s="268"/>
      <c r="Q15" s="268" t="str">
        <f>IF(ISERROR(VLOOKUP(P15,POA!$A$2:$F$16,4,0)),"",VLOOKUP(P15,POA!$A$2:$F$16,4,0))</f>
        <v/>
      </c>
      <c r="R15" s="269" t="str">
        <f>IF(ISERROR(VLOOKUP(N15,POA!$A$2:$C$16,2,0)),"",VLOOKUP(N15,POA!$A$2:$C$16,2,0))</f>
        <v/>
      </c>
      <c r="S15" s="270"/>
      <c r="T15" s="271" t="str">
        <f>IF(OR(S12=0,N15="",R15=""),"",IF(S12&gt;=(0.4*R15),"HABIL","NO HABIL"))</f>
        <v/>
      </c>
      <c r="U15" s="270"/>
      <c r="V15" s="271" t="str">
        <f>IF(OR(U12=0,N15="",R15=""),"",IF(U12&gt;=(0.5*R15),"HABIL","NO HABIL"))</f>
        <v/>
      </c>
      <c r="W15" s="270"/>
      <c r="X15" s="271" t="str">
        <f>IF(OR(W12=0,N15="",R15=""),"",IF(W12&gt;=$X$9,"HABIL","NO HABIL"))</f>
        <v/>
      </c>
      <c r="Y15" s="272"/>
      <c r="Z15" s="271" t="str">
        <f>IF(OR(Y12=0,N15="",R15=""),"",IF(Y12&lt;=$Z$9,"HABIL","NO HABIL"))</f>
        <v/>
      </c>
      <c r="AA15" s="268">
        <v>0</v>
      </c>
      <c r="AB15" s="268"/>
      <c r="AC15" s="271" t="str">
        <f>IF(OR(AB12=0,N15="",R15=""),"",IF(AB12&gt;=$AC$9,"HABIL","NO HABIL"))</f>
        <v/>
      </c>
      <c r="AD15" s="271" t="str">
        <f t="shared" si="0"/>
        <v/>
      </c>
      <c r="AE15" s="119">
        <f t="shared" si="6"/>
        <v>0</v>
      </c>
      <c r="AF15" s="110" t="str">
        <f t="shared" si="7"/>
        <v>MIPYME</v>
      </c>
      <c r="AG15" s="273"/>
      <c r="AH15" s="271" t="str">
        <f>IF(OR(AG12=0,N15="",R15=""),"",IF(AG12&gt;=$AH$9,"HABIL","NO HABIL"))</f>
        <v/>
      </c>
      <c r="AI15" s="273"/>
      <c r="AJ15" s="271" t="str">
        <f>IF(OR(AI12=0,N15="",R15=""),"",IF(AI12&gt;=$AJ$9,"HABIL","NO HABIL"))</f>
        <v/>
      </c>
      <c r="AK15" s="126" t="str">
        <f t="shared" si="1"/>
        <v/>
      </c>
    </row>
    <row r="16" spans="1:37" ht="23.25" hidden="1" customHeight="1" x14ac:dyDescent="0.25">
      <c r="A16" s="142"/>
      <c r="B16" s="267" t="str">
        <f t="shared" si="2"/>
        <v/>
      </c>
      <c r="C16" s="250"/>
      <c r="D16" s="233"/>
      <c r="E16" s="224">
        <f>IF(ISERROR(VLOOKUP(C16,#REF!,2,0)),0,VLOOKUP(C16,#REF!,2,0))</f>
        <v>0</v>
      </c>
      <c r="F16" s="224">
        <f>IF(ISERROR(VLOOKUP(C16,#REF!,3,0)),0,VLOOKUP(C16,#REF!,3,0))</f>
        <v>0</v>
      </c>
      <c r="G16" s="224">
        <f>IF(ISERROR(VLOOKUP(C16,#REF!,4,0)),0,VLOOKUP(C16,#REF!,4,0))</f>
        <v>0</v>
      </c>
      <c r="H16" s="224">
        <f>IF(ISERROR(VLOOKUP(C16,#REF!,5,0)),0,VLOOKUP(C16,#REF!,5,0))</f>
        <v>0</v>
      </c>
      <c r="I16" s="224">
        <f t="shared" si="8"/>
        <v>0</v>
      </c>
      <c r="J16" s="224">
        <f t="shared" si="8"/>
        <v>0</v>
      </c>
      <c r="K16" s="224">
        <f t="shared" si="9"/>
        <v>0</v>
      </c>
      <c r="L16" s="224">
        <f>IF(ISERROR(VLOOKUP(C16,#REF!,6,0)),0,VLOOKUP(C16,#REF!,6,0))</f>
        <v>0</v>
      </c>
      <c r="M16" s="224">
        <f>IF(ISERROR(VLOOKUP(C16,#REF!,7,0)),0,VLOOKUP(C16,#REF!,7,0))</f>
        <v>0</v>
      </c>
      <c r="N16" s="174"/>
      <c r="O16" s="174" t="str">
        <f>IF(ISERROR(VLOOKUP(N16,POA!$A$2:$C$16,3,0)),"",VLOOKUP(N16,POA!$A$2:$C$16,3,0))</f>
        <v/>
      </c>
      <c r="P16" s="268"/>
      <c r="Q16" s="268" t="str">
        <f>IF(ISERROR(VLOOKUP(P16,POA!$A$2:$F$16,4,0)),"",VLOOKUP(P16,POA!$A$2:$F$16,4,0))</f>
        <v/>
      </c>
      <c r="R16" s="269" t="str">
        <f>IF(ISERROR(VLOOKUP(N16,POA!$A$2:$C$16,2,0)),"",VLOOKUP(N16,POA!$A$2:$C$16,2,0))</f>
        <v/>
      </c>
      <c r="S16" s="270"/>
      <c r="T16" s="271" t="str">
        <f>IF(OR(S12=0,N16="",R16=""),"",IF(S12&gt;=(0.4*R16),"HABIL","NO HABIL"))</f>
        <v/>
      </c>
      <c r="U16" s="270"/>
      <c r="V16" s="271" t="str">
        <f>IF(OR(U12=0,N16="",R16=""),"",IF(U12&gt;=(0.5*R16),"HABIL","NO HABIL"))</f>
        <v/>
      </c>
      <c r="W16" s="270"/>
      <c r="X16" s="271" t="str">
        <f>IF(OR(W12=0,N16="",R16=""),"",IF(W12&gt;=$X$9,"HABIL","NO HABIL"))</f>
        <v/>
      </c>
      <c r="Y16" s="272"/>
      <c r="Z16" s="271" t="str">
        <f>IF(OR(Y12=0,N16="",R16=""),"",IF(Y12&lt;=$Z$9,"HABIL","NO HABIL"))</f>
        <v/>
      </c>
      <c r="AA16" s="268">
        <v>0</v>
      </c>
      <c r="AB16" s="268"/>
      <c r="AC16" s="271" t="str">
        <f>IF(OR(AB12=0,N16="",R16=""),"",IF(AB12&gt;=$AC$9,"HABIL","NO HABIL"))</f>
        <v/>
      </c>
      <c r="AD16" s="271" t="str">
        <f t="shared" si="0"/>
        <v/>
      </c>
      <c r="AE16" s="119">
        <f t="shared" si="6"/>
        <v>0</v>
      </c>
      <c r="AF16" s="110" t="str">
        <f t="shared" si="7"/>
        <v>MIPYME</v>
      </c>
      <c r="AG16" s="273"/>
      <c r="AH16" s="271" t="str">
        <f>IF(OR(AG12=0,N16="",R16=""),"",IF(AG12&gt;=$AH$9,"HABIL","NO HABIL"))</f>
        <v/>
      </c>
      <c r="AI16" s="273"/>
      <c r="AJ16" s="271" t="str">
        <f>IF(OR(AI12=0,N16="",R16=""),"",IF(AI12&gt;=$AJ$9,"HABIL","NO HABIL"))</f>
        <v/>
      </c>
      <c r="AK16" s="126" t="str">
        <f t="shared" si="1"/>
        <v/>
      </c>
    </row>
    <row r="17" spans="2:37" ht="23.25" hidden="1" customHeight="1" x14ac:dyDescent="0.25">
      <c r="B17" s="267" t="str">
        <f t="shared" si="2"/>
        <v/>
      </c>
      <c r="C17" s="250"/>
      <c r="D17" s="233"/>
      <c r="E17" s="224">
        <f>IF(ISERROR(VLOOKUP(C17,#REF!,2,0)),0,VLOOKUP(C17,#REF!,2,0))</f>
        <v>0</v>
      </c>
      <c r="F17" s="224">
        <f>IF(ISERROR(VLOOKUP(C17,#REF!,3,0)),0,VLOOKUP(C17,#REF!,3,0))</f>
        <v>0</v>
      </c>
      <c r="G17" s="224">
        <f>IF(ISERROR(VLOOKUP(C17,#REF!,4,0)),0,VLOOKUP(C17,#REF!,4,0))</f>
        <v>0</v>
      </c>
      <c r="H17" s="224">
        <f>IF(ISERROR(VLOOKUP(C17,#REF!,5,0)),0,VLOOKUP(C17,#REF!,5,0))</f>
        <v>0</v>
      </c>
      <c r="I17" s="224">
        <f t="shared" si="8"/>
        <v>0</v>
      </c>
      <c r="J17" s="224">
        <f t="shared" si="8"/>
        <v>0</v>
      </c>
      <c r="K17" s="224">
        <f t="shared" si="9"/>
        <v>0</v>
      </c>
      <c r="L17" s="224">
        <f>IF(ISERROR(VLOOKUP(C17,#REF!,6,0)),0,VLOOKUP(C17,#REF!,6,0))</f>
        <v>0</v>
      </c>
      <c r="M17" s="224">
        <f>IF(ISERROR(VLOOKUP(C17,#REF!,7,0)),0,VLOOKUP(C17,#REF!,7,0))</f>
        <v>0</v>
      </c>
      <c r="N17" s="174"/>
      <c r="O17" s="174" t="str">
        <f>IF(ISERROR(VLOOKUP(N17,POA!$A$2:$C$16,3,0)),"",VLOOKUP(N17,POA!$A$2:$C$16,3,0))</f>
        <v/>
      </c>
      <c r="P17" s="268"/>
      <c r="Q17" s="268" t="str">
        <f>IF(ISERROR(VLOOKUP(P17,POA!$A$2:$F$16,4,0)),"",VLOOKUP(P17,POA!$A$2:$F$16,4,0))</f>
        <v/>
      </c>
      <c r="R17" s="269" t="str">
        <f>IF(ISERROR(VLOOKUP(N17,POA!$A$2:$C$16,2,0)),"",VLOOKUP(N17,POA!$A$2:$C$16,2,0))</f>
        <v/>
      </c>
      <c r="S17" s="270"/>
      <c r="T17" s="271" t="str">
        <f>IF(OR(S12=0,N17="",R17=""),"",IF(S12&gt;=(0.4*R17),"HABIL","NO HABIL"))</f>
        <v/>
      </c>
      <c r="U17" s="270"/>
      <c r="V17" s="271" t="str">
        <f>IF(OR(U12=0,N17="",R17=""),"",IF(U12&gt;=(0.5*R17),"HABIL","NO HABIL"))</f>
        <v/>
      </c>
      <c r="W17" s="270"/>
      <c r="X17" s="271" t="str">
        <f>IF(OR(W12=0,N17="",R17=""),"",IF(W12&gt;=$X$9,"HABIL","NO HABIL"))</f>
        <v/>
      </c>
      <c r="Y17" s="272"/>
      <c r="Z17" s="271" t="str">
        <f>IF(OR(Y12=0,N17="",R17=""),"",IF(Y12&lt;=$Z$9,"HABIL","NO HABIL"))</f>
        <v/>
      </c>
      <c r="AA17" s="268">
        <v>0</v>
      </c>
      <c r="AB17" s="268"/>
      <c r="AC17" s="271" t="str">
        <f>IF(OR(AB12=0,N17="",R17=""),"",IF(AB12&gt;=$AC$9,"HABIL","NO HABIL"))</f>
        <v/>
      </c>
      <c r="AD17" s="271" t="str">
        <f t="shared" si="0"/>
        <v/>
      </c>
      <c r="AE17" s="119">
        <f t="shared" si="6"/>
        <v>0</v>
      </c>
      <c r="AF17" s="110" t="str">
        <f t="shared" si="7"/>
        <v>MIPYME</v>
      </c>
      <c r="AG17" s="273"/>
      <c r="AH17" s="271" t="str">
        <f>IF(OR(AG12=0,N17="",R17=""),"",IF(AG12&gt;=$AH$9,"HABIL","NO HABIL"))</f>
        <v/>
      </c>
      <c r="AI17" s="273"/>
      <c r="AJ17" s="271" t="str">
        <f>IF(OR(AI12=0,N17="",R17=""),"",IF(AI12&gt;=$AJ$9,"HABIL","NO HABIL"))</f>
        <v/>
      </c>
      <c r="AK17" s="123" t="str">
        <f t="shared" si="1"/>
        <v/>
      </c>
    </row>
    <row r="18" spans="2:37" ht="23.25" hidden="1" customHeight="1" x14ac:dyDescent="0.25">
      <c r="B18" s="267" t="str">
        <f t="shared" si="2"/>
        <v/>
      </c>
      <c r="C18" s="250"/>
      <c r="D18" s="233"/>
      <c r="E18" s="224">
        <f>IF(ISERROR(VLOOKUP(C18,#REF!,2,0)),0,VLOOKUP(C18,#REF!,2,0))</f>
        <v>0</v>
      </c>
      <c r="F18" s="224">
        <f>IF(ISERROR(VLOOKUP(C18,#REF!,3,0)),0,VLOOKUP(C18,#REF!,3,0))</f>
        <v>0</v>
      </c>
      <c r="G18" s="224">
        <f>IF(ISERROR(VLOOKUP(C18,#REF!,4,0)),0,VLOOKUP(C18,#REF!,4,0))</f>
        <v>0</v>
      </c>
      <c r="H18" s="224">
        <f>IF(ISERROR(VLOOKUP(C18,#REF!,5,0)),0,VLOOKUP(C18,#REF!,5,0))</f>
        <v>0</v>
      </c>
      <c r="I18" s="224">
        <f t="shared" si="8"/>
        <v>0</v>
      </c>
      <c r="J18" s="224">
        <f t="shared" si="8"/>
        <v>0</v>
      </c>
      <c r="K18" s="224">
        <f t="shared" si="9"/>
        <v>0</v>
      </c>
      <c r="L18" s="224">
        <f>IF(ISERROR(VLOOKUP(C18,#REF!,6,0)),0,VLOOKUP(C18,#REF!,6,0))</f>
        <v>0</v>
      </c>
      <c r="M18" s="224">
        <f>IF(ISERROR(VLOOKUP(C18,#REF!,7,0)),0,VLOOKUP(C18,#REF!,7,0))</f>
        <v>0</v>
      </c>
      <c r="N18" s="174"/>
      <c r="O18" s="174" t="str">
        <f>IF(ISERROR(VLOOKUP(N18,POA!$A$2:$C$16,3,0)),"",VLOOKUP(N18,POA!$A$2:$C$16,3,0))</f>
        <v/>
      </c>
      <c r="P18" s="268"/>
      <c r="Q18" s="268" t="str">
        <f>IF(ISERROR(VLOOKUP(P18,POA!$A$2:$F$16,4,0)),"",VLOOKUP(P18,POA!$A$2:$F$16,4,0))</f>
        <v/>
      </c>
      <c r="R18" s="269" t="str">
        <f>IF(ISERROR(VLOOKUP(N18,POA!$A$2:$C$16,2,0)),"",VLOOKUP(N18,POA!$A$2:$C$16,2,0))</f>
        <v/>
      </c>
      <c r="S18" s="270"/>
      <c r="T18" s="271" t="str">
        <f>IF(OR(S12=0,N18="",R18=""),"",IF(S12&gt;=(0.4*R18),"HABIL","NO HABIL"))</f>
        <v/>
      </c>
      <c r="U18" s="270"/>
      <c r="V18" s="271" t="str">
        <f>IF(OR(U12=0,N18="",R18=""),"",IF(U12&gt;=(0.5*R18),"HABIL","NO HABIL"))</f>
        <v/>
      </c>
      <c r="W18" s="270"/>
      <c r="X18" s="271" t="str">
        <f>IF(OR(W12=0,N18="",R18=""),"",IF(W12&gt;=$X$9,"HABIL","NO HABIL"))</f>
        <v/>
      </c>
      <c r="Y18" s="272"/>
      <c r="Z18" s="271" t="str">
        <f>IF(OR(Y12=0,N18="",R18=""),"",IF(Y12&lt;=$Z$9,"HABIL","NO HABIL"))</f>
        <v/>
      </c>
      <c r="AA18" s="268">
        <v>0</v>
      </c>
      <c r="AB18" s="268"/>
      <c r="AC18" s="271" t="str">
        <f>IF(OR(AB12=0,N18="",R18=""),"",IF(AB12&gt;=$AC$9,"HABIL","NO HABIL"))</f>
        <v/>
      </c>
      <c r="AD18" s="271" t="str">
        <f t="shared" si="0"/>
        <v/>
      </c>
      <c r="AE18" s="119">
        <f t="shared" si="6"/>
        <v>0</v>
      </c>
      <c r="AF18" s="110" t="str">
        <f t="shared" si="7"/>
        <v>MIPYME</v>
      </c>
      <c r="AG18" s="273"/>
      <c r="AH18" s="271" t="str">
        <f>IF(OR(AG12=0,N18="",R18=""),"",IF(AG12&gt;=$AH$9,"HABIL","NO HABIL"))</f>
        <v/>
      </c>
      <c r="AI18" s="273"/>
      <c r="AJ18" s="271" t="str">
        <f>IF(OR(AI12=0,N18="",R18=""),"",IF(AI12&gt;=$AJ$9,"HABIL","NO HABIL"))</f>
        <v/>
      </c>
      <c r="AK18" s="126" t="str">
        <f t="shared" si="1"/>
        <v/>
      </c>
    </row>
    <row r="19" spans="2:37" ht="23.25" hidden="1" customHeight="1" x14ac:dyDescent="0.25">
      <c r="B19" s="267" t="str">
        <f>IF(C19="","",B18+0.1)</f>
        <v/>
      </c>
      <c r="C19" s="250"/>
      <c r="D19" s="233"/>
      <c r="E19" s="224">
        <f>IF(ISERROR(VLOOKUP(C19,#REF!,2,0)),0,VLOOKUP(C19,#REF!,2,0))</f>
        <v>0</v>
      </c>
      <c r="F19" s="224">
        <f>IF(ISERROR(VLOOKUP(C19,#REF!,3,0)),0,VLOOKUP(C19,#REF!,3,0))</f>
        <v>0</v>
      </c>
      <c r="G19" s="224">
        <f>IF(ISERROR(VLOOKUP(C19,#REF!,4,0)),0,VLOOKUP(C19,#REF!,4,0))</f>
        <v>0</v>
      </c>
      <c r="H19" s="224">
        <f>IF(ISERROR(VLOOKUP(C19,#REF!,5,0)),0,VLOOKUP(C19,#REF!,5,0))</f>
        <v>0</v>
      </c>
      <c r="I19" s="224">
        <f t="shared" si="8"/>
        <v>0</v>
      </c>
      <c r="J19" s="224">
        <f t="shared" si="8"/>
        <v>0</v>
      </c>
      <c r="K19" s="224">
        <f t="shared" si="9"/>
        <v>0</v>
      </c>
      <c r="L19" s="224">
        <f>IF(ISERROR(VLOOKUP(C19,#REF!,6,0)),0,VLOOKUP(C19,#REF!,6,0))</f>
        <v>0</v>
      </c>
      <c r="M19" s="224">
        <f>IF(ISERROR(VLOOKUP(C19,#REF!,7,0)),0,VLOOKUP(C19,#REF!,7,0))</f>
        <v>0</v>
      </c>
      <c r="N19" s="174"/>
      <c r="O19" s="174" t="str">
        <f>IF(ISERROR(VLOOKUP(N19,POA!$A$2:$C$16,3,0)),"",VLOOKUP(N19,POA!$A$2:$C$16,3,0))</f>
        <v/>
      </c>
      <c r="P19" s="268"/>
      <c r="Q19" s="268" t="str">
        <f>IF(ISERROR(VLOOKUP(P19,POA!$A$2:$F$16,4,0)),"",VLOOKUP(P19,POA!$A$2:$F$16,4,0))</f>
        <v/>
      </c>
      <c r="R19" s="269" t="str">
        <f>IF(ISERROR(VLOOKUP(N19,POA!$A$2:$C$16,2,0)),"",VLOOKUP(N19,POA!$A$2:$C$16,2,0))</f>
        <v/>
      </c>
      <c r="S19" s="270"/>
      <c r="T19" s="271" t="str">
        <f>IF(OR(S12=0,N19="",R19=""),"",IF(S12&gt;=(0.4*R19),"HABIL","NO HABIL"))</f>
        <v/>
      </c>
      <c r="U19" s="270"/>
      <c r="V19" s="271" t="str">
        <f>IF(OR(U12=0,N19="",R19=""),"",IF(U12&gt;=(0.5*R19),"HABIL","NO HABIL"))</f>
        <v/>
      </c>
      <c r="W19" s="270"/>
      <c r="X19" s="271" t="str">
        <f>IF(OR(W12=0,N19="",R19=""),"",IF(W12&gt;=$X$9,"HABIL","NO HABIL"))</f>
        <v/>
      </c>
      <c r="Y19" s="272"/>
      <c r="Z19" s="271" t="str">
        <f>IF(OR(Y12=0,N19="",R19=""),"",IF(Y12&lt;=$Z$9,"HABIL","NO HABIL"))</f>
        <v/>
      </c>
      <c r="AA19" s="268">
        <v>0</v>
      </c>
      <c r="AB19" s="268"/>
      <c r="AC19" s="271" t="str">
        <f>IF(OR(AB12=0,N19="",R19=""),"",IF(AB12&gt;=$AC$9,"HABIL","NO HABIL"))</f>
        <v/>
      </c>
      <c r="AD19" s="271" t="str">
        <f t="shared" si="0"/>
        <v/>
      </c>
      <c r="AE19" s="119">
        <f t="shared" si="6"/>
        <v>0</v>
      </c>
      <c r="AF19" s="110" t="str">
        <f t="shared" si="7"/>
        <v>MIPYME</v>
      </c>
      <c r="AG19" s="273"/>
      <c r="AH19" s="271" t="str">
        <f>IF(OR(AG12=0,N19="",R19=""),"",IF(AG12&gt;=$AH$9,"HABIL","NO HABIL"))</f>
        <v/>
      </c>
      <c r="AI19" s="273"/>
      <c r="AJ19" s="271" t="str">
        <f>IF(OR(AI12=0,N19="",R19=""),"",IF(AI12&gt;=$AJ$9,"HABIL","NO HABIL"))</f>
        <v/>
      </c>
      <c r="AK19" s="126" t="str">
        <f t="shared" si="1"/>
        <v/>
      </c>
    </row>
    <row r="20" spans="2:37" ht="23.25" hidden="1" customHeight="1" x14ac:dyDescent="0.25">
      <c r="B20" s="267" t="str">
        <f>IF(C20="","",B19+0.1)</f>
        <v/>
      </c>
      <c r="C20" s="250"/>
      <c r="D20" s="233"/>
      <c r="E20" s="224">
        <f>IF(ISERROR(VLOOKUP(C20,#REF!,2,0)),0,VLOOKUP(C20,#REF!,2,0))</f>
        <v>0</v>
      </c>
      <c r="F20" s="224">
        <f>IF(ISERROR(VLOOKUP(C20,#REF!,3,0)),0,VLOOKUP(C20,#REF!,3,0))</f>
        <v>0</v>
      </c>
      <c r="G20" s="224">
        <f>IF(ISERROR(VLOOKUP(C20,#REF!,4,0)),0,VLOOKUP(C20,#REF!,4,0))</f>
        <v>0</v>
      </c>
      <c r="H20" s="224">
        <f>IF(ISERROR(VLOOKUP(C20,#REF!,5,0)),0,VLOOKUP(C20,#REF!,5,0))</f>
        <v>0</v>
      </c>
      <c r="I20" s="224">
        <f t="shared" si="8"/>
        <v>0</v>
      </c>
      <c r="J20" s="224">
        <f t="shared" si="8"/>
        <v>0</v>
      </c>
      <c r="K20" s="224">
        <f t="shared" si="9"/>
        <v>0</v>
      </c>
      <c r="L20" s="224">
        <f>IF(ISERROR(VLOOKUP(C20,#REF!,6,0)),0,VLOOKUP(C20,#REF!,6,0))</f>
        <v>0</v>
      </c>
      <c r="M20" s="224">
        <f>IF(ISERROR(VLOOKUP(C20,#REF!,7,0)),0,VLOOKUP(C20,#REF!,7,0))</f>
        <v>0</v>
      </c>
      <c r="N20" s="174"/>
      <c r="O20" s="174" t="str">
        <f>IF(ISERROR(VLOOKUP(N20,POA!$A$2:$C$16,3,0)),"",VLOOKUP(N20,POA!$A$2:$C$16,3,0))</f>
        <v/>
      </c>
      <c r="P20" s="268"/>
      <c r="Q20" s="268" t="str">
        <f>IF(ISERROR(VLOOKUP(P20,POA!$A$2:$F$16,4,0)),"",VLOOKUP(P20,POA!$A$2:$F$16,4,0))</f>
        <v/>
      </c>
      <c r="R20" s="269" t="str">
        <f>IF(ISERROR(VLOOKUP(N20,POA!$A$2:$C$16,2,0)),"",VLOOKUP(N20,POA!$A$2:$C$16,2,0))</f>
        <v/>
      </c>
      <c r="S20" s="270"/>
      <c r="T20" s="271" t="str">
        <f>IF(OR(S12=0,N20="",R20=""),"",IF(S12&gt;=(0.4*R20),"HABIL","NO HABIL"))</f>
        <v/>
      </c>
      <c r="U20" s="270"/>
      <c r="V20" s="271" t="str">
        <f>IF(OR(U12=0,N20="",R20=""),"",IF(U12&gt;=(0.5*R20),"HABIL","NO HABIL"))</f>
        <v/>
      </c>
      <c r="W20" s="270"/>
      <c r="X20" s="271" t="str">
        <f>IF(OR(W12=0,N20="",R20=""),"",IF(W12&gt;=$X$9,"HABIL","NO HABIL"))</f>
        <v/>
      </c>
      <c r="Y20" s="272"/>
      <c r="Z20" s="271" t="str">
        <f>IF(OR(Y12=0,N20="",R20=""),"",IF(Y12&lt;=$Z$9,"HABIL","NO HABIL"))</f>
        <v/>
      </c>
      <c r="AA20" s="268">
        <v>0</v>
      </c>
      <c r="AB20" s="268"/>
      <c r="AC20" s="271" t="str">
        <f>IF(OR(AB12=0,N20="",R20=""),"",IF(AB12&gt;=$AC$9,"HABIL","NO HABIL"))</f>
        <v/>
      </c>
      <c r="AD20" s="271" t="str">
        <f t="shared" si="0"/>
        <v/>
      </c>
      <c r="AE20" s="119">
        <f t="shared" si="6"/>
        <v>0</v>
      </c>
      <c r="AF20" s="110" t="str">
        <f t="shared" si="7"/>
        <v>MIPYME</v>
      </c>
      <c r="AG20" s="273"/>
      <c r="AH20" s="271" t="str">
        <f>IF(OR(AG12=0,N20="",R20=""),"",IF(AG12&gt;=$AH$9,"HABIL","NO HABIL"))</f>
        <v/>
      </c>
      <c r="AI20" s="273"/>
      <c r="AJ20" s="271" t="str">
        <f>IF(OR(AI12=0,N20="",R20=""),"",IF(AI12&gt;=$AJ$9,"HABIL","NO HABIL"))</f>
        <v/>
      </c>
      <c r="AK20" s="123" t="str">
        <f t="shared" si="1"/>
        <v/>
      </c>
    </row>
    <row r="21" spans="2:37" ht="23.25" hidden="1" customHeight="1" x14ac:dyDescent="0.25">
      <c r="B21" s="267" t="str">
        <f>IF(C21="","",B20+0.1)</f>
        <v/>
      </c>
      <c r="C21" s="250"/>
      <c r="D21" s="233"/>
      <c r="E21" s="224">
        <f>IF(ISERROR(VLOOKUP(C21,#REF!,2,0)),0,VLOOKUP(C21,#REF!,2,0))</f>
        <v>0</v>
      </c>
      <c r="F21" s="224">
        <f>IF(ISERROR(VLOOKUP(C21,#REF!,3,0)),0,VLOOKUP(C21,#REF!,3,0))</f>
        <v>0</v>
      </c>
      <c r="G21" s="224">
        <f>IF(ISERROR(VLOOKUP(C21,#REF!,4,0)),0,VLOOKUP(C21,#REF!,4,0))</f>
        <v>0</v>
      </c>
      <c r="H21" s="224">
        <f>IF(ISERROR(VLOOKUP(C21,#REF!,5,0)),0,VLOOKUP(C21,#REF!,5,0))</f>
        <v>0</v>
      </c>
      <c r="I21" s="224">
        <f t="shared" si="8"/>
        <v>0</v>
      </c>
      <c r="J21" s="224">
        <f t="shared" si="8"/>
        <v>0</v>
      </c>
      <c r="K21" s="224">
        <f t="shared" si="9"/>
        <v>0</v>
      </c>
      <c r="L21" s="224">
        <f>IF(ISERROR(VLOOKUP(C21,#REF!,6,0)),0,VLOOKUP(C21,#REF!,6,0))</f>
        <v>0</v>
      </c>
      <c r="M21" s="224">
        <f>IF(ISERROR(VLOOKUP(C21,#REF!,7,0)),0,VLOOKUP(C21,#REF!,7,0))</f>
        <v>0</v>
      </c>
      <c r="N21" s="174"/>
      <c r="O21" s="174" t="str">
        <f>IF(ISERROR(VLOOKUP(N21,POA!$A$2:$C$16,3,0)),"",VLOOKUP(N21,POA!$A$2:$C$16,3,0))</f>
        <v/>
      </c>
      <c r="P21" s="268"/>
      <c r="Q21" s="268" t="str">
        <f>IF(ISERROR(VLOOKUP(P21,POA!$A$2:$F$16,4,0)),"",VLOOKUP(P21,POA!$A$2:$F$16,4,0))</f>
        <v/>
      </c>
      <c r="R21" s="269" t="str">
        <f>IF(ISERROR(VLOOKUP(N21,POA!$A$2:$C$16,2,0)),"",VLOOKUP(N21,POA!$A$2:$C$16,2,0))</f>
        <v/>
      </c>
      <c r="S21" s="270"/>
      <c r="T21" s="271" t="str">
        <f>IF(OR(S12=0,N21="",R21=""),"",IF(S12&gt;=(0.4*R21),"HABIL","NO HABIL"))</f>
        <v/>
      </c>
      <c r="U21" s="270"/>
      <c r="V21" s="271" t="str">
        <f>IF(OR(U12=0,N21="",R21=""),"",IF(U12&gt;=(0.5*R21),"HABIL","NO HABIL"))</f>
        <v/>
      </c>
      <c r="W21" s="270"/>
      <c r="X21" s="271" t="str">
        <f>IF(OR(W12=0,N21="",R21=""),"",IF(W12&gt;=$X$9,"HABIL","NO HABIL"))</f>
        <v/>
      </c>
      <c r="Y21" s="272"/>
      <c r="Z21" s="271" t="str">
        <f>IF(OR(Y12=0,N21="",R21=""),"",IF(Y12&lt;=$Z$9,"HABIL","NO HABIL"))</f>
        <v/>
      </c>
      <c r="AA21" s="268">
        <v>0</v>
      </c>
      <c r="AB21" s="268"/>
      <c r="AC21" s="271" t="str">
        <f>IF(OR(AB12=0,N21="",R21=""),"",IF(AB12&gt;=$AC$9,"HABIL","NO HABIL"))</f>
        <v/>
      </c>
      <c r="AD21" s="271" t="str">
        <f t="shared" si="0"/>
        <v/>
      </c>
      <c r="AE21" s="119">
        <f t="shared" si="6"/>
        <v>0</v>
      </c>
      <c r="AF21" s="110" t="str">
        <f t="shared" si="7"/>
        <v>MIPYME</v>
      </c>
      <c r="AG21" s="273"/>
      <c r="AH21" s="271" t="str">
        <f>IF(OR(AG12=0,N21="",R21=""),"",IF(AG12&gt;=$AH$9,"HABIL","NO HABIL"))</f>
        <v/>
      </c>
      <c r="AI21" s="273"/>
      <c r="AJ21" s="271" t="str">
        <f>IF(OR(AI12=0,N21="",R21=""),"",IF(AI12&gt;=$AJ$9,"HABIL","NO HABIL"))</f>
        <v/>
      </c>
      <c r="AK21" s="123" t="str">
        <f t="shared" si="1"/>
        <v/>
      </c>
    </row>
    <row r="22" spans="2:37" ht="23.25" hidden="1" customHeight="1" thickBot="1" x14ac:dyDescent="0.3">
      <c r="B22" s="267" t="str">
        <f>IF(C22="","",B21+0.1)</f>
        <v/>
      </c>
      <c r="C22" s="250"/>
      <c r="D22" s="101"/>
      <c r="E22" s="73">
        <f>IF(ISERROR(VLOOKUP(C22,#REF!,2,0)),0,VLOOKUP(C22,#REF!,2,0))</f>
        <v>0</v>
      </c>
      <c r="F22" s="73">
        <f>IF(ISERROR(VLOOKUP(C22,#REF!,3,0)),0,VLOOKUP(C22,#REF!,3,0))</f>
        <v>0</v>
      </c>
      <c r="G22" s="73">
        <f>IF(ISERROR(VLOOKUP(C22,#REF!,4,0)),0,VLOOKUP(C22,#REF!,4,0))</f>
        <v>0</v>
      </c>
      <c r="H22" s="73">
        <f>IF(ISERROR(VLOOKUP(C22,#REF!,5,0)),0,VLOOKUP(C22,#REF!,5,0))</f>
        <v>0</v>
      </c>
      <c r="I22" s="73">
        <f t="shared" si="8"/>
        <v>0</v>
      </c>
      <c r="J22" s="73">
        <f t="shared" si="8"/>
        <v>0</v>
      </c>
      <c r="K22" s="73">
        <f t="shared" si="9"/>
        <v>0</v>
      </c>
      <c r="L22" s="73">
        <f>IF(ISERROR(VLOOKUP(C22,#REF!,6,0)),0,VLOOKUP(C22,#REF!,6,0))</f>
        <v>0</v>
      </c>
      <c r="M22" s="73">
        <f>IF(ISERROR(VLOOKUP(C22,#REF!,7,0)),0,VLOOKUP(C22,#REF!,7,0))</f>
        <v>0</v>
      </c>
      <c r="N22" s="175"/>
      <c r="O22" s="175" t="str">
        <f>IF(ISERROR(VLOOKUP(N22,POA!$A$2:$C$16,3,0)),"",VLOOKUP(N22,POA!$A$2:$C$16,3,0))</f>
        <v/>
      </c>
      <c r="P22" s="82"/>
      <c r="Q22" s="82" t="str">
        <f>IF(ISERROR(VLOOKUP(P22,POA!$A$2:$F$16,4,0)),"",VLOOKUP(P22,POA!$A$2:$F$16,4,0))</f>
        <v/>
      </c>
      <c r="R22" s="77" t="str">
        <f>IF(ISERROR(VLOOKUP(N22,POA!$A$2:$C$16,2,0)),"",VLOOKUP(N22,POA!$A$2:$C$16,2,0))</f>
        <v/>
      </c>
      <c r="S22" s="84"/>
      <c r="T22" s="83" t="str">
        <f>IF(OR(S12=0,N22="",R22=""),"",IF(S12&gt;=(0.4*R22),"HABIL","NO HABIL"))</f>
        <v/>
      </c>
      <c r="U22" s="84"/>
      <c r="V22" s="83" t="str">
        <f>IF(OR(U12=0,N22="",R22=""),"",IF(U12&gt;=(0.5*R22),"HABIL","NO HABIL"))</f>
        <v/>
      </c>
      <c r="W22" s="84"/>
      <c r="X22" s="83" t="str">
        <f>IF(OR(W12=0,N22="",R22=""),"",IF(W12&gt;=$X$9,"HABIL","NO HABIL"))</f>
        <v/>
      </c>
      <c r="Y22" s="118"/>
      <c r="Z22" s="83" t="str">
        <f>IF(OR(Y12=0,N22="",R22=""),"",IF(Y12&lt;=$Z$9,"HABIL","NO HABIL"))</f>
        <v/>
      </c>
      <c r="AA22" s="82">
        <v>0</v>
      </c>
      <c r="AB22" s="82"/>
      <c r="AC22" s="83" t="str">
        <f>IF(OR(AB12=0,N22="",R22=""),"",IF(AB12&gt;=$AC$9,"HABIL","NO HABIL"))</f>
        <v/>
      </c>
      <c r="AD22" s="83" t="str">
        <f t="shared" si="0"/>
        <v/>
      </c>
      <c r="AE22" s="121">
        <f t="shared" si="6"/>
        <v>0</v>
      </c>
      <c r="AF22" s="111" t="str">
        <f t="shared" si="7"/>
        <v>MIPYME</v>
      </c>
      <c r="AG22" s="131"/>
      <c r="AH22" s="83" t="str">
        <f>IF(OR(AG12=0,N22="",R22=""),"",IF(AG12&gt;=$AH$9,"HABIL","NO HABIL"))</f>
        <v/>
      </c>
      <c r="AI22" s="131"/>
      <c r="AJ22" s="83" t="str">
        <f>IF(OR(AI12=0,N22="",R22=""),"",IF(AI12&gt;=$AJ$9,"HABIL","NO HABIL"))</f>
        <v/>
      </c>
      <c r="AK22" s="124" t="str">
        <f t="shared" si="1"/>
        <v/>
      </c>
    </row>
    <row r="23" spans="2:37" ht="23.25" customHeight="1" x14ac:dyDescent="0.25">
      <c r="B23" s="274">
        <v>2</v>
      </c>
      <c r="C23" s="251"/>
      <c r="D23" s="99">
        <f>IF(SUM(D24:D33)=0,"",SUM(D24:D33))</f>
        <v>1</v>
      </c>
      <c r="E23" s="80">
        <f>IF(ISERROR(($D24*E24)+($D25*E25)+($D26*E26)+($D27*E27)+($D28*E28)+($D29*E29)+($D30*E30)+($D31*E31)+($D32*E32)+($D33*E33)),"",($D24*E24)+($D25*E25)+($D26*E26)+($D27*E27)+($D28*E28)+($D29*E29)+($D30*E30)+($D31*E31)+($D32*E32)+($D33*E33))</f>
        <v>468559263</v>
      </c>
      <c r="F23" s="80">
        <f>IF(ISERROR(($D24*F24)+($D25*F25)+($D26*F26)+($D27*F27)+($D28*F28)+($D29*F29)+($D30*F30)+($D31*F31)+($D32*F32)+($D33*F33)),"",($D24*F24)+($D25*F25)+($D26*F26)+($D27*F27)+($D28*F28)+($D29*F29)+($D30*F30)+($D31*F31)+($D32*F32)+($D33*F33))</f>
        <v>483559263</v>
      </c>
      <c r="G23" s="80">
        <f>IF(ISERROR(($D24*G24)+($D25*G25)+($D26*G26)+($D27*G27)+($D28*G28)+($D29*G29)+($D30*G30)+($D31*G31)+($D32*G32)+($D33*G33)),"",($D24*G24)+($D25*G25)+($D26*G26)+($D27*G27)+($D28*G28)+($D29*G29)+($D30*G30)+($D31*G31)+($D32*G32)+($D33*G33))</f>
        <v>5303000</v>
      </c>
      <c r="H23" s="80">
        <f>IF(ISERROR(($D24*H24)+($D25*H25)+($D26*H26)+($D27*H27)+($D28*H28)+($D29*H29)+($D30*H30)+($D31*H31)+($D32*H32)+($D33*H33)),"",($D24*H24)+($D25*H25)+($D26*H26)+($D27*H27)+($D28*H28)+($D29*H29)+($D30*H30)+($D31*H31)+($D32*H32)+($D33*H33))</f>
        <v>75472853</v>
      </c>
      <c r="I23" s="80">
        <f>IF(ISERROR(SUM(I24:I33)),"",SUM(I24:I33))</f>
        <v>463256263</v>
      </c>
      <c r="J23" s="80">
        <f>IF(ISERROR(SUM(J24:J33)),"",SUM(J24:J33))</f>
        <v>408086410</v>
      </c>
      <c r="K23" s="80">
        <f>IF(ISERROR(($D24*K24)+($D25*K25)+($D26*K26)+($D27*K27)+($D28*K28)+($D29*K29)+($D30*K30)+($D31*K31)+($D32*K32)+($D33*K33)),"",($D24*K24)+($D25*K25)+($D26*K26)+($D27*K27)+($D28*K28)+($D29*K29)+($D30*K30)+($D31*K31)+($D32*K32)+($D33*K33))</f>
        <v>408086410</v>
      </c>
      <c r="L23" s="80">
        <f>IF(ISERROR(($D24*L24)+($D25*L25)+($D26*L26)+($D27*L27)+($D28*L28)+($D29*L29)+($D30*L30)+($D31*L31)+($D32*L32)+($D33*L33)),"",($D24*L24)+($D25*L25)+($D26*L26)+($D27*L27)+($D28*L28)+($D29*L29)+($D30*L30)+($D31*L31)+($D32*L32)+($D33*L33))</f>
        <v>202288480</v>
      </c>
      <c r="M23" s="80">
        <f>IF(ISERROR(($D24*M24)+($D25*M25)+($D26*M26)+($D27*M27)+($D28*M28)+($D29*M29)+($D30*M30)+($D31*M31)+($D32*M32)+($D33*M33)),"",($D24*M24)+($D25*M25)+($D26*M26)+($D27*M27)+($D28*M28)+($D29*M29)+($D30*M30)+($D31*M31)+($D32*M32)+($D33*M33))</f>
        <v>1803186</v>
      </c>
      <c r="N23" s="75">
        <v>1</v>
      </c>
      <c r="O23" s="226">
        <f>IF(ISERROR(VLOOKUP(N23,POA!$A$2:$C$16,3,0)),"",VLOOKUP(N23,POA!$A$2:$C$16,3,0))</f>
        <v>4</v>
      </c>
      <c r="P23" s="102"/>
      <c r="Q23" s="75">
        <f>+SUM(Q24:Q33)</f>
        <v>0</v>
      </c>
      <c r="R23" s="76">
        <f>IF(ISERROR(VLOOKUP(N23,POA!$A$2:$C$16,2,0)),"",VLOOKUP(N23,POA!$A$2:$C$16,2,0))</f>
        <v>765000000</v>
      </c>
      <c r="S23" s="80">
        <f>SUM(I23)</f>
        <v>463256263</v>
      </c>
      <c r="T23" s="81" t="str">
        <f>IF(OR(S23=0,N23="",R23=""),"",IF(S23&gt;=(R23/O23),"HABIL","NO HABIL"))</f>
        <v>HABIL</v>
      </c>
      <c r="U23" s="80">
        <f>SUM(J23)</f>
        <v>408086410</v>
      </c>
      <c r="V23" s="81" t="str">
        <f>IF(OR(U23=0,N23="",R23=""),"",IF(U23&gt;=(10%*R23),"HABIL","NO HABIL"))</f>
        <v>HABIL</v>
      </c>
      <c r="W23" s="80">
        <f>IF(ISERROR(SUM(E23/G23)),0,SUM(E23/G23))</f>
        <v>88.357394493682818</v>
      </c>
      <c r="X23" s="81" t="str">
        <f>IF(OR(W23=0,N23="",R23=""),"",IF(W23&gt;=$X$9,"HABIL","NO HABIL"))</f>
        <v>HABIL</v>
      </c>
      <c r="Y23" s="231">
        <f>IF(ISERROR(SUM(H23/F23)),0,SUM(H23/F23))</f>
        <v>0.15607777324286309</v>
      </c>
      <c r="Z23" s="81" t="str">
        <f>IF(OR(Y23=0,N23="",R23=""),"",IF(Y23&lt;=$Z$9,"HABIL","NO HABIL"))</f>
        <v>HABIL</v>
      </c>
      <c r="AA23" s="75">
        <f>+SUM(AA24:AA33)</f>
        <v>0</v>
      </c>
      <c r="AB23" s="231">
        <f>IF(ISERROR(SUM(L23/M23)),0,SUM(L23/M23))</f>
        <v>112.183923344569</v>
      </c>
      <c r="AC23" s="81" t="str">
        <f>IF(OR(AB23=0,N23="",R23=""),"",IF(AB23&gt;=$AC$9,"HABIL","NO HABIL"))</f>
        <v>HABIL</v>
      </c>
      <c r="AD23" s="81" t="str">
        <f t="shared" ref="AD23:AD55" si="10">IF(OR(T23="",V23="",X23="",Z23="",AC23=""),"",IF(T23="NO HABIL","NO HABIL",IF(V23="NO HABIL","NO HABIL",IF(X23="NO HABIL","NO HABIL",IF(Z23="NO HABIL","NO HABIL",IF(AC23="NO HABIL","NO HABIL",IF(AC23="NO HABIL","NO HABIL","HABIL")))))))</f>
        <v>HABIL</v>
      </c>
      <c r="AE23" s="120"/>
      <c r="AF23" s="109"/>
      <c r="AG23" s="231">
        <f>IF(ISERROR(SUM(L23/K23)),0,SUM(L23/K23))</f>
        <v>0.4957001141008347</v>
      </c>
      <c r="AH23" s="81" t="str">
        <f>IF(OR(AG23=0,N23="",R23=""),"",IF(AG23&gt;=$AH$9,"HABIL","NO HABIL"))</f>
        <v>HABIL</v>
      </c>
      <c r="AI23" s="231">
        <f>IF(ISERROR(SUM(L23/F23)),0,SUM(L23/F23))</f>
        <v>0.41833234409574321</v>
      </c>
      <c r="AJ23" s="81" t="str">
        <f>IF(OR(AI23=0,N23="",R23=""),"",IF(AI23&gt;=$AJ$9,"HABIL","NO HABIL"))</f>
        <v>HABIL</v>
      </c>
      <c r="AK23" s="122" t="str">
        <f t="shared" ref="AK23" si="11">IF(OR(AH23="",AJ23=""),"",IF(AH23="NO HABIL","NO HABIL",IF(AJ23="NO HABIL","NO HABIL",IF(AJ23="NO HABIL","NO HABIL","HABIL"))))</f>
        <v>HABIL</v>
      </c>
    </row>
    <row r="24" spans="2:37" ht="23.25" customHeight="1" thickBot="1" x14ac:dyDescent="0.3">
      <c r="B24" s="275">
        <f t="shared" ref="B24:B29" si="12">IF(C24="","",B23+0.1)</f>
        <v>2.1</v>
      </c>
      <c r="C24" s="281" t="s">
        <v>259</v>
      </c>
      <c r="D24" s="233">
        <v>1</v>
      </c>
      <c r="E24" s="224">
        <v>468559263</v>
      </c>
      <c r="F24" s="224">
        <v>483559263</v>
      </c>
      <c r="G24" s="224">
        <v>5303000</v>
      </c>
      <c r="H24" s="224">
        <v>75472853</v>
      </c>
      <c r="I24" s="224">
        <f t="shared" ref="I24:I33" si="13">IF(ISERROR(E24-G24),"",E24-G24)</f>
        <v>463256263</v>
      </c>
      <c r="J24" s="224">
        <f t="shared" ref="J24:J33" si="14">IF(ISERROR(F24-H24),"",F24-H24)</f>
        <v>408086410</v>
      </c>
      <c r="K24" s="224">
        <f t="shared" ref="K24:K33" si="15">IF(ISERROR(F24-H24),"",F24-H24)</f>
        <v>408086410</v>
      </c>
      <c r="L24" s="224">
        <v>202288480</v>
      </c>
      <c r="M24" s="224">
        <v>1803186</v>
      </c>
      <c r="N24" s="176"/>
      <c r="O24" s="227" t="str">
        <f>IF(ISERROR(VLOOKUP(N24,POA!$A$2:$C$16,3,0)),"",VLOOKUP(N24,POA!$A$2:$C$16,3,0))</f>
        <v/>
      </c>
      <c r="P24" s="268"/>
      <c r="Q24" s="268" t="str">
        <f>IF(ISERROR(VLOOKUP(P24,POA!$A$2:$F$16,4,0)),"",VLOOKUP(P24,POA!$A$2:$F$16,4,0))</f>
        <v/>
      </c>
      <c r="R24" s="269" t="str">
        <f>IF(ISERROR(VLOOKUP(N24,POA!$A$2:$C$16,2,0)),"",VLOOKUP(N24,POA!$A$2:$C$16,2,0))</f>
        <v/>
      </c>
      <c r="S24" s="270"/>
      <c r="T24" s="271" t="str">
        <f>IF(OR(S23=0,N24="",R24=""),"",IF(S23&gt;=(0.4*R24),"HABIL","NO HABIL"))</f>
        <v/>
      </c>
      <c r="U24" s="270"/>
      <c r="V24" s="271" t="str">
        <f>IF(OR(U23=0,N24="",R24=""),"",IF(U23&gt;=(0.5*R24),"HABIL","NO HABIL"))</f>
        <v/>
      </c>
      <c r="W24" s="270"/>
      <c r="X24" s="271" t="str">
        <f>IF(OR(W23=0,N24="",R24=""),"",IF(W23&gt;=$X$9,"HABIL","NO HABIL"))</f>
        <v/>
      </c>
      <c r="Y24" s="272"/>
      <c r="Z24" s="271" t="str">
        <f>IF(OR(Y23=0,N24="",R24=""),"",IF(Y23&lt;=$Z$9,"HABIL","NO HABIL"))</f>
        <v/>
      </c>
      <c r="AA24" s="268" t="s">
        <v>246</v>
      </c>
      <c r="AB24" s="268"/>
      <c r="AC24" s="271" t="str">
        <f>IF(OR(AB23=0,N24="",R24=""),"",IF(AB23&gt;=$AC$9,"HABIL","NO HABIL"))</f>
        <v/>
      </c>
      <c r="AD24" s="271" t="str">
        <f t="shared" si="10"/>
        <v/>
      </c>
      <c r="AE24" s="119">
        <f t="shared" ref="AE24:AE33" si="16">IF(ISERROR(F24/$AF$9),"",F24/$AF$9)</f>
        <v>853.28968237162519</v>
      </c>
      <c r="AF24" s="110" t="str">
        <f>+IF(AE24&lt;$AF$10,"MIPYME","NO CUMPLE")</f>
        <v>MIPYME</v>
      </c>
      <c r="AG24" s="273"/>
      <c r="AH24" s="271" t="str">
        <f>IF(OR(AG23=0,N24="",R24=""),"",IF(AG23&gt;=$AH$9,"HABIL","NO HABIL"))</f>
        <v/>
      </c>
      <c r="AI24" s="273"/>
      <c r="AJ24" s="271" t="str">
        <f>IF(OR(AI23=0,N24="",R24=""),"",IF(AI23&gt;=$AJ$9,"HABIL","NO HABIL"))</f>
        <v/>
      </c>
      <c r="AK24" s="125" t="str">
        <f>IF(OR(AH24="",AJ24=""),"",IF(AH24="NO HABIL","NO HABIL",IF(AJ24="NO HABIL","NO HABIL",IF(AJ24="NO HABIL","NO HABIL","HABIL"))))</f>
        <v/>
      </c>
    </row>
    <row r="25" spans="2:37" ht="23.25" hidden="1" customHeight="1" x14ac:dyDescent="0.25">
      <c r="B25" s="278" t="str">
        <f t="shared" si="12"/>
        <v/>
      </c>
      <c r="C25" s="279"/>
      <c r="D25" s="233"/>
      <c r="E25" s="224">
        <f>IF(ISERROR(VLOOKUP(C25,#REF!,2,0)),0,VLOOKUP(C25,#REF!,2,0))</f>
        <v>0</v>
      </c>
      <c r="F25" s="224">
        <f>IF(ISERROR(VLOOKUP(C25,#REF!,3,0)),0,VLOOKUP(C25,#REF!,3,0))</f>
        <v>0</v>
      </c>
      <c r="G25" s="224">
        <f>IF(ISERROR(VLOOKUP(C25,#REF!,4,0)),0,VLOOKUP(C25,#REF!,4,0))</f>
        <v>0</v>
      </c>
      <c r="H25" s="224">
        <f>IF(ISERROR(VLOOKUP(C25,#REF!,5,0)),0,VLOOKUP(C25,#REF!,5,0))</f>
        <v>0</v>
      </c>
      <c r="I25" s="224">
        <f t="shared" si="13"/>
        <v>0</v>
      </c>
      <c r="J25" s="224">
        <f t="shared" si="14"/>
        <v>0</v>
      </c>
      <c r="K25" s="224">
        <f t="shared" si="15"/>
        <v>0</v>
      </c>
      <c r="L25" s="224">
        <f>IF(ISERROR(VLOOKUP(C25,#REF!,6,0)),0,VLOOKUP(C25,#REF!,6,0))</f>
        <v>0</v>
      </c>
      <c r="M25" s="224">
        <f>IF(ISERROR(VLOOKUP(C25,#REF!,7,0)),0,VLOOKUP(C25,#REF!,7,0))</f>
        <v>0</v>
      </c>
      <c r="N25" s="174"/>
      <c r="O25" s="174" t="str">
        <f>IF(ISERROR(VLOOKUP(N25,POA!$A$2:$C$16,3,0)),"",VLOOKUP(N25,POA!$A$2:$C$16,3,0))</f>
        <v/>
      </c>
      <c r="P25" s="268"/>
      <c r="Q25" s="268" t="str">
        <f>IF(ISERROR(VLOOKUP(P25,POA!$A$2:$F$16,4,0)),"",VLOOKUP(P25,POA!$A$2:$F$16,4,0))</f>
        <v/>
      </c>
      <c r="R25" s="269" t="str">
        <f>IF(ISERROR(VLOOKUP(N25,POA!$A$2:$C$16,2,0)),"",VLOOKUP(N25,POA!$A$2:$C$16,2,0))</f>
        <v/>
      </c>
      <c r="S25" s="270"/>
      <c r="T25" s="271" t="str">
        <f>IF(OR(S23=0,N25="",R25=""),"",IF(S23&gt;=(0.4*R25),"HABIL","NO HABIL"))</f>
        <v/>
      </c>
      <c r="U25" s="270"/>
      <c r="V25" s="271" t="str">
        <f>IF(OR(U23=0,N25="",R25=""),"",IF(U23&gt;=(0.5*R25),"HABIL","NO HABIL"))</f>
        <v/>
      </c>
      <c r="W25" s="270"/>
      <c r="X25" s="271" t="str">
        <f>IF(OR(W23=0,N25="",R25=""),"",IF(W23&gt;=$X$9,"HABIL","NO HABIL"))</f>
        <v/>
      </c>
      <c r="Y25" s="272"/>
      <c r="Z25" s="271" t="str">
        <f>IF(OR(Y23=0,N25="",R25=""),"",IF(Y23&lt;=$Z$9,"HABIL","NO HABIL"))</f>
        <v/>
      </c>
      <c r="AA25" s="268" t="s">
        <v>246</v>
      </c>
      <c r="AB25" s="268"/>
      <c r="AC25" s="271" t="str">
        <f>IF(OR(AB23=0,N25="",R25=""),"",IF(AB23&gt;=$AC$9,"HABIL","NO HABIL"))</f>
        <v/>
      </c>
      <c r="AD25" s="271" t="str">
        <f t="shared" si="10"/>
        <v/>
      </c>
      <c r="AE25" s="119">
        <f t="shared" si="16"/>
        <v>0</v>
      </c>
      <c r="AF25" s="110" t="str">
        <f t="shared" ref="AF25:AF33" si="17">+IF(AE25&lt;$AF$10,"MIPYME","NO CUMPLE")</f>
        <v>MIPYME</v>
      </c>
      <c r="AG25" s="273"/>
      <c r="AH25" s="271" t="str">
        <f>IF(OR(AG23=0,N25="",R25=""),"",IF(AG23&gt;=$AH$9,"HABIL","NO HABIL"))</f>
        <v/>
      </c>
      <c r="AI25" s="273"/>
      <c r="AJ25" s="271" t="str">
        <f>IF(OR(AI23=0,N25="",R25=""),"",IF(AI23&gt;=$AJ$9,"HABIL","NO HABIL"))</f>
        <v/>
      </c>
      <c r="AK25" s="126" t="str">
        <f t="shared" ref="AK25:AK34" si="18">IF(OR(AH25="",AJ25=""),"",IF(AH25="NO HABIL","NO HABIL",IF(AJ25="NO HABIL","NO HABIL",IF(AJ25="NO HABIL","NO HABIL","HABIL"))))</f>
        <v/>
      </c>
    </row>
    <row r="26" spans="2:37" ht="23.25" hidden="1" customHeight="1" x14ac:dyDescent="0.25">
      <c r="B26" s="267" t="str">
        <f t="shared" si="12"/>
        <v/>
      </c>
      <c r="C26" s="250"/>
      <c r="D26" s="233"/>
      <c r="E26" s="224">
        <f>IF(ISERROR(VLOOKUP(C26,#REF!,2,0)),0,VLOOKUP(C26,#REF!,2,0))</f>
        <v>0</v>
      </c>
      <c r="F26" s="224">
        <f>IF(ISERROR(VLOOKUP(C26,#REF!,3,0)),0,VLOOKUP(C26,#REF!,3,0))</f>
        <v>0</v>
      </c>
      <c r="G26" s="224">
        <f>IF(ISERROR(VLOOKUP(C26,#REF!,4,0)),0,VLOOKUP(C26,#REF!,4,0))</f>
        <v>0</v>
      </c>
      <c r="H26" s="224">
        <f>IF(ISERROR(VLOOKUP(C26,#REF!,5,0)),0,VLOOKUP(C26,#REF!,5,0))</f>
        <v>0</v>
      </c>
      <c r="I26" s="224">
        <f t="shared" si="13"/>
        <v>0</v>
      </c>
      <c r="J26" s="224">
        <f t="shared" si="14"/>
        <v>0</v>
      </c>
      <c r="K26" s="224">
        <f t="shared" si="15"/>
        <v>0</v>
      </c>
      <c r="L26" s="224">
        <f>IF(ISERROR(VLOOKUP(C26,#REF!,6,0)),0,VLOOKUP(C26,#REF!,6,0))</f>
        <v>0</v>
      </c>
      <c r="M26" s="224">
        <f>IF(ISERROR(VLOOKUP(C26,#REF!,7,0)),0,VLOOKUP(C26,#REF!,7,0))</f>
        <v>0</v>
      </c>
      <c r="N26" s="174"/>
      <c r="O26" s="174" t="str">
        <f>IF(ISERROR(VLOOKUP(N26,POA!$A$2:$C$16,3,0)),"",VLOOKUP(N26,POA!$A$2:$C$16,3,0))</f>
        <v/>
      </c>
      <c r="P26" s="268"/>
      <c r="Q26" s="268" t="str">
        <f>IF(ISERROR(VLOOKUP(P26,POA!$A$2:$F$16,4,0)),"",VLOOKUP(P26,POA!$A$2:$F$16,4,0))</f>
        <v/>
      </c>
      <c r="R26" s="269" t="str">
        <f>IF(ISERROR(VLOOKUP(N26,POA!$A$2:$C$16,2,0)),"",VLOOKUP(N26,POA!$A$2:$C$16,2,0))</f>
        <v/>
      </c>
      <c r="S26" s="270"/>
      <c r="T26" s="271" t="str">
        <f>IF(OR(S23=0,N26="",R26=""),"",IF(S23&gt;=(0.4*R26),"HABIL","NO HABIL"))</f>
        <v/>
      </c>
      <c r="U26" s="270"/>
      <c r="V26" s="271" t="str">
        <f>IF(OR(U23=0,N26="",R26=""),"",IF(U23&gt;=(0.5*R26),"HABIL","NO HABIL"))</f>
        <v/>
      </c>
      <c r="W26" s="270"/>
      <c r="X26" s="271" t="str">
        <f>IF(OR(W23=0,N26="",R26=""),"",IF(W23&gt;=$X$9,"HABIL","NO HABIL"))</f>
        <v/>
      </c>
      <c r="Y26" s="272"/>
      <c r="Z26" s="271" t="str">
        <f>IF(OR(Y23=0,N26="",R26=""),"",IF(Y23&lt;=$Z$9,"HABIL","NO HABIL"))</f>
        <v/>
      </c>
      <c r="AA26" s="268">
        <v>0</v>
      </c>
      <c r="AB26" s="268"/>
      <c r="AC26" s="271" t="str">
        <f>IF(OR(AB23=0,N26="",R26=""),"",IF(AB23&gt;=$AC$9,"HABIL","NO HABIL"))</f>
        <v/>
      </c>
      <c r="AD26" s="271" t="str">
        <f t="shared" si="10"/>
        <v/>
      </c>
      <c r="AE26" s="119">
        <f t="shared" si="16"/>
        <v>0</v>
      </c>
      <c r="AF26" s="110" t="str">
        <f t="shared" si="17"/>
        <v>MIPYME</v>
      </c>
      <c r="AG26" s="273"/>
      <c r="AH26" s="271" t="str">
        <f>IF(OR(AG23=0,N26="",R26=""),"",IF(AG23&gt;=$AH$9,"HABIL","NO HABIL"))</f>
        <v/>
      </c>
      <c r="AI26" s="273"/>
      <c r="AJ26" s="271" t="str">
        <f>IF(OR(AI23=0,N26="",R26=""),"",IF(AI23&gt;=$AJ$9,"HABIL","NO HABIL"))</f>
        <v/>
      </c>
      <c r="AK26" s="126" t="str">
        <f t="shared" si="18"/>
        <v/>
      </c>
    </row>
    <row r="27" spans="2:37" ht="23.25" hidden="1" customHeight="1" x14ac:dyDescent="0.25">
      <c r="B27" s="267" t="str">
        <f t="shared" si="12"/>
        <v/>
      </c>
      <c r="C27" s="250"/>
      <c r="D27" s="233"/>
      <c r="E27" s="224">
        <f>IF(ISERROR(VLOOKUP(C27,#REF!,2,0)),0,VLOOKUP(C27,#REF!,2,0))</f>
        <v>0</v>
      </c>
      <c r="F27" s="224">
        <f>IF(ISERROR(VLOOKUP(C27,#REF!,3,0)),0,VLOOKUP(C27,#REF!,3,0))</f>
        <v>0</v>
      </c>
      <c r="G27" s="224">
        <f>IF(ISERROR(VLOOKUP(C27,#REF!,4,0)),0,VLOOKUP(C27,#REF!,4,0))</f>
        <v>0</v>
      </c>
      <c r="H27" s="224">
        <f>IF(ISERROR(VLOOKUP(C27,#REF!,5,0)),0,VLOOKUP(C27,#REF!,5,0))</f>
        <v>0</v>
      </c>
      <c r="I27" s="224">
        <f t="shared" si="13"/>
        <v>0</v>
      </c>
      <c r="J27" s="224">
        <f t="shared" si="14"/>
        <v>0</v>
      </c>
      <c r="K27" s="224">
        <f t="shared" si="15"/>
        <v>0</v>
      </c>
      <c r="L27" s="224">
        <f>IF(ISERROR(VLOOKUP(C27,#REF!,6,0)),0,VLOOKUP(C27,#REF!,6,0))</f>
        <v>0</v>
      </c>
      <c r="M27" s="224">
        <f>IF(ISERROR(VLOOKUP(C27,#REF!,7,0)),0,VLOOKUP(C27,#REF!,7,0))</f>
        <v>0</v>
      </c>
      <c r="N27" s="174"/>
      <c r="O27" s="174" t="str">
        <f>IF(ISERROR(VLOOKUP(N27,POA!$A$2:$C$16,3,0)),"",VLOOKUP(N27,POA!$A$2:$C$16,3,0))</f>
        <v/>
      </c>
      <c r="P27" s="268"/>
      <c r="Q27" s="268" t="str">
        <f>IF(ISERROR(VLOOKUP(P27,POA!$A$2:$F$16,4,0)),"",VLOOKUP(P27,POA!$A$2:$F$16,4,0))</f>
        <v/>
      </c>
      <c r="R27" s="269" t="str">
        <f>IF(ISERROR(VLOOKUP(N27,POA!$A$2:$C$16,2,0)),"",VLOOKUP(N27,POA!$A$2:$C$16,2,0))</f>
        <v/>
      </c>
      <c r="S27" s="270"/>
      <c r="T27" s="271" t="str">
        <f>IF(OR(S23=0,N27="",R27=""),"",IF(S23&gt;=(0.4*R27),"HABIL","NO HABIL"))</f>
        <v/>
      </c>
      <c r="U27" s="270"/>
      <c r="V27" s="271" t="str">
        <f>IF(OR(U23=0,N27="",R27=""),"",IF(U23&gt;=(0.5*R27),"HABIL","NO HABIL"))</f>
        <v/>
      </c>
      <c r="W27" s="270"/>
      <c r="X27" s="271" t="str">
        <f>IF(OR(W23=0,N27="",R27=""),"",IF(W23&gt;=$X$9,"HABIL","NO HABIL"))</f>
        <v/>
      </c>
      <c r="Y27" s="272"/>
      <c r="Z27" s="271" t="str">
        <f>IF(OR(Y23=0,N27="",R27=""),"",IF(Y23&lt;=$Z$9,"HABIL","NO HABIL"))</f>
        <v/>
      </c>
      <c r="AA27" s="268">
        <v>0</v>
      </c>
      <c r="AB27" s="268"/>
      <c r="AC27" s="271" t="str">
        <f>IF(OR(AB23=0,N27="",R27=""),"",IF(AB23&gt;=$AC$9,"HABIL","NO HABIL"))</f>
        <v/>
      </c>
      <c r="AD27" s="271" t="str">
        <f t="shared" si="10"/>
        <v/>
      </c>
      <c r="AE27" s="119">
        <f t="shared" si="16"/>
        <v>0</v>
      </c>
      <c r="AF27" s="110" t="str">
        <f t="shared" si="17"/>
        <v>MIPYME</v>
      </c>
      <c r="AG27" s="273"/>
      <c r="AH27" s="271" t="str">
        <f>IF(OR(AG23=0,N27="",R27=""),"",IF(AG23&gt;=$AH$9,"HABIL","NO HABIL"))</f>
        <v/>
      </c>
      <c r="AI27" s="273"/>
      <c r="AJ27" s="271" t="str">
        <f>IF(OR(AI23=0,N27="",R27=""),"",IF(AI23&gt;=$AJ$9,"HABIL","NO HABIL"))</f>
        <v/>
      </c>
      <c r="AK27" s="126" t="str">
        <f t="shared" si="18"/>
        <v/>
      </c>
    </row>
    <row r="28" spans="2:37" ht="23.25" hidden="1" customHeight="1" x14ac:dyDescent="0.25">
      <c r="B28" s="267" t="str">
        <f t="shared" si="12"/>
        <v/>
      </c>
      <c r="C28" s="250"/>
      <c r="D28" s="233"/>
      <c r="E28" s="224">
        <f>IF(ISERROR(VLOOKUP(C28,#REF!,2,0)),0,VLOOKUP(C28,#REF!,2,0))</f>
        <v>0</v>
      </c>
      <c r="F28" s="224">
        <f>IF(ISERROR(VLOOKUP(C28,#REF!,3,0)),0,VLOOKUP(C28,#REF!,3,0))</f>
        <v>0</v>
      </c>
      <c r="G28" s="224">
        <f>IF(ISERROR(VLOOKUP(C28,#REF!,4,0)),0,VLOOKUP(C28,#REF!,4,0))</f>
        <v>0</v>
      </c>
      <c r="H28" s="224">
        <f>IF(ISERROR(VLOOKUP(C28,#REF!,5,0)),0,VLOOKUP(C28,#REF!,5,0))</f>
        <v>0</v>
      </c>
      <c r="I28" s="224">
        <f t="shared" si="13"/>
        <v>0</v>
      </c>
      <c r="J28" s="224">
        <f t="shared" si="14"/>
        <v>0</v>
      </c>
      <c r="K28" s="224">
        <f t="shared" si="15"/>
        <v>0</v>
      </c>
      <c r="L28" s="224">
        <f>IF(ISERROR(VLOOKUP(C28,#REF!,6,0)),0,VLOOKUP(C28,#REF!,6,0))</f>
        <v>0</v>
      </c>
      <c r="M28" s="224">
        <f>IF(ISERROR(VLOOKUP(C28,#REF!,7,0)),0,VLOOKUP(C28,#REF!,7,0))</f>
        <v>0</v>
      </c>
      <c r="N28" s="174"/>
      <c r="O28" s="174" t="str">
        <f>IF(ISERROR(VLOOKUP(N28,POA!$A$2:$C$16,3,0)),"",VLOOKUP(N28,POA!$A$2:$C$16,3,0))</f>
        <v/>
      </c>
      <c r="P28" s="268"/>
      <c r="Q28" s="268" t="str">
        <f>IF(ISERROR(VLOOKUP(P28,POA!$A$2:$F$16,4,0)),"",VLOOKUP(P28,POA!$A$2:$F$16,4,0))</f>
        <v/>
      </c>
      <c r="R28" s="269" t="str">
        <f>IF(ISERROR(VLOOKUP(N28,POA!$A$2:$C$16,2,0)),"",VLOOKUP(N28,POA!$A$2:$C$16,2,0))</f>
        <v/>
      </c>
      <c r="S28" s="270"/>
      <c r="T28" s="271" t="str">
        <f>IF(OR(S23=0,N28="",R28=""),"",IF(S23&gt;=(0.4*R28),"HABIL","NO HABIL"))</f>
        <v/>
      </c>
      <c r="U28" s="270"/>
      <c r="V28" s="271" t="str">
        <f>IF(OR(U23=0,N28="",R28=""),"",IF(U23&gt;=(0.5*R28),"HABIL","NO HABIL"))</f>
        <v/>
      </c>
      <c r="W28" s="270"/>
      <c r="X28" s="271" t="str">
        <f>IF(OR(W23=0,N28="",R28=""),"",IF(W23&gt;=$X$9,"HABIL","NO HABIL"))</f>
        <v/>
      </c>
      <c r="Y28" s="272"/>
      <c r="Z28" s="271" t="str">
        <f>IF(OR(Y23=0,N28="",R28=""),"",IF(Y23&lt;=$Z$9,"HABIL","NO HABIL"))</f>
        <v/>
      </c>
      <c r="AA28" s="268">
        <v>0</v>
      </c>
      <c r="AB28" s="268"/>
      <c r="AC28" s="271" t="str">
        <f>IF(OR(AB23=0,N28="",R28=""),"",IF(AB23&gt;=$AC$9,"HABIL","NO HABIL"))</f>
        <v/>
      </c>
      <c r="AD28" s="271" t="str">
        <f t="shared" si="10"/>
        <v/>
      </c>
      <c r="AE28" s="119">
        <f t="shared" si="16"/>
        <v>0</v>
      </c>
      <c r="AF28" s="110" t="str">
        <f t="shared" si="17"/>
        <v>MIPYME</v>
      </c>
      <c r="AG28" s="273"/>
      <c r="AH28" s="271" t="str">
        <f>IF(OR(AG23=0,N28="",R28=""),"",IF(AG23&gt;=$AH$9,"HABIL","NO HABIL"))</f>
        <v/>
      </c>
      <c r="AI28" s="273"/>
      <c r="AJ28" s="271" t="str">
        <f>IF(OR(AI23=0,N28="",R28=""),"",IF(AI23&gt;=$AJ$9,"HABIL","NO HABIL"))</f>
        <v/>
      </c>
      <c r="AK28" s="123" t="str">
        <f t="shared" si="18"/>
        <v/>
      </c>
    </row>
    <row r="29" spans="2:37" ht="23.25" hidden="1" customHeight="1" x14ac:dyDescent="0.25">
      <c r="B29" s="267" t="str">
        <f t="shared" si="12"/>
        <v/>
      </c>
      <c r="C29" s="250"/>
      <c r="D29" s="233"/>
      <c r="E29" s="224">
        <f>IF(ISERROR(VLOOKUP(C29,#REF!,2,0)),0,VLOOKUP(C29,#REF!,2,0))</f>
        <v>0</v>
      </c>
      <c r="F29" s="224">
        <f>IF(ISERROR(VLOOKUP(C29,#REF!,3,0)),0,VLOOKUP(C29,#REF!,3,0))</f>
        <v>0</v>
      </c>
      <c r="G29" s="224">
        <f>IF(ISERROR(VLOOKUP(C29,#REF!,4,0)),0,VLOOKUP(C29,#REF!,4,0))</f>
        <v>0</v>
      </c>
      <c r="H29" s="224">
        <f>IF(ISERROR(VLOOKUP(C29,#REF!,5,0)),0,VLOOKUP(C29,#REF!,5,0))</f>
        <v>0</v>
      </c>
      <c r="I29" s="224">
        <f t="shared" si="13"/>
        <v>0</v>
      </c>
      <c r="J29" s="224">
        <f t="shared" si="14"/>
        <v>0</v>
      </c>
      <c r="K29" s="224">
        <f t="shared" si="15"/>
        <v>0</v>
      </c>
      <c r="L29" s="224">
        <f>IF(ISERROR(VLOOKUP(C29,#REF!,6,0)),0,VLOOKUP(C29,#REF!,6,0))</f>
        <v>0</v>
      </c>
      <c r="M29" s="224">
        <f>IF(ISERROR(VLOOKUP(C29,#REF!,7,0)),0,VLOOKUP(C29,#REF!,7,0))</f>
        <v>0</v>
      </c>
      <c r="N29" s="174"/>
      <c r="O29" s="174" t="str">
        <f>IF(ISERROR(VLOOKUP(N29,POA!$A$2:$C$16,3,0)),"",VLOOKUP(N29,POA!$A$2:$C$16,3,0))</f>
        <v/>
      </c>
      <c r="P29" s="268"/>
      <c r="Q29" s="268" t="str">
        <f>IF(ISERROR(VLOOKUP(P29,POA!$A$2:$F$16,4,0)),"",VLOOKUP(P29,POA!$A$2:$F$16,4,0))</f>
        <v/>
      </c>
      <c r="R29" s="269" t="str">
        <f>IF(ISERROR(VLOOKUP(N29,POA!$A$2:$C$16,2,0)),"",VLOOKUP(N29,POA!$A$2:$C$16,2,0))</f>
        <v/>
      </c>
      <c r="S29" s="270"/>
      <c r="T29" s="271" t="str">
        <f>IF(OR(S23=0,N29="",R29=""),"",IF(S23&gt;=(0.4*R29),"HABIL","NO HABIL"))</f>
        <v/>
      </c>
      <c r="U29" s="270"/>
      <c r="V29" s="271" t="str">
        <f>IF(OR(U23=0,N29="",R29=""),"",IF(U23&gt;=(0.5*R29),"HABIL","NO HABIL"))</f>
        <v/>
      </c>
      <c r="W29" s="270"/>
      <c r="X29" s="271" t="str">
        <f>IF(OR(W23=0,N29="",R29=""),"",IF(W23&gt;=$X$9,"HABIL","NO HABIL"))</f>
        <v/>
      </c>
      <c r="Y29" s="272"/>
      <c r="Z29" s="271" t="str">
        <f>IF(OR(Y23=0,N29="",R29=""),"",IF(Y23&lt;=$Z$9,"HABIL","NO HABIL"))</f>
        <v/>
      </c>
      <c r="AA29" s="268">
        <v>0</v>
      </c>
      <c r="AB29" s="268"/>
      <c r="AC29" s="271" t="str">
        <f>IF(OR(AB23=0,N29="",R29=""),"",IF(AB23&gt;=$AC$9,"HABIL","NO HABIL"))</f>
        <v/>
      </c>
      <c r="AD29" s="271" t="str">
        <f t="shared" si="10"/>
        <v/>
      </c>
      <c r="AE29" s="119">
        <f t="shared" si="16"/>
        <v>0</v>
      </c>
      <c r="AF29" s="110" t="str">
        <f t="shared" si="17"/>
        <v>MIPYME</v>
      </c>
      <c r="AG29" s="273"/>
      <c r="AH29" s="271" t="str">
        <f>IF(OR(AG23=0,N29="",R29=""),"",IF(AG23&gt;=$AH$9,"HABIL","NO HABIL"))</f>
        <v/>
      </c>
      <c r="AI29" s="273"/>
      <c r="AJ29" s="271" t="str">
        <f>IF(OR(AI23=0,N29="",R29=""),"",IF(AI23&gt;=$AJ$9,"HABIL","NO HABIL"))</f>
        <v/>
      </c>
      <c r="AK29" s="126" t="str">
        <f t="shared" si="18"/>
        <v/>
      </c>
    </row>
    <row r="30" spans="2:37" ht="23.25" hidden="1" customHeight="1" x14ac:dyDescent="0.25">
      <c r="B30" s="267" t="str">
        <f>IF(C30="","",B29+0.1)</f>
        <v/>
      </c>
      <c r="C30" s="250"/>
      <c r="D30" s="233"/>
      <c r="E30" s="224">
        <f>IF(ISERROR(VLOOKUP(C30,#REF!,2,0)),0,VLOOKUP(C30,#REF!,2,0))</f>
        <v>0</v>
      </c>
      <c r="F30" s="224">
        <f>IF(ISERROR(VLOOKUP(C30,#REF!,3,0)),0,VLOOKUP(C30,#REF!,3,0))</f>
        <v>0</v>
      </c>
      <c r="G30" s="224">
        <f>IF(ISERROR(VLOOKUP(C30,#REF!,4,0)),0,VLOOKUP(C30,#REF!,4,0))</f>
        <v>0</v>
      </c>
      <c r="H30" s="224">
        <f>IF(ISERROR(VLOOKUP(C30,#REF!,5,0)),0,VLOOKUP(C30,#REF!,5,0))</f>
        <v>0</v>
      </c>
      <c r="I30" s="224">
        <f t="shared" si="13"/>
        <v>0</v>
      </c>
      <c r="J30" s="224">
        <f t="shared" si="14"/>
        <v>0</v>
      </c>
      <c r="K30" s="224">
        <f t="shared" si="15"/>
        <v>0</v>
      </c>
      <c r="L30" s="224">
        <f>IF(ISERROR(VLOOKUP(C30,#REF!,6,0)),0,VLOOKUP(C30,#REF!,6,0))</f>
        <v>0</v>
      </c>
      <c r="M30" s="224">
        <f>IF(ISERROR(VLOOKUP(C30,#REF!,7,0)),0,VLOOKUP(C30,#REF!,7,0))</f>
        <v>0</v>
      </c>
      <c r="N30" s="174"/>
      <c r="O30" s="174" t="str">
        <f>IF(ISERROR(VLOOKUP(N30,POA!$A$2:$C$16,3,0)),"",VLOOKUP(N30,POA!$A$2:$C$16,3,0))</f>
        <v/>
      </c>
      <c r="P30" s="268"/>
      <c r="Q30" s="268" t="str">
        <f>IF(ISERROR(VLOOKUP(P30,POA!$A$2:$F$16,4,0)),"",VLOOKUP(P30,POA!$A$2:$F$16,4,0))</f>
        <v/>
      </c>
      <c r="R30" s="269" t="str">
        <f>IF(ISERROR(VLOOKUP(N30,POA!$A$2:$C$16,2,0)),"",VLOOKUP(N30,POA!$A$2:$C$16,2,0))</f>
        <v/>
      </c>
      <c r="S30" s="270"/>
      <c r="T30" s="271" t="str">
        <f>IF(OR(S23=0,N30="",R30=""),"",IF(S23&gt;=(0.4*R30),"HABIL","NO HABIL"))</f>
        <v/>
      </c>
      <c r="U30" s="270"/>
      <c r="V30" s="271" t="str">
        <f>IF(OR(U23=0,N30="",R30=""),"",IF(U23&gt;=(0.5*R30),"HABIL","NO HABIL"))</f>
        <v/>
      </c>
      <c r="W30" s="270"/>
      <c r="X30" s="271" t="str">
        <f>IF(OR(W23=0,N30="",R30=""),"",IF(W23&gt;=$X$9,"HABIL","NO HABIL"))</f>
        <v/>
      </c>
      <c r="Y30" s="272"/>
      <c r="Z30" s="271" t="str">
        <f>IF(OR(Y23=0,N30="",R30=""),"",IF(Y23&lt;=$Z$9,"HABIL","NO HABIL"))</f>
        <v/>
      </c>
      <c r="AA30" s="268">
        <v>0</v>
      </c>
      <c r="AB30" s="268"/>
      <c r="AC30" s="271" t="str">
        <f>IF(OR(AB23=0,N30="",R30=""),"",IF(AB23&gt;=$AC$9,"HABIL","NO HABIL"))</f>
        <v/>
      </c>
      <c r="AD30" s="271" t="str">
        <f t="shared" si="10"/>
        <v/>
      </c>
      <c r="AE30" s="119">
        <f t="shared" si="16"/>
        <v>0</v>
      </c>
      <c r="AF30" s="110" t="str">
        <f t="shared" si="17"/>
        <v>MIPYME</v>
      </c>
      <c r="AG30" s="273"/>
      <c r="AH30" s="271" t="str">
        <f>IF(OR(AG23=0,N30="",R30=""),"",IF(AG23&gt;=$AH$9,"HABIL","NO HABIL"))</f>
        <v/>
      </c>
      <c r="AI30" s="273"/>
      <c r="AJ30" s="271" t="str">
        <f>IF(OR(AI23=0,N30="",R30=""),"",IF(AI23&gt;=$AJ$9,"HABIL","NO HABIL"))</f>
        <v/>
      </c>
      <c r="AK30" s="126" t="str">
        <f t="shared" si="18"/>
        <v/>
      </c>
    </row>
    <row r="31" spans="2:37" ht="23.25" hidden="1" customHeight="1" x14ac:dyDescent="0.25">
      <c r="B31" s="267" t="str">
        <f>IF(C31="","",B30+0.1)</f>
        <v/>
      </c>
      <c r="C31" s="250"/>
      <c r="D31" s="233"/>
      <c r="E31" s="224">
        <f>IF(ISERROR(VLOOKUP(C31,#REF!,2,0)),0,VLOOKUP(C31,#REF!,2,0))</f>
        <v>0</v>
      </c>
      <c r="F31" s="224">
        <f>IF(ISERROR(VLOOKUP(C31,#REF!,3,0)),0,VLOOKUP(C31,#REF!,3,0))</f>
        <v>0</v>
      </c>
      <c r="G31" s="224">
        <f>IF(ISERROR(VLOOKUP(C31,#REF!,4,0)),0,VLOOKUP(C31,#REF!,4,0))</f>
        <v>0</v>
      </c>
      <c r="H31" s="224">
        <f>IF(ISERROR(VLOOKUP(C31,#REF!,5,0)),0,VLOOKUP(C31,#REF!,5,0))</f>
        <v>0</v>
      </c>
      <c r="I31" s="224">
        <f t="shared" si="13"/>
        <v>0</v>
      </c>
      <c r="J31" s="224">
        <f t="shared" si="14"/>
        <v>0</v>
      </c>
      <c r="K31" s="224">
        <f t="shared" si="15"/>
        <v>0</v>
      </c>
      <c r="L31" s="224">
        <f>IF(ISERROR(VLOOKUP(C31,#REF!,6,0)),0,VLOOKUP(C31,#REF!,6,0))</f>
        <v>0</v>
      </c>
      <c r="M31" s="224">
        <f>IF(ISERROR(VLOOKUP(C31,#REF!,7,0)),0,VLOOKUP(C31,#REF!,7,0))</f>
        <v>0</v>
      </c>
      <c r="N31" s="174"/>
      <c r="O31" s="174" t="str">
        <f>IF(ISERROR(VLOOKUP(N31,POA!$A$2:$C$16,3,0)),"",VLOOKUP(N31,POA!$A$2:$C$16,3,0))</f>
        <v/>
      </c>
      <c r="P31" s="268"/>
      <c r="Q31" s="268" t="str">
        <f>IF(ISERROR(VLOOKUP(P31,POA!$A$2:$F$16,4,0)),"",VLOOKUP(P31,POA!$A$2:$F$16,4,0))</f>
        <v/>
      </c>
      <c r="R31" s="269" t="str">
        <f>IF(ISERROR(VLOOKUP(N31,POA!$A$2:$C$16,2,0)),"",VLOOKUP(N31,POA!$A$2:$C$16,2,0))</f>
        <v/>
      </c>
      <c r="S31" s="270"/>
      <c r="T31" s="271" t="str">
        <f>IF(OR(S23=0,N31="",R31=""),"",IF(S23&gt;=(0.4*R31),"HABIL","NO HABIL"))</f>
        <v/>
      </c>
      <c r="U31" s="270"/>
      <c r="V31" s="271" t="str">
        <f>IF(OR(U23=0,N31="",R31=""),"",IF(U23&gt;=(0.5*R31),"HABIL","NO HABIL"))</f>
        <v/>
      </c>
      <c r="W31" s="270"/>
      <c r="X31" s="271" t="str">
        <f>IF(OR(W23=0,N31="",R31=""),"",IF(W23&gt;=$X$9,"HABIL","NO HABIL"))</f>
        <v/>
      </c>
      <c r="Y31" s="272"/>
      <c r="Z31" s="271" t="str">
        <f>IF(OR(Y23=0,N31="",R31=""),"",IF(Y23&lt;=$Z$9,"HABIL","NO HABIL"))</f>
        <v/>
      </c>
      <c r="AA31" s="268">
        <v>0</v>
      </c>
      <c r="AB31" s="268"/>
      <c r="AC31" s="271" t="str">
        <f>IF(OR(AB23=0,N31="",R31=""),"",IF(AB23&gt;=$AC$9,"HABIL","NO HABIL"))</f>
        <v/>
      </c>
      <c r="AD31" s="271" t="str">
        <f t="shared" si="10"/>
        <v/>
      </c>
      <c r="AE31" s="119">
        <f t="shared" si="16"/>
        <v>0</v>
      </c>
      <c r="AF31" s="110" t="str">
        <f t="shared" si="17"/>
        <v>MIPYME</v>
      </c>
      <c r="AG31" s="273"/>
      <c r="AH31" s="271" t="str">
        <f>IF(OR(AG23=0,N31="",R31=""),"",IF(AG23&gt;=$AH$9,"HABIL","NO HABIL"))</f>
        <v/>
      </c>
      <c r="AI31" s="273"/>
      <c r="AJ31" s="271" t="str">
        <f>IF(OR(AI23=0,N31="",R31=""),"",IF(AI23&gt;=$AJ$9,"HABIL","NO HABIL"))</f>
        <v/>
      </c>
      <c r="AK31" s="123" t="str">
        <f t="shared" si="18"/>
        <v/>
      </c>
    </row>
    <row r="32" spans="2:37" ht="23.25" hidden="1" customHeight="1" x14ac:dyDescent="0.25">
      <c r="B32" s="267" t="str">
        <f>IF(C32="","",B31+0.1)</f>
        <v/>
      </c>
      <c r="C32" s="250"/>
      <c r="D32" s="233"/>
      <c r="E32" s="224">
        <f>IF(ISERROR(VLOOKUP(C32,#REF!,2,0)),0,VLOOKUP(C32,#REF!,2,0))</f>
        <v>0</v>
      </c>
      <c r="F32" s="224">
        <f>IF(ISERROR(VLOOKUP(C32,#REF!,3,0)),0,VLOOKUP(C32,#REF!,3,0))</f>
        <v>0</v>
      </c>
      <c r="G32" s="224">
        <f>IF(ISERROR(VLOOKUP(C32,#REF!,4,0)),0,VLOOKUP(C32,#REF!,4,0))</f>
        <v>0</v>
      </c>
      <c r="H32" s="224">
        <f>IF(ISERROR(VLOOKUP(C32,#REF!,5,0)),0,VLOOKUP(C32,#REF!,5,0))</f>
        <v>0</v>
      </c>
      <c r="I32" s="224">
        <f t="shared" si="13"/>
        <v>0</v>
      </c>
      <c r="J32" s="224">
        <f t="shared" si="14"/>
        <v>0</v>
      </c>
      <c r="K32" s="224">
        <f t="shared" si="15"/>
        <v>0</v>
      </c>
      <c r="L32" s="224">
        <f>IF(ISERROR(VLOOKUP(C32,#REF!,6,0)),0,VLOOKUP(C32,#REF!,6,0))</f>
        <v>0</v>
      </c>
      <c r="M32" s="224">
        <f>IF(ISERROR(VLOOKUP(C32,#REF!,7,0)),0,VLOOKUP(C32,#REF!,7,0))</f>
        <v>0</v>
      </c>
      <c r="N32" s="174"/>
      <c r="O32" s="174" t="str">
        <f>IF(ISERROR(VLOOKUP(N32,POA!$A$2:$C$16,3,0)),"",VLOOKUP(N32,POA!$A$2:$C$16,3,0))</f>
        <v/>
      </c>
      <c r="P32" s="268"/>
      <c r="Q32" s="268" t="str">
        <f>IF(ISERROR(VLOOKUP(P32,POA!$A$2:$F$16,4,0)),"",VLOOKUP(P32,POA!$A$2:$F$16,4,0))</f>
        <v/>
      </c>
      <c r="R32" s="269" t="str">
        <f>IF(ISERROR(VLOOKUP(N32,POA!$A$2:$C$16,2,0)),"",VLOOKUP(N32,POA!$A$2:$C$16,2,0))</f>
        <v/>
      </c>
      <c r="S32" s="270"/>
      <c r="T32" s="271" t="str">
        <f>IF(OR(S23=0,N32="",R32=""),"",IF(S23&gt;=(0.4*R32),"HABIL","NO HABIL"))</f>
        <v/>
      </c>
      <c r="U32" s="270"/>
      <c r="V32" s="271" t="str">
        <f>IF(OR(U23=0,N32="",R32=""),"",IF(U23&gt;=(0.5*R32),"HABIL","NO HABIL"))</f>
        <v/>
      </c>
      <c r="W32" s="270"/>
      <c r="X32" s="271" t="str">
        <f>IF(OR(W23=0,N32="",R32=""),"",IF(W23&gt;=$X$9,"HABIL","NO HABIL"))</f>
        <v/>
      </c>
      <c r="Y32" s="272"/>
      <c r="Z32" s="271" t="str">
        <f>IF(OR(Y23=0,N32="",R32=""),"",IF(Y23&lt;=$Z$9,"HABIL","NO HABIL"))</f>
        <v/>
      </c>
      <c r="AA32" s="268">
        <v>0</v>
      </c>
      <c r="AB32" s="268"/>
      <c r="AC32" s="271" t="str">
        <f>IF(OR(AB23=0,N32="",R32=""),"",IF(AB23&gt;=$AC$9,"HABIL","NO HABIL"))</f>
        <v/>
      </c>
      <c r="AD32" s="271" t="str">
        <f t="shared" si="10"/>
        <v/>
      </c>
      <c r="AE32" s="119">
        <f t="shared" si="16"/>
        <v>0</v>
      </c>
      <c r="AF32" s="110" t="str">
        <f t="shared" si="17"/>
        <v>MIPYME</v>
      </c>
      <c r="AG32" s="273"/>
      <c r="AH32" s="271" t="str">
        <f>IF(OR(AG23=0,N32="",R32=""),"",IF(AG23&gt;=$AH$9,"HABIL","NO HABIL"))</f>
        <v/>
      </c>
      <c r="AI32" s="273"/>
      <c r="AJ32" s="271" t="str">
        <f>IF(OR(AI23=0,N32="",R32=""),"",IF(AI23&gt;=$AJ$9,"HABIL","NO HABIL"))</f>
        <v/>
      </c>
      <c r="AK32" s="123" t="str">
        <f t="shared" si="18"/>
        <v/>
      </c>
    </row>
    <row r="33" spans="2:37" ht="23.25" hidden="1" customHeight="1" thickBot="1" x14ac:dyDescent="0.3">
      <c r="B33" s="267" t="str">
        <f>IF(C33="","",B32+0.1)</f>
        <v/>
      </c>
      <c r="C33" s="250"/>
      <c r="D33" s="101"/>
      <c r="E33" s="73">
        <f>IF(ISERROR(VLOOKUP(C33,#REF!,2,0)),0,VLOOKUP(C33,#REF!,2,0))</f>
        <v>0</v>
      </c>
      <c r="F33" s="73">
        <f>IF(ISERROR(VLOOKUP(C33,#REF!,3,0)),0,VLOOKUP(C33,#REF!,3,0))</f>
        <v>0</v>
      </c>
      <c r="G33" s="73">
        <f>IF(ISERROR(VLOOKUP(C33,#REF!,4,0)),0,VLOOKUP(C33,#REF!,4,0))</f>
        <v>0</v>
      </c>
      <c r="H33" s="73">
        <f>IF(ISERROR(VLOOKUP(C33,#REF!,5,0)),0,VLOOKUP(C33,#REF!,5,0))</f>
        <v>0</v>
      </c>
      <c r="I33" s="73">
        <f t="shared" si="13"/>
        <v>0</v>
      </c>
      <c r="J33" s="73">
        <f t="shared" si="14"/>
        <v>0</v>
      </c>
      <c r="K33" s="73">
        <f t="shared" si="15"/>
        <v>0</v>
      </c>
      <c r="L33" s="73">
        <f>IF(ISERROR(VLOOKUP(C33,#REF!,6,0)),0,VLOOKUP(C33,#REF!,6,0))</f>
        <v>0</v>
      </c>
      <c r="M33" s="73">
        <f>IF(ISERROR(VLOOKUP(C33,#REF!,7,0)),0,VLOOKUP(C33,#REF!,7,0))</f>
        <v>0</v>
      </c>
      <c r="N33" s="175"/>
      <c r="O33" s="175" t="str">
        <f>IF(ISERROR(VLOOKUP(N33,POA!$A$2:$C$16,3,0)),"",VLOOKUP(N33,POA!$A$2:$C$16,3,0))</f>
        <v/>
      </c>
      <c r="P33" s="82"/>
      <c r="Q33" s="82" t="str">
        <f>IF(ISERROR(VLOOKUP(P33,POA!$A$2:$F$16,4,0)),"",VLOOKUP(P33,POA!$A$2:$F$16,4,0))</f>
        <v/>
      </c>
      <c r="R33" s="77" t="str">
        <f>IF(ISERROR(VLOOKUP(N33,POA!$A$2:$C$16,2,0)),"",VLOOKUP(N33,POA!$A$2:$C$16,2,0))</f>
        <v/>
      </c>
      <c r="S33" s="84"/>
      <c r="T33" s="83" t="str">
        <f>IF(OR(S23=0,N33="",R33=""),"",IF(S23&gt;=(0.4*R33),"HABIL","NO HABIL"))</f>
        <v/>
      </c>
      <c r="U33" s="84"/>
      <c r="V33" s="83" t="str">
        <f>IF(OR(U23=0,N33="",R33=""),"",IF(U23&gt;=(0.5*R33),"HABIL","NO HABIL"))</f>
        <v/>
      </c>
      <c r="W33" s="84"/>
      <c r="X33" s="83" t="str">
        <f>IF(OR(W23=0,N33="",R33=""),"",IF(W23&gt;=$X$9,"HABIL","NO HABIL"))</f>
        <v/>
      </c>
      <c r="Y33" s="118"/>
      <c r="Z33" s="83" t="str">
        <f>IF(OR(Y23=0,N33="",R33=""),"",IF(Y23&lt;=$Z$9,"HABIL","NO HABIL"))</f>
        <v/>
      </c>
      <c r="AA33" s="82">
        <v>0</v>
      </c>
      <c r="AB33" s="82"/>
      <c r="AC33" s="83" t="str">
        <f>IF(OR(AB23=0,N33="",R33=""),"",IF(AB23&gt;=$AC$9,"HABIL","NO HABIL"))</f>
        <v/>
      </c>
      <c r="AD33" s="83" t="str">
        <f t="shared" si="10"/>
        <v/>
      </c>
      <c r="AE33" s="121">
        <f t="shared" si="16"/>
        <v>0</v>
      </c>
      <c r="AF33" s="111" t="str">
        <f t="shared" si="17"/>
        <v>MIPYME</v>
      </c>
      <c r="AG33" s="131"/>
      <c r="AH33" s="83" t="str">
        <f>IF(OR(AG23=0,N33="",R33=""),"",IF(AG23&gt;=$AH$9,"HABIL","NO HABIL"))</f>
        <v/>
      </c>
      <c r="AI33" s="131"/>
      <c r="AJ33" s="83" t="str">
        <f>IF(OR(AI23=0,N33="",R33=""),"",IF(AI23&gt;=$AJ$9,"HABIL","NO HABIL"))</f>
        <v/>
      </c>
      <c r="AK33" s="124" t="str">
        <f t="shared" si="18"/>
        <v/>
      </c>
    </row>
    <row r="34" spans="2:37" ht="23.25" customHeight="1" x14ac:dyDescent="0.25">
      <c r="B34" s="274">
        <v>3</v>
      </c>
      <c r="C34" s="251"/>
      <c r="D34" s="99">
        <f>IF(SUM(D35:D44)=0,"",SUM(D35:D44))</f>
        <v>1</v>
      </c>
      <c r="E34" s="80">
        <f>IF(ISERROR(($D35*E35)+($D36*E36)+($D37*E37)+($D38*E38)+($D39*E39)+($D40*E40)+($D41*E41)+($D42*E42)+($D43*E43)+($D44*E44)),"",($D35*E35)+($D36*E36)+($D37*E37)+($D38*E38)+($D39*E39)+($D40*E40)+($D41*E41)+($D42*E42)+($D43*E43)+($D44*E44))</f>
        <v>496035343</v>
      </c>
      <c r="F34" s="80">
        <f>IF(ISERROR(($D35*F35)+($D36*F36)+($D37*F37)+($D38*F38)+($D39*F39)+($D40*F40)+($D41*F41)+($D42*F42)+($D43*F43)+($D44*F44)),"",($D35*F35)+($D36*F36)+($D37*F37)+($D38*F38)+($D39*F39)+($D40*F40)+($D41*F41)+($D42*F42)+($D43*F43)+($D44*F44))</f>
        <v>699123167</v>
      </c>
      <c r="G34" s="80">
        <f>IF(ISERROR(($D35*G35)+($D36*G36)+($D37*G37)+($D38*G38)+($D39*G39)+($D40*G40)+($D41*G41)+($D42*G42)+($D43*G43)+($D44*G44)),"",($D35*G35)+($D36*G36)+($D37*G37)+($D38*G38)+($D39*G39)+($D40*G40)+($D41*G41)+($D42*G42)+($D43*G43)+($D44*G44))</f>
        <v>148972</v>
      </c>
      <c r="H34" s="80">
        <f>IF(ISERROR(($D35*H35)+($D36*H36)+($D37*H37)+($D38*H38)+($D39*H39)+($D40*H40)+($D41*H41)+($D42*H42)+($D43*H43)+($D44*H44)),"",($D35*H35)+($D36*H36)+($D37*H37)+($D38*H38)+($D39*H39)+($D40*H40)+($D41*H41)+($D42*H42)+($D43*H43)+($D44*H44))</f>
        <v>23446863</v>
      </c>
      <c r="I34" s="80">
        <f>IF(ISERROR(SUM(I35:I44)),"",SUM(I35:I44))</f>
        <v>495886371</v>
      </c>
      <c r="J34" s="80">
        <f>IF(ISERROR(SUM(J35:J44)),"",SUM(J35:J44))</f>
        <v>675676304</v>
      </c>
      <c r="K34" s="80">
        <f>IF(ISERROR(($D35*K35)+($D36*K36)+($D37*K37)+($D38*K38)+($D39*K39)+($D40*K40)+($D41*K41)+($D42*K42)+($D43*K43)+($D44*K44)),"",($D35*K35)+($D36*K36)+($D37*K37)+($D38*K38)+($D39*K39)+($D40*K40)+($D41*K41)+($D42*K42)+($D43*K43)+($D44*K44))</f>
        <v>675676304</v>
      </c>
      <c r="L34" s="80">
        <f>IF(ISERROR(($D35*L35)+($D36*L36)+($D37*L37)+($D38*L38)+($D39*L39)+($D40*L40)+($D41*L41)+($D42*L42)+($D43*L43)+($D44*L44)),"",($D35*L35)+($D36*L36)+($D37*L37)+($D38*L38)+($D39*L39)+($D40*L40)+($D41*L41)+($D42*L42)+($D43*L43)+($D44*L44))</f>
        <v>64830078</v>
      </c>
      <c r="M34" s="80">
        <f>IF(ISERROR(($D35*M35)+($D36*M36)+($D37*M37)+($D38*M38)+($D39*M39)+($D40*M40)+($D41*M41)+($D42*M42)+($D43*M43)+($D44*M44)),"",($D35*M35)+($D36*M36)+($D37*M37)+($D38*M38)+($D39*M39)+($D40*M40)+($D41*M41)+($D42*M42)+($D43*M43)+($D44*M44))</f>
        <v>1874965</v>
      </c>
      <c r="N34" s="75">
        <v>1</v>
      </c>
      <c r="O34" s="226">
        <f>IF(ISERROR(VLOOKUP(N34,POA!$A$2:$C$16,3,0)),"",VLOOKUP(N34,POA!$A$2:$C$16,3,0))</f>
        <v>4</v>
      </c>
      <c r="P34" s="102"/>
      <c r="Q34" s="75">
        <f>+SUM(Q35:Q44)</f>
        <v>0</v>
      </c>
      <c r="R34" s="76">
        <f>IF(ISERROR(VLOOKUP(N34,POA!$A$2:$C$16,2,0)),"",VLOOKUP(N34,POA!$A$2:$C$16,2,0))</f>
        <v>765000000</v>
      </c>
      <c r="S34" s="80">
        <f>SUM(I34)</f>
        <v>495886371</v>
      </c>
      <c r="T34" s="81" t="str">
        <f>IF(OR(S34=0,N34="",R34=""),"",IF(S34&gt;=(R34/O34),"HABIL","NO HABIL"))</f>
        <v>HABIL</v>
      </c>
      <c r="U34" s="80">
        <f>SUM(J34)</f>
        <v>675676304</v>
      </c>
      <c r="V34" s="81" t="str">
        <f>IF(OR(U34=0,N34="",R34=""),"",IF(U34&gt;=(10%*R34),"HABIL","NO HABIL"))</f>
        <v>HABIL</v>
      </c>
      <c r="W34" s="80">
        <f>IF(ISERROR(SUM(E34/G34)),0,SUM(E34/G34))</f>
        <v>3329.7219813119245</v>
      </c>
      <c r="X34" s="81" t="str">
        <f>IF(OR(W34=0,N34="",R34=""),"",IF(W34&gt;=$X$9,"HABIL","NO HABIL"))</f>
        <v>HABIL</v>
      </c>
      <c r="Y34" s="231">
        <f>IF(ISERROR(SUM(H34/F34)),0,SUM(H34/F34))</f>
        <v>3.3537528302219746E-2</v>
      </c>
      <c r="Z34" s="81" t="str">
        <f>IF(OR(Y34=0,N34="",R34=""),"",IF(Y34&lt;=$Z$9,"HABIL","NO HABIL"))</f>
        <v>HABIL</v>
      </c>
      <c r="AA34" s="75">
        <f>+SUM(AA35:AA44)</f>
        <v>0</v>
      </c>
      <c r="AB34" s="231">
        <f>IF(ISERROR(SUM(L34/M34)),0,SUM(L34/M34))</f>
        <v>34.576687031491254</v>
      </c>
      <c r="AC34" s="81" t="str">
        <f>IF(OR(AB34=0,N34="",R34=""),"",IF(AB34&gt;=$AC$9,"HABIL","NO HABIL"))</f>
        <v>HABIL</v>
      </c>
      <c r="AD34" s="81" t="str">
        <f t="shared" si="10"/>
        <v>HABIL</v>
      </c>
      <c r="AE34" s="120"/>
      <c r="AF34" s="109"/>
      <c r="AG34" s="231">
        <f>IF(ISERROR(SUM(L34/K34)),0,SUM(L34/K34))</f>
        <v>9.5948426215639496E-2</v>
      </c>
      <c r="AH34" s="81" t="str">
        <f>IF(OR(AG34=0,N34="",R34=""),"",IF(AG34&gt;=$AH$9,"HABIL","NO HABIL"))</f>
        <v>HABIL</v>
      </c>
      <c r="AI34" s="231">
        <f>IF(ISERROR(SUM(L34/F34)),0,SUM(L34/F34))</f>
        <v>9.2730553155879039E-2</v>
      </c>
      <c r="AJ34" s="81" t="str">
        <f>IF(OR(AI34=0,N34="",R34=""),"",IF(AI34&gt;=$AJ$9,"HABIL","NO HABIL"))</f>
        <v>HABIL</v>
      </c>
      <c r="AK34" s="122" t="str">
        <f t="shared" si="18"/>
        <v>HABIL</v>
      </c>
    </row>
    <row r="35" spans="2:37" ht="23.25" customHeight="1" thickBot="1" x14ac:dyDescent="0.3">
      <c r="B35" s="275">
        <f t="shared" ref="B35:B40" si="19">IF(C35="","",B34+0.1)</f>
        <v>3.1</v>
      </c>
      <c r="C35" s="282" t="s">
        <v>260</v>
      </c>
      <c r="D35" s="233">
        <v>1</v>
      </c>
      <c r="E35" s="224">
        <v>496035343</v>
      </c>
      <c r="F35" s="224">
        <v>699123167</v>
      </c>
      <c r="G35" s="224">
        <v>148972</v>
      </c>
      <c r="H35" s="224">
        <v>23446863</v>
      </c>
      <c r="I35" s="224">
        <f t="shared" ref="I35:I44" si="20">IF(ISERROR(E35-G35),"",E35-G35)</f>
        <v>495886371</v>
      </c>
      <c r="J35" s="224">
        <f t="shared" ref="J35:J44" si="21">IF(ISERROR(F35-H35),"",F35-H35)</f>
        <v>675676304</v>
      </c>
      <c r="K35" s="224">
        <f t="shared" ref="K35:K44" si="22">IF(ISERROR(F35-H35),"",F35-H35)</f>
        <v>675676304</v>
      </c>
      <c r="L35" s="224">
        <v>64830078</v>
      </c>
      <c r="M35" s="224">
        <v>1874965</v>
      </c>
      <c r="N35" s="176"/>
      <c r="O35" s="227" t="str">
        <f>IF(ISERROR(VLOOKUP(N35,POA!$A$2:$C$16,3,0)),"",VLOOKUP(N35,POA!$A$2:$C$16,3,0))</f>
        <v/>
      </c>
      <c r="P35" s="268"/>
      <c r="Q35" s="268" t="str">
        <f>IF(ISERROR(VLOOKUP(P35,POA!$A$2:$F$16,4,0)),"",VLOOKUP(P35,POA!$A$2:$F$16,4,0))</f>
        <v/>
      </c>
      <c r="R35" s="269" t="str">
        <f>IF(ISERROR(VLOOKUP(N35,POA!$A$2:$C$16,2,0)),"",VLOOKUP(N35,POA!$A$2:$C$16,2,0))</f>
        <v/>
      </c>
      <c r="S35" s="270"/>
      <c r="T35" s="271" t="str">
        <f>IF(OR(S34=0,N35="",R35=""),"",IF(S34&gt;=(0.4*R35),"HABIL","NO HABIL"))</f>
        <v/>
      </c>
      <c r="U35" s="270"/>
      <c r="V35" s="271" t="str">
        <f>IF(OR(U34=0,N35="",R35=""),"",IF(U34&gt;=(0.5*R35),"HABIL","NO HABIL"))</f>
        <v/>
      </c>
      <c r="W35" s="270"/>
      <c r="X35" s="271" t="str">
        <f>IF(OR(W34=0,N35="",R35=""),"",IF(W34&gt;=$X$9,"HABIL","NO HABIL"))</f>
        <v/>
      </c>
      <c r="Y35" s="272"/>
      <c r="Z35" s="271" t="str">
        <f>IF(OR(Y34=0,N35="",R35=""),"",IF(Y34&lt;=$Z$9,"HABIL","NO HABIL"))</f>
        <v/>
      </c>
      <c r="AA35" s="268" t="s">
        <v>246</v>
      </c>
      <c r="AB35" s="268"/>
      <c r="AC35" s="271" t="str">
        <f>IF(OR(AB34=0,N35="",R35=""),"",IF(AB34&gt;=$AC$9,"HABIL","NO HABIL"))</f>
        <v/>
      </c>
      <c r="AD35" s="271" t="str">
        <f t="shared" si="10"/>
        <v/>
      </c>
      <c r="AE35" s="119">
        <f t="shared" ref="AE35:AE44" si="23">IF(ISERROR(F35/$AF$9),"",F35/$AF$9)</f>
        <v>1233.6741962237516</v>
      </c>
      <c r="AF35" s="110" t="str">
        <f>+IF(AE35&lt;$AF$10,"MIPYME","NO CUMPLE")</f>
        <v>MIPYME</v>
      </c>
      <c r="AG35" s="273"/>
      <c r="AH35" s="271" t="str">
        <f>IF(OR(AG34=0,N35="",R35=""),"",IF(AG34&gt;=$AH$9,"HABIL","NO HABIL"))</f>
        <v/>
      </c>
      <c r="AI35" s="273"/>
      <c r="AJ35" s="271" t="str">
        <f>IF(OR(AI34=0,N35="",R35=""),"",IF(AI34&gt;=$AJ$9,"HABIL","NO HABIL"))</f>
        <v/>
      </c>
      <c r="AK35" s="125" t="str">
        <f>IF(OR(AH35="",AJ35=""),"",IF(AH35="NO HABIL","NO HABIL",IF(AJ35="NO HABIL","NO HABIL",IF(AJ35="NO HABIL","NO HABIL","HABIL"))))</f>
        <v/>
      </c>
    </row>
    <row r="36" spans="2:37" ht="23.25" hidden="1" customHeight="1" x14ac:dyDescent="0.25">
      <c r="B36" s="278" t="str">
        <f t="shared" si="19"/>
        <v/>
      </c>
      <c r="C36" s="279"/>
      <c r="D36" s="233"/>
      <c r="E36" s="224">
        <f>IF(ISERROR(VLOOKUP(C36,#REF!,2,0)),0,VLOOKUP(C36,#REF!,2,0))</f>
        <v>0</v>
      </c>
      <c r="F36" s="224">
        <f>IF(ISERROR(VLOOKUP(C36,#REF!,3,0)),0,VLOOKUP(C36,#REF!,3,0))</f>
        <v>0</v>
      </c>
      <c r="G36" s="224">
        <f>IF(ISERROR(VLOOKUP(C36,#REF!,4,0)),0,VLOOKUP(C36,#REF!,4,0))</f>
        <v>0</v>
      </c>
      <c r="H36" s="224">
        <f>IF(ISERROR(VLOOKUP(C36,#REF!,5,0)),0,VLOOKUP(C36,#REF!,5,0))</f>
        <v>0</v>
      </c>
      <c r="I36" s="224">
        <f t="shared" si="20"/>
        <v>0</v>
      </c>
      <c r="J36" s="224">
        <f t="shared" si="21"/>
        <v>0</v>
      </c>
      <c r="K36" s="224">
        <f t="shared" si="22"/>
        <v>0</v>
      </c>
      <c r="L36" s="224">
        <f>IF(ISERROR(VLOOKUP(C36,#REF!,6,0)),0,VLOOKUP(C36,#REF!,6,0))</f>
        <v>0</v>
      </c>
      <c r="M36" s="224">
        <f>IF(ISERROR(VLOOKUP(C36,#REF!,7,0)),0,VLOOKUP(C36,#REF!,7,0))</f>
        <v>0</v>
      </c>
      <c r="N36" s="174"/>
      <c r="O36" s="174" t="str">
        <f>IF(ISERROR(VLOOKUP(N36,POA!$A$2:$C$16,3,0)),"",VLOOKUP(N36,POA!$A$2:$C$16,3,0))</f>
        <v/>
      </c>
      <c r="P36" s="268"/>
      <c r="Q36" s="268" t="str">
        <f>IF(ISERROR(VLOOKUP(P36,POA!$A$2:$F$16,4,0)),"",VLOOKUP(P36,POA!$A$2:$F$16,4,0))</f>
        <v/>
      </c>
      <c r="R36" s="269" t="str">
        <f>IF(ISERROR(VLOOKUP(N36,POA!$A$2:$C$16,2,0)),"",VLOOKUP(N36,POA!$A$2:$C$16,2,0))</f>
        <v/>
      </c>
      <c r="S36" s="270"/>
      <c r="T36" s="271" t="str">
        <f>IF(OR(S34=0,N36="",R36=""),"",IF(S34&gt;=(0.4*R36),"HABIL","NO HABIL"))</f>
        <v/>
      </c>
      <c r="U36" s="270"/>
      <c r="V36" s="271" t="str">
        <f>IF(OR(U34=0,N36="",R36=""),"",IF(U34&gt;=(0.5*R36),"HABIL","NO HABIL"))</f>
        <v/>
      </c>
      <c r="W36" s="270"/>
      <c r="X36" s="271" t="str">
        <f>IF(OR(W34=0,N36="",R36=""),"",IF(W34&gt;=$X$9,"HABIL","NO HABIL"))</f>
        <v/>
      </c>
      <c r="Y36" s="272"/>
      <c r="Z36" s="271" t="str">
        <f>IF(OR(Y34=0,N36="",R36=""),"",IF(Y34&lt;=$Z$9,"HABIL","NO HABIL"))</f>
        <v/>
      </c>
      <c r="AA36" s="268" t="s">
        <v>246</v>
      </c>
      <c r="AB36" s="268"/>
      <c r="AC36" s="271" t="str">
        <f>IF(OR(AB34=0,N36="",R36=""),"",IF(AB34&gt;=$AC$9,"HABIL","NO HABIL"))</f>
        <v/>
      </c>
      <c r="AD36" s="271" t="str">
        <f t="shared" si="10"/>
        <v/>
      </c>
      <c r="AE36" s="119">
        <f t="shared" si="23"/>
        <v>0</v>
      </c>
      <c r="AF36" s="110" t="str">
        <f t="shared" ref="AF36:AF44" si="24">+IF(AE36&lt;$AF$10,"MIPYME","NO CUMPLE")</f>
        <v>MIPYME</v>
      </c>
      <c r="AG36" s="273"/>
      <c r="AH36" s="271" t="str">
        <f>IF(OR(AG34=0,N36="",R36=""),"",IF(AG34&gt;=$AH$9,"HABIL","NO HABIL"))</f>
        <v/>
      </c>
      <c r="AI36" s="273"/>
      <c r="AJ36" s="271" t="str">
        <f>IF(OR(AI34=0,N36="",R36=""),"",IF(AI34&gt;=$AJ$9,"HABIL","NO HABIL"))</f>
        <v/>
      </c>
      <c r="AK36" s="126" t="str">
        <f t="shared" ref="AK36:AK45" si="25">IF(OR(AH36="",AJ36=""),"",IF(AH36="NO HABIL","NO HABIL",IF(AJ36="NO HABIL","NO HABIL",IF(AJ36="NO HABIL","NO HABIL","HABIL"))))</f>
        <v/>
      </c>
    </row>
    <row r="37" spans="2:37" ht="23.25" hidden="1" customHeight="1" x14ac:dyDescent="0.25">
      <c r="B37" s="267" t="str">
        <f t="shared" si="19"/>
        <v/>
      </c>
      <c r="C37" s="250"/>
      <c r="D37" s="233"/>
      <c r="E37" s="224">
        <f>IF(ISERROR(VLOOKUP(C37,#REF!,2,0)),0,VLOOKUP(C37,#REF!,2,0))</f>
        <v>0</v>
      </c>
      <c r="F37" s="224">
        <f>IF(ISERROR(VLOOKUP(C37,#REF!,3,0)),0,VLOOKUP(C37,#REF!,3,0))</f>
        <v>0</v>
      </c>
      <c r="G37" s="224">
        <f>IF(ISERROR(VLOOKUP(C37,#REF!,4,0)),0,VLOOKUP(C37,#REF!,4,0))</f>
        <v>0</v>
      </c>
      <c r="H37" s="224">
        <f>IF(ISERROR(VLOOKUP(C37,#REF!,5,0)),0,VLOOKUP(C37,#REF!,5,0))</f>
        <v>0</v>
      </c>
      <c r="I37" s="224">
        <f t="shared" si="20"/>
        <v>0</v>
      </c>
      <c r="J37" s="224">
        <f t="shared" si="21"/>
        <v>0</v>
      </c>
      <c r="K37" s="224">
        <f t="shared" si="22"/>
        <v>0</v>
      </c>
      <c r="L37" s="224">
        <f>IF(ISERROR(VLOOKUP(C37,#REF!,6,0)),0,VLOOKUP(C37,#REF!,6,0))</f>
        <v>0</v>
      </c>
      <c r="M37" s="224">
        <f>IF(ISERROR(VLOOKUP(C37,#REF!,7,0)),0,VLOOKUP(C37,#REF!,7,0))</f>
        <v>0</v>
      </c>
      <c r="N37" s="174"/>
      <c r="O37" s="174" t="str">
        <f>IF(ISERROR(VLOOKUP(N37,POA!$A$2:$C$16,3,0)),"",VLOOKUP(N37,POA!$A$2:$C$16,3,0))</f>
        <v/>
      </c>
      <c r="P37" s="268"/>
      <c r="Q37" s="268" t="str">
        <f>IF(ISERROR(VLOOKUP(P37,POA!$A$2:$F$16,4,0)),"",VLOOKUP(P37,POA!$A$2:$F$16,4,0))</f>
        <v/>
      </c>
      <c r="R37" s="269" t="str">
        <f>IF(ISERROR(VLOOKUP(N37,POA!$A$2:$C$16,2,0)),"",VLOOKUP(N37,POA!$A$2:$C$16,2,0))</f>
        <v/>
      </c>
      <c r="S37" s="270"/>
      <c r="T37" s="271" t="str">
        <f>IF(OR(S34=0,N37="",R37=""),"",IF(S34&gt;=(0.4*R37),"HABIL","NO HABIL"))</f>
        <v/>
      </c>
      <c r="U37" s="270"/>
      <c r="V37" s="271" t="str">
        <f>IF(OR(U34=0,N37="",R37=""),"",IF(U34&gt;=(0.5*R37),"HABIL","NO HABIL"))</f>
        <v/>
      </c>
      <c r="W37" s="270"/>
      <c r="X37" s="271" t="str">
        <f>IF(OR(W34=0,N37="",R37=""),"",IF(W34&gt;=$X$9,"HABIL","NO HABIL"))</f>
        <v/>
      </c>
      <c r="Y37" s="272"/>
      <c r="Z37" s="271" t="str">
        <f>IF(OR(Y34=0,N37="",R37=""),"",IF(Y34&lt;=$Z$9,"HABIL","NO HABIL"))</f>
        <v/>
      </c>
      <c r="AA37" s="268">
        <v>0</v>
      </c>
      <c r="AB37" s="268"/>
      <c r="AC37" s="271" t="str">
        <f>IF(OR(AB34=0,N37="",R37=""),"",IF(AB34&gt;=$AC$9,"HABIL","NO HABIL"))</f>
        <v/>
      </c>
      <c r="AD37" s="271" t="str">
        <f t="shared" si="10"/>
        <v/>
      </c>
      <c r="AE37" s="119">
        <f t="shared" si="23"/>
        <v>0</v>
      </c>
      <c r="AF37" s="110" t="str">
        <f t="shared" si="24"/>
        <v>MIPYME</v>
      </c>
      <c r="AG37" s="273"/>
      <c r="AH37" s="271" t="str">
        <f>IF(OR(AG34=0,N37="",R37=""),"",IF(AG34&gt;=$AH$9,"HABIL","NO HABIL"))</f>
        <v/>
      </c>
      <c r="AI37" s="273"/>
      <c r="AJ37" s="271" t="str">
        <f>IF(OR(AI34=0,N37="",R37=""),"",IF(AI34&gt;=$AJ$9,"HABIL","NO HABIL"))</f>
        <v/>
      </c>
      <c r="AK37" s="126" t="str">
        <f t="shared" si="25"/>
        <v/>
      </c>
    </row>
    <row r="38" spans="2:37" ht="23.25" hidden="1" customHeight="1" x14ac:dyDescent="0.25">
      <c r="B38" s="267" t="str">
        <f t="shared" si="19"/>
        <v/>
      </c>
      <c r="C38" s="250"/>
      <c r="D38" s="233"/>
      <c r="E38" s="224">
        <f>IF(ISERROR(VLOOKUP(C38,#REF!,2,0)),0,VLOOKUP(C38,#REF!,2,0))</f>
        <v>0</v>
      </c>
      <c r="F38" s="224">
        <f>IF(ISERROR(VLOOKUP(C38,#REF!,3,0)),0,VLOOKUP(C38,#REF!,3,0))</f>
        <v>0</v>
      </c>
      <c r="G38" s="224">
        <f>IF(ISERROR(VLOOKUP(C38,#REF!,4,0)),0,VLOOKUP(C38,#REF!,4,0))</f>
        <v>0</v>
      </c>
      <c r="H38" s="224">
        <f>IF(ISERROR(VLOOKUP(C38,#REF!,5,0)),0,VLOOKUP(C38,#REF!,5,0))</f>
        <v>0</v>
      </c>
      <c r="I38" s="224">
        <f t="shared" si="20"/>
        <v>0</v>
      </c>
      <c r="J38" s="224">
        <f t="shared" si="21"/>
        <v>0</v>
      </c>
      <c r="K38" s="224">
        <f t="shared" si="22"/>
        <v>0</v>
      </c>
      <c r="L38" s="224">
        <f>IF(ISERROR(VLOOKUP(C38,#REF!,6,0)),0,VLOOKUP(C38,#REF!,6,0))</f>
        <v>0</v>
      </c>
      <c r="M38" s="224">
        <f>IF(ISERROR(VLOOKUP(C38,#REF!,7,0)),0,VLOOKUP(C38,#REF!,7,0))</f>
        <v>0</v>
      </c>
      <c r="N38" s="174"/>
      <c r="O38" s="174" t="str">
        <f>IF(ISERROR(VLOOKUP(N38,POA!$A$2:$C$16,3,0)),"",VLOOKUP(N38,POA!$A$2:$C$16,3,0))</f>
        <v/>
      </c>
      <c r="P38" s="268"/>
      <c r="Q38" s="268" t="str">
        <f>IF(ISERROR(VLOOKUP(P38,POA!$A$2:$F$16,4,0)),"",VLOOKUP(P38,POA!$A$2:$F$16,4,0))</f>
        <v/>
      </c>
      <c r="R38" s="269" t="str">
        <f>IF(ISERROR(VLOOKUP(N38,POA!$A$2:$C$16,2,0)),"",VLOOKUP(N38,POA!$A$2:$C$16,2,0))</f>
        <v/>
      </c>
      <c r="S38" s="270"/>
      <c r="T38" s="271" t="str">
        <f>IF(OR(S34=0,N38="",R38=""),"",IF(S34&gt;=(0.4*R38),"HABIL","NO HABIL"))</f>
        <v/>
      </c>
      <c r="U38" s="270"/>
      <c r="V38" s="271" t="str">
        <f>IF(OR(U34=0,N38="",R38=""),"",IF(U34&gt;=(0.5*R38),"HABIL","NO HABIL"))</f>
        <v/>
      </c>
      <c r="W38" s="270"/>
      <c r="X38" s="271" t="str">
        <f>IF(OR(W34=0,N38="",R38=""),"",IF(W34&gt;=$X$9,"HABIL","NO HABIL"))</f>
        <v/>
      </c>
      <c r="Y38" s="272"/>
      <c r="Z38" s="271" t="str">
        <f>IF(OR(Y34=0,N38="",R38=""),"",IF(Y34&lt;=$Z$9,"HABIL","NO HABIL"))</f>
        <v/>
      </c>
      <c r="AA38" s="268">
        <v>0</v>
      </c>
      <c r="AB38" s="268"/>
      <c r="AC38" s="271" t="str">
        <f>IF(OR(AB34=0,N38="",R38=""),"",IF(AB34&gt;=$AC$9,"HABIL","NO HABIL"))</f>
        <v/>
      </c>
      <c r="AD38" s="271" t="str">
        <f t="shared" si="10"/>
        <v/>
      </c>
      <c r="AE38" s="119">
        <f t="shared" si="23"/>
        <v>0</v>
      </c>
      <c r="AF38" s="110" t="str">
        <f t="shared" si="24"/>
        <v>MIPYME</v>
      </c>
      <c r="AG38" s="273"/>
      <c r="AH38" s="271" t="str">
        <f>IF(OR(AG34=0,N38="",R38=""),"",IF(AG34&gt;=$AH$9,"HABIL","NO HABIL"))</f>
        <v/>
      </c>
      <c r="AI38" s="273"/>
      <c r="AJ38" s="271" t="str">
        <f>IF(OR(AI34=0,N38="",R38=""),"",IF(AI34&gt;=$AJ$9,"HABIL","NO HABIL"))</f>
        <v/>
      </c>
      <c r="AK38" s="126" t="str">
        <f t="shared" si="25"/>
        <v/>
      </c>
    </row>
    <row r="39" spans="2:37" ht="23.25" hidden="1" customHeight="1" x14ac:dyDescent="0.25">
      <c r="B39" s="267" t="str">
        <f t="shared" si="19"/>
        <v/>
      </c>
      <c r="C39" s="250"/>
      <c r="D39" s="233"/>
      <c r="E39" s="224">
        <f>IF(ISERROR(VLOOKUP(C39,#REF!,2,0)),0,VLOOKUP(C39,#REF!,2,0))</f>
        <v>0</v>
      </c>
      <c r="F39" s="224">
        <f>IF(ISERROR(VLOOKUP(C39,#REF!,3,0)),0,VLOOKUP(C39,#REF!,3,0))</f>
        <v>0</v>
      </c>
      <c r="G39" s="224">
        <f>IF(ISERROR(VLOOKUP(C39,#REF!,4,0)),0,VLOOKUP(C39,#REF!,4,0))</f>
        <v>0</v>
      </c>
      <c r="H39" s="224">
        <f>IF(ISERROR(VLOOKUP(C39,#REF!,5,0)),0,VLOOKUP(C39,#REF!,5,0))</f>
        <v>0</v>
      </c>
      <c r="I39" s="224">
        <f t="shared" si="20"/>
        <v>0</v>
      </c>
      <c r="J39" s="224">
        <f t="shared" si="21"/>
        <v>0</v>
      </c>
      <c r="K39" s="224">
        <f t="shared" si="22"/>
        <v>0</v>
      </c>
      <c r="L39" s="224">
        <f>IF(ISERROR(VLOOKUP(C39,#REF!,6,0)),0,VLOOKUP(C39,#REF!,6,0))</f>
        <v>0</v>
      </c>
      <c r="M39" s="224">
        <f>IF(ISERROR(VLOOKUP(C39,#REF!,7,0)),0,VLOOKUP(C39,#REF!,7,0))</f>
        <v>0</v>
      </c>
      <c r="N39" s="174"/>
      <c r="O39" s="174" t="str">
        <f>IF(ISERROR(VLOOKUP(N39,POA!$A$2:$C$16,3,0)),"",VLOOKUP(N39,POA!$A$2:$C$16,3,0))</f>
        <v/>
      </c>
      <c r="P39" s="268"/>
      <c r="Q39" s="268" t="str">
        <f>IF(ISERROR(VLOOKUP(P39,POA!$A$2:$F$16,4,0)),"",VLOOKUP(P39,POA!$A$2:$F$16,4,0))</f>
        <v/>
      </c>
      <c r="R39" s="269" t="str">
        <f>IF(ISERROR(VLOOKUP(N39,POA!$A$2:$C$16,2,0)),"",VLOOKUP(N39,POA!$A$2:$C$16,2,0))</f>
        <v/>
      </c>
      <c r="S39" s="270"/>
      <c r="T39" s="271" t="str">
        <f>IF(OR(S34=0,N39="",R39=""),"",IF(S34&gt;=(0.4*R39),"HABIL","NO HABIL"))</f>
        <v/>
      </c>
      <c r="U39" s="270"/>
      <c r="V39" s="271" t="str">
        <f>IF(OR(U34=0,N39="",R39=""),"",IF(U34&gt;=(0.5*R39),"HABIL","NO HABIL"))</f>
        <v/>
      </c>
      <c r="W39" s="270"/>
      <c r="X39" s="271" t="str">
        <f>IF(OR(W34=0,N39="",R39=""),"",IF(W34&gt;=$X$9,"HABIL","NO HABIL"))</f>
        <v/>
      </c>
      <c r="Y39" s="272"/>
      <c r="Z39" s="271" t="str">
        <f>IF(OR(Y34=0,N39="",R39=""),"",IF(Y34&lt;=$Z$9,"HABIL","NO HABIL"))</f>
        <v/>
      </c>
      <c r="AA39" s="268">
        <v>0</v>
      </c>
      <c r="AB39" s="268"/>
      <c r="AC39" s="271" t="str">
        <f>IF(OR(AB34=0,N39="",R39=""),"",IF(AB34&gt;=$AC$9,"HABIL","NO HABIL"))</f>
        <v/>
      </c>
      <c r="AD39" s="271" t="str">
        <f t="shared" si="10"/>
        <v/>
      </c>
      <c r="AE39" s="119">
        <f t="shared" si="23"/>
        <v>0</v>
      </c>
      <c r="AF39" s="110" t="str">
        <f t="shared" si="24"/>
        <v>MIPYME</v>
      </c>
      <c r="AG39" s="273"/>
      <c r="AH39" s="271" t="str">
        <f>IF(OR(AG34=0,N39="",R39=""),"",IF(AG34&gt;=$AH$9,"HABIL","NO HABIL"))</f>
        <v/>
      </c>
      <c r="AI39" s="273"/>
      <c r="AJ39" s="271" t="str">
        <f>IF(OR(AI34=0,N39="",R39=""),"",IF(AI34&gt;=$AJ$9,"HABIL","NO HABIL"))</f>
        <v/>
      </c>
      <c r="AK39" s="123" t="str">
        <f t="shared" si="25"/>
        <v/>
      </c>
    </row>
    <row r="40" spans="2:37" ht="23.25" hidden="1" customHeight="1" x14ac:dyDescent="0.25">
      <c r="B40" s="267" t="str">
        <f t="shared" si="19"/>
        <v/>
      </c>
      <c r="C40" s="250"/>
      <c r="D40" s="233"/>
      <c r="E40" s="224">
        <f>IF(ISERROR(VLOOKUP(C40,#REF!,2,0)),0,VLOOKUP(C40,#REF!,2,0))</f>
        <v>0</v>
      </c>
      <c r="F40" s="224">
        <f>IF(ISERROR(VLOOKUP(C40,#REF!,3,0)),0,VLOOKUP(C40,#REF!,3,0))</f>
        <v>0</v>
      </c>
      <c r="G40" s="224">
        <f>IF(ISERROR(VLOOKUP(C40,#REF!,4,0)),0,VLOOKUP(C40,#REF!,4,0))</f>
        <v>0</v>
      </c>
      <c r="H40" s="224">
        <f>IF(ISERROR(VLOOKUP(C40,#REF!,5,0)),0,VLOOKUP(C40,#REF!,5,0))</f>
        <v>0</v>
      </c>
      <c r="I40" s="224">
        <f t="shared" si="20"/>
        <v>0</v>
      </c>
      <c r="J40" s="224">
        <f t="shared" si="21"/>
        <v>0</v>
      </c>
      <c r="K40" s="224">
        <f t="shared" si="22"/>
        <v>0</v>
      </c>
      <c r="L40" s="224">
        <f>IF(ISERROR(VLOOKUP(C40,#REF!,6,0)),0,VLOOKUP(C40,#REF!,6,0))</f>
        <v>0</v>
      </c>
      <c r="M40" s="224">
        <f>IF(ISERROR(VLOOKUP(C40,#REF!,7,0)),0,VLOOKUP(C40,#REF!,7,0))</f>
        <v>0</v>
      </c>
      <c r="N40" s="174"/>
      <c r="O40" s="174" t="str">
        <f>IF(ISERROR(VLOOKUP(N40,POA!$A$2:$C$16,3,0)),"",VLOOKUP(N40,POA!$A$2:$C$16,3,0))</f>
        <v/>
      </c>
      <c r="P40" s="268"/>
      <c r="Q40" s="268" t="str">
        <f>IF(ISERROR(VLOOKUP(P40,POA!$A$2:$F$16,4,0)),"",VLOOKUP(P40,POA!$A$2:$F$16,4,0))</f>
        <v/>
      </c>
      <c r="R40" s="269" t="str">
        <f>IF(ISERROR(VLOOKUP(N40,POA!$A$2:$C$16,2,0)),"",VLOOKUP(N40,POA!$A$2:$C$16,2,0))</f>
        <v/>
      </c>
      <c r="S40" s="270"/>
      <c r="T40" s="271" t="str">
        <f>IF(OR(S34=0,N40="",R40=""),"",IF(S34&gt;=(0.4*R40),"HABIL","NO HABIL"))</f>
        <v/>
      </c>
      <c r="U40" s="270"/>
      <c r="V40" s="271" t="str">
        <f>IF(OR(U34=0,N40="",R40=""),"",IF(U34&gt;=(0.5*R40),"HABIL","NO HABIL"))</f>
        <v/>
      </c>
      <c r="W40" s="270"/>
      <c r="X40" s="271" t="str">
        <f>IF(OR(W34=0,N40="",R40=""),"",IF(W34&gt;=$X$9,"HABIL","NO HABIL"))</f>
        <v/>
      </c>
      <c r="Y40" s="272"/>
      <c r="Z40" s="271" t="str">
        <f>IF(OR(Y34=0,N40="",R40=""),"",IF(Y34&lt;=$Z$9,"HABIL","NO HABIL"))</f>
        <v/>
      </c>
      <c r="AA40" s="268">
        <v>0</v>
      </c>
      <c r="AB40" s="268"/>
      <c r="AC40" s="271" t="str">
        <f>IF(OR(AB34=0,N40="",R40=""),"",IF(AB34&gt;=$AC$9,"HABIL","NO HABIL"))</f>
        <v/>
      </c>
      <c r="AD40" s="271" t="str">
        <f t="shared" si="10"/>
        <v/>
      </c>
      <c r="AE40" s="119">
        <f t="shared" si="23"/>
        <v>0</v>
      </c>
      <c r="AF40" s="110" t="str">
        <f t="shared" si="24"/>
        <v>MIPYME</v>
      </c>
      <c r="AG40" s="273"/>
      <c r="AH40" s="271" t="str">
        <f>IF(OR(AG34=0,N40="",R40=""),"",IF(AG34&gt;=$AH$9,"HABIL","NO HABIL"))</f>
        <v/>
      </c>
      <c r="AI40" s="273"/>
      <c r="AJ40" s="271" t="str">
        <f>IF(OR(AI34=0,N40="",R40=""),"",IF(AI34&gt;=$AJ$9,"HABIL","NO HABIL"))</f>
        <v/>
      </c>
      <c r="AK40" s="126" t="str">
        <f t="shared" si="25"/>
        <v/>
      </c>
    </row>
    <row r="41" spans="2:37" ht="23.25" hidden="1" customHeight="1" x14ac:dyDescent="0.25">
      <c r="B41" s="267" t="str">
        <f>IF(C41="","",B40+0.1)</f>
        <v/>
      </c>
      <c r="C41" s="250"/>
      <c r="D41" s="233"/>
      <c r="E41" s="224">
        <f>IF(ISERROR(VLOOKUP(C41,#REF!,2,0)),0,VLOOKUP(C41,#REF!,2,0))</f>
        <v>0</v>
      </c>
      <c r="F41" s="224">
        <f>IF(ISERROR(VLOOKUP(C41,#REF!,3,0)),0,VLOOKUP(C41,#REF!,3,0))</f>
        <v>0</v>
      </c>
      <c r="G41" s="224">
        <f>IF(ISERROR(VLOOKUP(C41,#REF!,4,0)),0,VLOOKUP(C41,#REF!,4,0))</f>
        <v>0</v>
      </c>
      <c r="H41" s="224">
        <f>IF(ISERROR(VLOOKUP(C41,#REF!,5,0)),0,VLOOKUP(C41,#REF!,5,0))</f>
        <v>0</v>
      </c>
      <c r="I41" s="224">
        <f t="shared" si="20"/>
        <v>0</v>
      </c>
      <c r="J41" s="224">
        <f t="shared" si="21"/>
        <v>0</v>
      </c>
      <c r="K41" s="224">
        <f t="shared" si="22"/>
        <v>0</v>
      </c>
      <c r="L41" s="224">
        <f>IF(ISERROR(VLOOKUP(C41,#REF!,6,0)),0,VLOOKUP(C41,#REF!,6,0))</f>
        <v>0</v>
      </c>
      <c r="M41" s="224">
        <f>IF(ISERROR(VLOOKUP(C41,#REF!,7,0)),0,VLOOKUP(C41,#REF!,7,0))</f>
        <v>0</v>
      </c>
      <c r="N41" s="174"/>
      <c r="O41" s="174" t="str">
        <f>IF(ISERROR(VLOOKUP(N41,POA!$A$2:$C$16,3,0)),"",VLOOKUP(N41,POA!$A$2:$C$16,3,0))</f>
        <v/>
      </c>
      <c r="P41" s="268"/>
      <c r="Q41" s="268" t="str">
        <f>IF(ISERROR(VLOOKUP(P41,POA!$A$2:$F$16,4,0)),"",VLOOKUP(P41,POA!$A$2:$F$16,4,0))</f>
        <v/>
      </c>
      <c r="R41" s="269" t="str">
        <f>IF(ISERROR(VLOOKUP(N41,POA!$A$2:$C$16,2,0)),"",VLOOKUP(N41,POA!$A$2:$C$16,2,0))</f>
        <v/>
      </c>
      <c r="S41" s="270"/>
      <c r="T41" s="271" t="str">
        <f>IF(OR(S34=0,N41="",R41=""),"",IF(S34&gt;=(0.4*R41),"HABIL","NO HABIL"))</f>
        <v/>
      </c>
      <c r="U41" s="270"/>
      <c r="V41" s="271" t="str">
        <f>IF(OR(U34=0,N41="",R41=""),"",IF(U34&gt;=(0.5*R41),"HABIL","NO HABIL"))</f>
        <v/>
      </c>
      <c r="W41" s="270"/>
      <c r="X41" s="271" t="str">
        <f>IF(OR(W34=0,N41="",R41=""),"",IF(W34&gt;=$X$9,"HABIL","NO HABIL"))</f>
        <v/>
      </c>
      <c r="Y41" s="272"/>
      <c r="Z41" s="271" t="str">
        <f>IF(OR(Y34=0,N41="",R41=""),"",IF(Y34&lt;=$Z$9,"HABIL","NO HABIL"))</f>
        <v/>
      </c>
      <c r="AA41" s="268">
        <v>0</v>
      </c>
      <c r="AB41" s="268"/>
      <c r="AC41" s="271" t="str">
        <f>IF(OR(AB34=0,N41="",R41=""),"",IF(AB34&gt;=$AC$9,"HABIL","NO HABIL"))</f>
        <v/>
      </c>
      <c r="AD41" s="271" t="str">
        <f t="shared" si="10"/>
        <v/>
      </c>
      <c r="AE41" s="119">
        <f t="shared" si="23"/>
        <v>0</v>
      </c>
      <c r="AF41" s="110" t="str">
        <f t="shared" si="24"/>
        <v>MIPYME</v>
      </c>
      <c r="AG41" s="273"/>
      <c r="AH41" s="271" t="str">
        <f>IF(OR(AG34=0,N41="",R41=""),"",IF(AG34&gt;=$AH$9,"HABIL","NO HABIL"))</f>
        <v/>
      </c>
      <c r="AI41" s="273"/>
      <c r="AJ41" s="271" t="str">
        <f>IF(OR(AI34=0,N41="",R41=""),"",IF(AI34&gt;=$AJ$9,"HABIL","NO HABIL"))</f>
        <v/>
      </c>
      <c r="AK41" s="126" t="str">
        <f t="shared" si="25"/>
        <v/>
      </c>
    </row>
    <row r="42" spans="2:37" ht="23.25" hidden="1" customHeight="1" x14ac:dyDescent="0.25">
      <c r="B42" s="267" t="str">
        <f>IF(C42="","",B41+0.1)</f>
        <v/>
      </c>
      <c r="C42" s="250"/>
      <c r="D42" s="233"/>
      <c r="E42" s="224">
        <f>IF(ISERROR(VLOOKUP(C42,#REF!,2,0)),0,VLOOKUP(C42,#REF!,2,0))</f>
        <v>0</v>
      </c>
      <c r="F42" s="224">
        <f>IF(ISERROR(VLOOKUP(C42,#REF!,3,0)),0,VLOOKUP(C42,#REF!,3,0))</f>
        <v>0</v>
      </c>
      <c r="G42" s="224">
        <f>IF(ISERROR(VLOOKUP(C42,#REF!,4,0)),0,VLOOKUP(C42,#REF!,4,0))</f>
        <v>0</v>
      </c>
      <c r="H42" s="224">
        <f>IF(ISERROR(VLOOKUP(C42,#REF!,5,0)),0,VLOOKUP(C42,#REF!,5,0))</f>
        <v>0</v>
      </c>
      <c r="I42" s="224">
        <f t="shared" si="20"/>
        <v>0</v>
      </c>
      <c r="J42" s="224">
        <f t="shared" si="21"/>
        <v>0</v>
      </c>
      <c r="K42" s="224">
        <f t="shared" si="22"/>
        <v>0</v>
      </c>
      <c r="L42" s="224">
        <f>IF(ISERROR(VLOOKUP(C42,#REF!,6,0)),0,VLOOKUP(C42,#REF!,6,0))</f>
        <v>0</v>
      </c>
      <c r="M42" s="224">
        <f>IF(ISERROR(VLOOKUP(C42,#REF!,7,0)),0,VLOOKUP(C42,#REF!,7,0))</f>
        <v>0</v>
      </c>
      <c r="N42" s="174"/>
      <c r="O42" s="174" t="str">
        <f>IF(ISERROR(VLOOKUP(N42,POA!$A$2:$C$16,3,0)),"",VLOOKUP(N42,POA!$A$2:$C$16,3,0))</f>
        <v/>
      </c>
      <c r="P42" s="268"/>
      <c r="Q42" s="268" t="str">
        <f>IF(ISERROR(VLOOKUP(P42,POA!$A$2:$F$16,4,0)),"",VLOOKUP(P42,POA!$A$2:$F$16,4,0))</f>
        <v/>
      </c>
      <c r="R42" s="269" t="str">
        <f>IF(ISERROR(VLOOKUP(N42,POA!$A$2:$C$16,2,0)),"",VLOOKUP(N42,POA!$A$2:$C$16,2,0))</f>
        <v/>
      </c>
      <c r="S42" s="270"/>
      <c r="T42" s="271" t="str">
        <f>IF(OR(S34=0,N42="",R42=""),"",IF(S34&gt;=(0.4*R42),"HABIL","NO HABIL"))</f>
        <v/>
      </c>
      <c r="U42" s="270"/>
      <c r="V42" s="271" t="str">
        <f>IF(OR(U34=0,N42="",R42=""),"",IF(U34&gt;=(0.5*R42),"HABIL","NO HABIL"))</f>
        <v/>
      </c>
      <c r="W42" s="270"/>
      <c r="X42" s="271" t="str">
        <f>IF(OR(W34=0,N42="",R42=""),"",IF(W34&gt;=$X$9,"HABIL","NO HABIL"))</f>
        <v/>
      </c>
      <c r="Y42" s="272"/>
      <c r="Z42" s="271" t="str">
        <f>IF(OR(Y34=0,N42="",R42=""),"",IF(Y34&lt;=$Z$9,"HABIL","NO HABIL"))</f>
        <v/>
      </c>
      <c r="AA42" s="268">
        <v>0</v>
      </c>
      <c r="AB42" s="268"/>
      <c r="AC42" s="271" t="str">
        <f>IF(OR(AB34=0,N42="",R42=""),"",IF(AB34&gt;=$AC$9,"HABIL","NO HABIL"))</f>
        <v/>
      </c>
      <c r="AD42" s="271" t="str">
        <f t="shared" si="10"/>
        <v/>
      </c>
      <c r="AE42" s="119">
        <f t="shared" si="23"/>
        <v>0</v>
      </c>
      <c r="AF42" s="110" t="str">
        <f t="shared" si="24"/>
        <v>MIPYME</v>
      </c>
      <c r="AG42" s="273"/>
      <c r="AH42" s="271" t="str">
        <f>IF(OR(AG34=0,N42="",R42=""),"",IF(AG34&gt;=$AH$9,"HABIL","NO HABIL"))</f>
        <v/>
      </c>
      <c r="AI42" s="273"/>
      <c r="AJ42" s="271" t="str">
        <f>IF(OR(AI34=0,N42="",R42=""),"",IF(AI34&gt;=$AJ$9,"HABIL","NO HABIL"))</f>
        <v/>
      </c>
      <c r="AK42" s="123" t="str">
        <f t="shared" si="25"/>
        <v/>
      </c>
    </row>
    <row r="43" spans="2:37" ht="23.25" hidden="1" customHeight="1" x14ac:dyDescent="0.25">
      <c r="B43" s="267" t="str">
        <f>IF(C43="","",B42+0.1)</f>
        <v/>
      </c>
      <c r="C43" s="250"/>
      <c r="D43" s="233"/>
      <c r="E43" s="224">
        <f>IF(ISERROR(VLOOKUP(C43,#REF!,2,0)),0,VLOOKUP(C43,#REF!,2,0))</f>
        <v>0</v>
      </c>
      <c r="F43" s="224">
        <f>IF(ISERROR(VLOOKUP(C43,#REF!,3,0)),0,VLOOKUP(C43,#REF!,3,0))</f>
        <v>0</v>
      </c>
      <c r="G43" s="224">
        <f>IF(ISERROR(VLOOKUP(C43,#REF!,4,0)),0,VLOOKUP(C43,#REF!,4,0))</f>
        <v>0</v>
      </c>
      <c r="H43" s="224">
        <f>IF(ISERROR(VLOOKUP(C43,#REF!,5,0)),0,VLOOKUP(C43,#REF!,5,0))</f>
        <v>0</v>
      </c>
      <c r="I43" s="224">
        <f t="shared" si="20"/>
        <v>0</v>
      </c>
      <c r="J43" s="224">
        <f t="shared" si="21"/>
        <v>0</v>
      </c>
      <c r="K43" s="224">
        <f t="shared" si="22"/>
        <v>0</v>
      </c>
      <c r="L43" s="224">
        <f>IF(ISERROR(VLOOKUP(C43,#REF!,6,0)),0,VLOOKUP(C43,#REF!,6,0))</f>
        <v>0</v>
      </c>
      <c r="M43" s="224">
        <f>IF(ISERROR(VLOOKUP(C43,#REF!,7,0)),0,VLOOKUP(C43,#REF!,7,0))</f>
        <v>0</v>
      </c>
      <c r="N43" s="174"/>
      <c r="O43" s="174" t="str">
        <f>IF(ISERROR(VLOOKUP(N43,POA!$A$2:$C$16,3,0)),"",VLOOKUP(N43,POA!$A$2:$C$16,3,0))</f>
        <v/>
      </c>
      <c r="P43" s="268"/>
      <c r="Q43" s="268" t="str">
        <f>IF(ISERROR(VLOOKUP(P43,POA!$A$2:$F$16,4,0)),"",VLOOKUP(P43,POA!$A$2:$F$16,4,0))</f>
        <v/>
      </c>
      <c r="R43" s="269" t="str">
        <f>IF(ISERROR(VLOOKUP(N43,POA!$A$2:$C$16,2,0)),"",VLOOKUP(N43,POA!$A$2:$C$16,2,0))</f>
        <v/>
      </c>
      <c r="S43" s="270"/>
      <c r="T43" s="271" t="str">
        <f>IF(OR(S34=0,N43="",R43=""),"",IF(S34&gt;=(0.4*R43),"HABIL","NO HABIL"))</f>
        <v/>
      </c>
      <c r="U43" s="270"/>
      <c r="V43" s="271" t="str">
        <f>IF(OR(U34=0,N43="",R43=""),"",IF(U34&gt;=(0.5*R43),"HABIL","NO HABIL"))</f>
        <v/>
      </c>
      <c r="W43" s="270"/>
      <c r="X43" s="271" t="str">
        <f>IF(OR(W34=0,N43="",R43=""),"",IF(W34&gt;=$X$9,"HABIL","NO HABIL"))</f>
        <v/>
      </c>
      <c r="Y43" s="272"/>
      <c r="Z43" s="271" t="str">
        <f>IF(OR(Y34=0,N43="",R43=""),"",IF(Y34&lt;=$Z$9,"HABIL","NO HABIL"))</f>
        <v/>
      </c>
      <c r="AA43" s="268">
        <v>0</v>
      </c>
      <c r="AB43" s="268"/>
      <c r="AC43" s="271" t="str">
        <f>IF(OR(AB34=0,N43="",R43=""),"",IF(AB34&gt;=$AC$9,"HABIL","NO HABIL"))</f>
        <v/>
      </c>
      <c r="AD43" s="271" t="str">
        <f t="shared" si="10"/>
        <v/>
      </c>
      <c r="AE43" s="119">
        <f t="shared" si="23"/>
        <v>0</v>
      </c>
      <c r="AF43" s="110" t="str">
        <f t="shared" si="24"/>
        <v>MIPYME</v>
      </c>
      <c r="AG43" s="273"/>
      <c r="AH43" s="271" t="str">
        <f>IF(OR(AG34=0,N43="",R43=""),"",IF(AG34&gt;=$AH$9,"HABIL","NO HABIL"))</f>
        <v/>
      </c>
      <c r="AI43" s="273"/>
      <c r="AJ43" s="271" t="str">
        <f>IF(OR(AI34=0,N43="",R43=""),"",IF(AI34&gt;=$AJ$9,"HABIL","NO HABIL"))</f>
        <v/>
      </c>
      <c r="AK43" s="123" t="str">
        <f t="shared" si="25"/>
        <v/>
      </c>
    </row>
    <row r="44" spans="2:37" ht="23.25" hidden="1" customHeight="1" thickBot="1" x14ac:dyDescent="0.3">
      <c r="B44" s="267" t="str">
        <f>IF(C44="","",B43+0.1)</f>
        <v/>
      </c>
      <c r="C44" s="250"/>
      <c r="D44" s="101"/>
      <c r="E44" s="73">
        <f>IF(ISERROR(VLOOKUP(C44,#REF!,2,0)),0,VLOOKUP(C44,#REF!,2,0))</f>
        <v>0</v>
      </c>
      <c r="F44" s="73">
        <f>IF(ISERROR(VLOOKUP(C44,#REF!,3,0)),0,VLOOKUP(C44,#REF!,3,0))</f>
        <v>0</v>
      </c>
      <c r="G44" s="73">
        <f>IF(ISERROR(VLOOKUP(C44,#REF!,4,0)),0,VLOOKUP(C44,#REF!,4,0))</f>
        <v>0</v>
      </c>
      <c r="H44" s="73">
        <f>IF(ISERROR(VLOOKUP(C44,#REF!,5,0)),0,VLOOKUP(C44,#REF!,5,0))</f>
        <v>0</v>
      </c>
      <c r="I44" s="73">
        <f t="shared" si="20"/>
        <v>0</v>
      </c>
      <c r="J44" s="73">
        <f t="shared" si="21"/>
        <v>0</v>
      </c>
      <c r="K44" s="73">
        <f t="shared" si="22"/>
        <v>0</v>
      </c>
      <c r="L44" s="73">
        <f>IF(ISERROR(VLOOKUP(C44,#REF!,6,0)),0,VLOOKUP(C44,#REF!,6,0))</f>
        <v>0</v>
      </c>
      <c r="M44" s="73">
        <f>IF(ISERROR(VLOOKUP(C44,#REF!,7,0)),0,VLOOKUP(C44,#REF!,7,0))</f>
        <v>0</v>
      </c>
      <c r="N44" s="175"/>
      <c r="O44" s="175" t="str">
        <f>IF(ISERROR(VLOOKUP(N44,POA!$A$2:$C$16,3,0)),"",VLOOKUP(N44,POA!$A$2:$C$16,3,0))</f>
        <v/>
      </c>
      <c r="P44" s="82"/>
      <c r="Q44" s="82" t="str">
        <f>IF(ISERROR(VLOOKUP(P44,POA!$A$2:$F$16,4,0)),"",VLOOKUP(P44,POA!$A$2:$F$16,4,0))</f>
        <v/>
      </c>
      <c r="R44" s="77" t="str">
        <f>IF(ISERROR(VLOOKUP(N44,POA!$A$2:$C$16,2,0)),"",VLOOKUP(N44,POA!$A$2:$C$16,2,0))</f>
        <v/>
      </c>
      <c r="S44" s="84"/>
      <c r="T44" s="83" t="str">
        <f>IF(OR(S34=0,N44="",R44=""),"",IF(S34&gt;=(0.4*R44),"HABIL","NO HABIL"))</f>
        <v/>
      </c>
      <c r="U44" s="84"/>
      <c r="V44" s="83" t="str">
        <f>IF(OR(U34=0,N44="",R44=""),"",IF(U34&gt;=(0.5*R44),"HABIL","NO HABIL"))</f>
        <v/>
      </c>
      <c r="W44" s="84"/>
      <c r="X44" s="83" t="str">
        <f>IF(OR(W34=0,N44="",R44=""),"",IF(W34&gt;=$X$9,"HABIL","NO HABIL"))</f>
        <v/>
      </c>
      <c r="Y44" s="118"/>
      <c r="Z44" s="83" t="str">
        <f>IF(OR(Y34=0,N44="",R44=""),"",IF(Y34&lt;=$Z$9,"HABIL","NO HABIL"))</f>
        <v/>
      </c>
      <c r="AA44" s="82">
        <v>0</v>
      </c>
      <c r="AB44" s="82"/>
      <c r="AC44" s="83" t="str">
        <f>IF(OR(AB34=0,N44="",R44=""),"",IF(AB34&gt;=$AC$9,"HABIL","NO HABIL"))</f>
        <v/>
      </c>
      <c r="AD44" s="83" t="str">
        <f t="shared" si="10"/>
        <v/>
      </c>
      <c r="AE44" s="121">
        <f t="shared" si="23"/>
        <v>0</v>
      </c>
      <c r="AF44" s="111" t="str">
        <f t="shared" si="24"/>
        <v>MIPYME</v>
      </c>
      <c r="AG44" s="131"/>
      <c r="AH44" s="83" t="str">
        <f>IF(OR(AG34=0,N44="",R44=""),"",IF(AG34&gt;=$AH$9,"HABIL","NO HABIL"))</f>
        <v/>
      </c>
      <c r="AI44" s="131"/>
      <c r="AJ44" s="83" t="str">
        <f>IF(OR(AI34=0,N44="",R44=""),"",IF(AI34&gt;=$AJ$9,"HABIL","NO HABIL"))</f>
        <v/>
      </c>
      <c r="AK44" s="124" t="str">
        <f t="shared" si="25"/>
        <v/>
      </c>
    </row>
    <row r="45" spans="2:37" ht="23.25" customHeight="1" x14ac:dyDescent="0.25">
      <c r="B45" s="274">
        <v>4</v>
      </c>
      <c r="C45" s="249" t="s">
        <v>256</v>
      </c>
      <c r="D45" s="99">
        <f>IF(SUM(D46:D55)=0,"",SUM(D46:D55))</f>
        <v>1</v>
      </c>
      <c r="E45" s="80">
        <f>IF(ISERROR(($D46*E46)+($D47*E47)+($D48*E48)+($D49*E49)+($D50*E50)+($D51*E51)+($D52*E52)+($D53*E53)+($D54*E54)+($D55*E55)),"",($D46*E46)+($D47*E47)+($D48*E48)+($D49*E49)+($D50*E50)+($D51*E51)+($D52*E52)+($D53*E53)+($D54*E54)+($D55*E55))</f>
        <v>521536304.80000001</v>
      </c>
      <c r="F45" s="80">
        <f>IF(ISERROR(($D46*F46)+($D47*F47)+($D48*F48)+($D49*F49)+($D50*F50)+($D51*F51)+($D52*F52)+($D53*F53)+($D54*F54)+($D55*F55)),"",($D46*F46)+($D47*F47)+($D48*F48)+($D49*F49)+($D50*F50)+($D51*F51)+($D52*F52)+($D53*F53)+($D54*F54)+($D55*F55))</f>
        <v>2107613504.8</v>
      </c>
      <c r="G45" s="80">
        <f>IF(ISERROR(($D46*G46)+($D47*G47)+($D48*G48)+($D49*G49)+($D50*G50)+($D51*G51)+($D52*G52)+($D53*G53)+($D54*G54)+($D55*G55)),"",($D46*G46)+($D47*G47)+($D48*G48)+($D49*G49)+($D50*G50)+($D51*G51)+($D52*G52)+($D53*G53)+($D54*G54)+($D55*G55))</f>
        <v>106683022.8</v>
      </c>
      <c r="H45" s="80">
        <f>IF(ISERROR(($D46*H46)+($D47*H47)+($D48*H48)+($D49*H49)+($D50*H50)+($D51*H51)+($D52*H52)+($D53*H53)+($D54*H54)+($D55*H55)),"",($D46*H46)+($D47*H47)+($D48*H48)+($D49*H49)+($D50*H50)+($D51*H51)+($D52*H52)+($D53*H53)+($D54*H54)+($D55*H55))</f>
        <v>106683022.8</v>
      </c>
      <c r="I45" s="80">
        <f>IF(ISERROR(SUM(I46:I55)),"",SUM(I46:I55))</f>
        <v>469836980</v>
      </c>
      <c r="J45" s="80">
        <f>IF(ISERROR(SUM(J46:J55)),"",SUM(J46:J55))</f>
        <v>2232144980</v>
      </c>
      <c r="K45" s="80">
        <f>IF(ISERROR(($D46*K46)+($D47*K47)+($D48*K48)+($D49*K49)+($D50*K50)+($D51*K51)+($D52*K52)+($D53*K53)+($D54*K54)+($D55*K55)),"",($D46*K46)+($D47*K47)+($D48*K48)+($D49*K49)+($D50*K50)+($D51*K51)+($D52*K52)+($D53*K53)+($D54*K54)+($D55*K55))</f>
        <v>2000930482</v>
      </c>
      <c r="L45" s="80">
        <f>IF(ISERROR(($D46*L46)+($D47*L47)+($D48*L48)+($D49*L49)+($D50*L50)+($D51*L51)+($D52*L52)+($D53*L53)+($D54*L54)+($D55*L55)),"",($D46*L46)+($D47*L47)+($D48*L48)+($D49*L49)+($D50*L50)+($D51*L51)+($D52*L52)+($D53*L53)+($D54*L54)+($D55*L55))</f>
        <v>237566057.40000001</v>
      </c>
      <c r="M45" s="80">
        <f>IF(ISERROR(($D46*M46)+($D47*M47)+($D48*M48)+($D49*M49)+($D50*M50)+($D51*M51)+($D52*M52)+($D53*M53)+($D54*M54)+($D55*M55)),"",($D46*M46)+($D47*M47)+($D48*M48)+($D49*M49)+($D50*M50)+($D51*M51)+($D52*M52)+($D53*M53)+($D54*M54)+($D55*M55))</f>
        <v>4286291.4000000004</v>
      </c>
      <c r="N45" s="75">
        <v>1</v>
      </c>
      <c r="O45" s="226">
        <f>IF(ISERROR(VLOOKUP(N45,POA!$A$2:$C$16,3,0)),"",VLOOKUP(N45,POA!$A$2:$C$16,3,0))</f>
        <v>4</v>
      </c>
      <c r="P45" s="102"/>
      <c r="Q45" s="75">
        <f>+SUM(Q46:Q55)</f>
        <v>0</v>
      </c>
      <c r="R45" s="76">
        <f>IF(ISERROR(VLOOKUP(N45,POA!$A$2:$C$16,2,0)),"",VLOOKUP(N45,POA!$A$2:$C$16,2,0))</f>
        <v>765000000</v>
      </c>
      <c r="S45" s="80">
        <f>SUM(I45)</f>
        <v>469836980</v>
      </c>
      <c r="T45" s="81" t="str">
        <f>IF(OR(S45=0,N45="",R45=""),"",IF(S45&gt;=(R45/O45),"HABIL","NO HABIL"))</f>
        <v>HABIL</v>
      </c>
      <c r="U45" s="80">
        <f>SUM(J45)</f>
        <v>2232144980</v>
      </c>
      <c r="V45" s="81" t="str">
        <f>IF(OR(U45=0,N45="",R45=""),"",IF(U45&gt;=(10%*R45),"HABIL","NO HABIL"))</f>
        <v>HABIL</v>
      </c>
      <c r="W45" s="80">
        <f>IF(ISERROR(SUM(E45/G45)),0,SUM(E45/G45))</f>
        <v>4.8886532375233749</v>
      </c>
      <c r="X45" s="81" t="str">
        <f>IF(OR(W45=0,N45="",R45=""),"",IF(W45&gt;=$X$9,"HABIL","NO HABIL"))</f>
        <v>HABIL</v>
      </c>
      <c r="Y45" s="231">
        <f>IF(ISERROR(SUM(H45/F45)),0,SUM(H45/F45))</f>
        <v>5.0617925230140137E-2</v>
      </c>
      <c r="Z45" s="81" t="str">
        <f>IF(OR(Y45=0,N45="",R45=""),"",IF(Y45&lt;=$Z$9,"HABIL","NO HABIL"))</f>
        <v>HABIL</v>
      </c>
      <c r="AA45" s="75">
        <f>+SUM(AA46:AA55)</f>
        <v>0</v>
      </c>
      <c r="AB45" s="231">
        <f>IF(ISERROR(SUM(L45/M45)),0,SUM(L45/M45))</f>
        <v>55.424616581131183</v>
      </c>
      <c r="AC45" s="81" t="str">
        <f>IF(OR(AB45=0,N45="",R45=""),"",IF(AB45&gt;=$AC$9,"HABIL","NO HABIL"))</f>
        <v>HABIL</v>
      </c>
      <c r="AD45" s="81" t="str">
        <f t="shared" si="10"/>
        <v>HABIL</v>
      </c>
      <c r="AE45" s="120"/>
      <c r="AF45" s="109"/>
      <c r="AG45" s="231">
        <f>IF(ISERROR(SUM(L45/K45)),0,SUM(L45/K45))</f>
        <v>0.11872779166347869</v>
      </c>
      <c r="AH45" s="81" t="str">
        <f>IF(OR(AG45=0,N45="",R45=""),"",IF(AG45&gt;=$AH$9,"HABIL","NO HABIL"))</f>
        <v>HABIL</v>
      </c>
      <c r="AI45" s="231">
        <f>IF(ISERROR(SUM(L45/F45)),0,SUM(L45/F45))</f>
        <v>0.11271803718231707</v>
      </c>
      <c r="AJ45" s="81" t="str">
        <f>IF(OR(AI45=0,N45="",R45=""),"",IF(AI45&gt;=$AJ$9,"HABIL","NO HABIL"))</f>
        <v>HABIL</v>
      </c>
      <c r="AK45" s="122" t="str">
        <f t="shared" si="25"/>
        <v>HABIL</v>
      </c>
    </row>
    <row r="46" spans="2:37" ht="23.25" customHeight="1" x14ac:dyDescent="0.25">
      <c r="B46" s="267">
        <f t="shared" ref="B46:B51" si="26">IF(C46="","",B45+0.1)</f>
        <v>4.0999999999999996</v>
      </c>
      <c r="C46" s="252" t="s">
        <v>257</v>
      </c>
      <c r="D46" s="233">
        <v>0.1</v>
      </c>
      <c r="E46" s="224">
        <v>10000000</v>
      </c>
      <c r="F46" s="224">
        <v>10000000</v>
      </c>
      <c r="G46" s="224">
        <v>0</v>
      </c>
      <c r="H46" s="224">
        <v>0</v>
      </c>
      <c r="I46" s="224">
        <f t="shared" ref="I46:I55" si="27">IF(ISERROR(E46-G46),"",E46-G46)</f>
        <v>10000000</v>
      </c>
      <c r="J46" s="224">
        <f t="shared" ref="J46:J55" si="28">IF(ISERROR(F46-H46),"",F46-H46)</f>
        <v>10000000</v>
      </c>
      <c r="K46" s="224">
        <f t="shared" ref="K46:K55" si="29">IF(ISERROR(F46-H46),"",F46-H46)</f>
        <v>10000000</v>
      </c>
      <c r="L46" s="224">
        <v>0</v>
      </c>
      <c r="M46" s="224">
        <v>0</v>
      </c>
      <c r="N46" s="176"/>
      <c r="O46" s="227" t="str">
        <f>IF(ISERROR(VLOOKUP(N46,POA!$A$2:$C$16,3,0)),"",VLOOKUP(N46,POA!$A$2:$C$16,3,0))</f>
        <v/>
      </c>
      <c r="P46" s="268"/>
      <c r="Q46" s="268" t="str">
        <f>IF(ISERROR(VLOOKUP(P46,POA!$A$2:$F$16,4,0)),"",VLOOKUP(P46,POA!$A$2:$F$16,4,0))</f>
        <v/>
      </c>
      <c r="R46" s="269" t="str">
        <f>IF(ISERROR(VLOOKUP(N46,POA!$A$2:$C$16,2,0)),"",VLOOKUP(N46,POA!$A$2:$C$16,2,0))</f>
        <v/>
      </c>
      <c r="S46" s="270"/>
      <c r="T46" s="271" t="str">
        <f>IF(OR(S45=0,N46="",R46=""),"",IF(S45&gt;=(0.4*R46),"HABIL","NO HABIL"))</f>
        <v/>
      </c>
      <c r="U46" s="270"/>
      <c r="V46" s="271" t="str">
        <f>IF(OR(U45=0,N46="",R46=""),"",IF(U45&gt;=(0.5*R46),"HABIL","NO HABIL"))</f>
        <v/>
      </c>
      <c r="W46" s="270"/>
      <c r="X46" s="271" t="str">
        <f>IF(OR(W45=0,N46="",R46=""),"",IF(W45&gt;=$X$9,"HABIL","NO HABIL"))</f>
        <v/>
      </c>
      <c r="Y46" s="272"/>
      <c r="Z46" s="271" t="str">
        <f>IF(OR(Y45=0,N46="",R46=""),"",IF(Y45&lt;=$Z$9,"HABIL","NO HABIL"))</f>
        <v/>
      </c>
      <c r="AA46" s="268" t="s">
        <v>246</v>
      </c>
      <c r="AB46" s="268"/>
      <c r="AC46" s="271" t="str">
        <f>IF(OR(AB45=0,N46="",R46=""),"",IF(AB45&gt;=$AC$9,"HABIL","NO HABIL"))</f>
        <v/>
      </c>
      <c r="AD46" s="271" t="str">
        <f t="shared" si="10"/>
        <v/>
      </c>
      <c r="AE46" s="119">
        <f t="shared" ref="AE46:AE55" si="30">IF(ISERROR(F46/$AF$9),"",F46/$AF$9)</f>
        <v>17.646020822304571</v>
      </c>
      <c r="AF46" s="110" t="str">
        <f>+IF(AE46&lt;$AF$10,"MIPYME","NO CUMPLE")</f>
        <v>MIPYME</v>
      </c>
      <c r="AG46" s="273"/>
      <c r="AH46" s="271" t="str">
        <f>IF(OR(AG45=0,N46="",R46=""),"",IF(AG45&gt;=$AH$9,"HABIL","NO HABIL"))</f>
        <v/>
      </c>
      <c r="AI46" s="273"/>
      <c r="AJ46" s="271" t="str">
        <f>IF(OR(AI45=0,N46="",R46=""),"",IF(AI45&gt;=$AJ$9,"HABIL","NO HABIL"))</f>
        <v/>
      </c>
      <c r="AK46" s="125" t="str">
        <f>IF(OR(AH46="",AJ46=""),"",IF(AH46="NO HABIL","NO HABIL",IF(AJ46="NO HABIL","NO HABIL",IF(AJ46="NO HABIL","NO HABIL","HABIL"))))</f>
        <v/>
      </c>
    </row>
    <row r="47" spans="2:37" ht="23.25" customHeight="1" thickBot="1" x14ac:dyDescent="0.3">
      <c r="B47" s="275">
        <f t="shared" si="26"/>
        <v>4.1999999999999993</v>
      </c>
      <c r="C47" s="276" t="s">
        <v>258</v>
      </c>
      <c r="D47" s="101">
        <v>0.9</v>
      </c>
      <c r="E47" s="73">
        <v>578373672</v>
      </c>
      <c r="F47" s="73">
        <v>2340681672</v>
      </c>
      <c r="G47" s="73">
        <v>118536692</v>
      </c>
      <c r="H47" s="73">
        <v>118536692</v>
      </c>
      <c r="I47" s="73">
        <f t="shared" si="27"/>
        <v>459836980</v>
      </c>
      <c r="J47" s="73">
        <f t="shared" si="28"/>
        <v>2222144980</v>
      </c>
      <c r="K47" s="73">
        <f t="shared" si="29"/>
        <v>2222144980</v>
      </c>
      <c r="L47" s="73">
        <v>263962286</v>
      </c>
      <c r="M47" s="73">
        <v>4762546</v>
      </c>
      <c r="N47" s="175"/>
      <c r="O47" s="175" t="str">
        <f>IF(ISERROR(VLOOKUP(N47,POA!$A$2:$C$16,3,0)),"",VLOOKUP(N47,POA!$A$2:$C$16,3,0))</f>
        <v/>
      </c>
      <c r="P47" s="82"/>
      <c r="Q47" s="82" t="str">
        <f>IF(ISERROR(VLOOKUP(P47,POA!$A$2:$F$16,4,0)),"",VLOOKUP(P47,POA!$A$2:$F$16,4,0))</f>
        <v/>
      </c>
      <c r="R47" s="77" t="str">
        <f>IF(ISERROR(VLOOKUP(N47,POA!$A$2:$C$16,2,0)),"",VLOOKUP(N47,POA!$A$2:$C$16,2,0))</f>
        <v/>
      </c>
      <c r="S47" s="84"/>
      <c r="T47" s="83" t="str">
        <f>IF(OR(S45=0,N47="",R47=""),"",IF(S45&gt;=(0.4*R47),"HABIL","NO HABIL"))</f>
        <v/>
      </c>
      <c r="U47" s="84"/>
      <c r="V47" s="83" t="str">
        <f>IF(OR(U45=0,N47="",R47=""),"",IF(U45&gt;=(0.5*R47),"HABIL","NO HABIL"))</f>
        <v/>
      </c>
      <c r="W47" s="84"/>
      <c r="X47" s="83" t="str">
        <f>IF(OR(W45=0,N47="",R47=""),"",IF(W45&gt;=$X$9,"HABIL","NO HABIL"))</f>
        <v/>
      </c>
      <c r="Y47" s="118"/>
      <c r="Z47" s="83" t="str">
        <f>IF(OR(Y45=0,N47="",R47=""),"",IF(Y45&lt;=$Z$9,"HABIL","NO HABIL"))</f>
        <v/>
      </c>
      <c r="AA47" s="82" t="s">
        <v>246</v>
      </c>
      <c r="AB47" s="82"/>
      <c r="AC47" s="83" t="str">
        <f>IF(OR(AB45=0,N47="",R47=""),"",IF(AB45&gt;=$AC$9,"HABIL","NO HABIL"))</f>
        <v/>
      </c>
      <c r="AD47" s="83" t="str">
        <f t="shared" si="10"/>
        <v/>
      </c>
      <c r="AE47" s="121">
        <f t="shared" si="30"/>
        <v>4130.3717522498673</v>
      </c>
      <c r="AF47" s="111" t="str">
        <f t="shared" ref="AF47:AF55" si="31">+IF(AE47&lt;$AF$10,"MIPYME","NO CUMPLE")</f>
        <v>MIPYME</v>
      </c>
      <c r="AG47" s="131"/>
      <c r="AH47" s="83" t="str">
        <f>IF(OR(AG45=0,N47="",R47=""),"",IF(AG45&gt;=$AH$9,"HABIL","NO HABIL"))</f>
        <v/>
      </c>
      <c r="AI47" s="131"/>
      <c r="AJ47" s="83" t="str">
        <f>IF(OR(AI45=0,N47="",R47=""),"",IF(AI45&gt;=$AJ$9,"HABIL","NO HABIL"))</f>
        <v/>
      </c>
      <c r="AK47" s="277" t="str">
        <f t="shared" ref="AK47:AK55" si="32">IF(OR(AH47="",AJ47=""),"",IF(AH47="NO HABIL","NO HABIL",IF(AJ47="NO HABIL","NO HABIL",IF(AJ47="NO HABIL","NO HABIL","HABIL"))))</f>
        <v/>
      </c>
    </row>
    <row r="48" spans="2:37" ht="18" hidden="1" customHeight="1" x14ac:dyDescent="0.25">
      <c r="B48" s="254" t="str">
        <f t="shared" si="26"/>
        <v/>
      </c>
      <c r="C48" s="255"/>
      <c r="D48" s="255"/>
      <c r="E48" s="256">
        <f>IF(ISERROR(VLOOKUP(C48,#REF!,2,0)),0,VLOOKUP(C48,#REF!,2,0))</f>
        <v>0</v>
      </c>
      <c r="F48" s="256">
        <f>IF(ISERROR(VLOOKUP(C48,#REF!,3,0)),0,VLOOKUP(C48,#REF!,3,0))</f>
        <v>0</v>
      </c>
      <c r="G48" s="256">
        <f>IF(ISERROR(VLOOKUP(C48,#REF!,4,0)),0,VLOOKUP(C48,#REF!,4,0))</f>
        <v>0</v>
      </c>
      <c r="H48" s="256">
        <f>IF(ISERROR(VLOOKUP(C48,#REF!,5,0)),0,VLOOKUP(C48,#REF!,5,0))</f>
        <v>0</v>
      </c>
      <c r="I48" s="256">
        <f t="shared" si="27"/>
        <v>0</v>
      </c>
      <c r="J48" s="256">
        <f t="shared" si="28"/>
        <v>0</v>
      </c>
      <c r="K48" s="256">
        <f t="shared" si="29"/>
        <v>0</v>
      </c>
      <c r="L48" s="256">
        <f>IF(ISERROR(VLOOKUP(C48,#REF!,6,0)),0,VLOOKUP(C48,#REF!,6,0))</f>
        <v>0</v>
      </c>
      <c r="M48" s="256">
        <f>IF(ISERROR(VLOOKUP(C48,#REF!,7,0)),0,VLOOKUP(C48,#REF!,7,0))</f>
        <v>0</v>
      </c>
      <c r="N48" s="176"/>
      <c r="O48" s="176" t="str">
        <f>IF(ISERROR(VLOOKUP(N48,POA!$A$2:$C$16,3,0)),"",VLOOKUP(N48,POA!$A$2:$C$16,3,0))</f>
        <v/>
      </c>
      <c r="P48" s="257"/>
      <c r="Q48" s="257" t="str">
        <f>IF(ISERROR(VLOOKUP(P48,POA!$A$2:$F$16,4,0)),"",VLOOKUP(P48,POA!$A$2:$F$16,4,0))</f>
        <v/>
      </c>
      <c r="R48" s="258" t="str">
        <f>IF(ISERROR(VLOOKUP(N48,POA!$A$2:$C$16,2,0)),"",VLOOKUP(N48,POA!$A$2:$C$16,2,0))</f>
        <v/>
      </c>
      <c r="S48" s="259"/>
      <c r="T48" s="260" t="str">
        <f>IF(OR(S45=0,N48="",R48=""),"",IF(S45&gt;=(0.4*R48),"HABIL","NO HABIL"))</f>
        <v/>
      </c>
      <c r="U48" s="259"/>
      <c r="V48" s="260" t="str">
        <f>IF(OR(U45=0,N48="",R48=""),"",IF(U45&gt;=(0.5*R48),"HABIL","NO HABIL"))</f>
        <v/>
      </c>
      <c r="W48" s="259"/>
      <c r="X48" s="260" t="str">
        <f>IF(OR(W45=0,N48="",R48=""),"",IF(W45&gt;=$X$9,"HABIL","NO HABIL"))</f>
        <v/>
      </c>
      <c r="Y48" s="261"/>
      <c r="Z48" s="260" t="str">
        <f>IF(OR(Y45=0,N48="",R48=""),"",IF(Y45&lt;=$Z$9,"HABIL","NO HABIL"))</f>
        <v/>
      </c>
      <c r="AA48" s="257">
        <v>0</v>
      </c>
      <c r="AB48" s="257"/>
      <c r="AC48" s="260" t="str">
        <f>IF(OR(AB45=0,N48="",R48=""),"",IF(AB45&gt;=$AC$9,"HABIL","NO HABIL"))</f>
        <v/>
      </c>
      <c r="AD48" s="260" t="str">
        <f t="shared" si="10"/>
        <v/>
      </c>
      <c r="AE48" s="262">
        <f t="shared" si="30"/>
        <v>0</v>
      </c>
      <c r="AF48" s="263" t="str">
        <f t="shared" si="31"/>
        <v>MIPYME</v>
      </c>
      <c r="AG48" s="264"/>
      <c r="AH48" s="260" t="str">
        <f>IF(OR(AG45=0,N48="",R48=""),"",IF(AG45&gt;=$AH$9,"HABIL","NO HABIL"))</f>
        <v/>
      </c>
      <c r="AI48" s="264"/>
      <c r="AJ48" s="260" t="str">
        <f>IF(OR(AI45=0,N48="",R48=""),"",IF(AI45&gt;=$AJ$9,"HABIL","NO HABIL"))</f>
        <v/>
      </c>
      <c r="AK48" s="123" t="str">
        <f t="shared" si="32"/>
        <v/>
      </c>
    </row>
    <row r="49" spans="2:37" ht="18" hidden="1" customHeight="1" x14ac:dyDescent="0.25">
      <c r="B49" s="71" t="str">
        <f t="shared" si="26"/>
        <v/>
      </c>
      <c r="C49" s="100"/>
      <c r="D49" s="233"/>
      <c r="E49" s="70">
        <f>IF(ISERROR(VLOOKUP(C49,#REF!,2,0)),0,VLOOKUP(C49,#REF!,2,0))</f>
        <v>0</v>
      </c>
      <c r="F49" s="70">
        <f>IF(ISERROR(VLOOKUP(C49,#REF!,3,0)),0,VLOOKUP(C49,#REF!,3,0))</f>
        <v>0</v>
      </c>
      <c r="G49" s="70">
        <f>IF(ISERROR(VLOOKUP(C49,#REF!,4,0)),0,VLOOKUP(C49,#REF!,4,0))</f>
        <v>0</v>
      </c>
      <c r="H49" s="70">
        <f>IF(ISERROR(VLOOKUP(C49,#REF!,5,0)),0,VLOOKUP(C49,#REF!,5,0))</f>
        <v>0</v>
      </c>
      <c r="I49" s="224">
        <f t="shared" si="27"/>
        <v>0</v>
      </c>
      <c r="J49" s="70">
        <f t="shared" si="28"/>
        <v>0</v>
      </c>
      <c r="K49" s="224">
        <f t="shared" si="29"/>
        <v>0</v>
      </c>
      <c r="L49" s="224">
        <f>IF(ISERROR(VLOOKUP(C49,#REF!,6,0)),0,VLOOKUP(C49,#REF!,6,0))</f>
        <v>0</v>
      </c>
      <c r="M49" s="224">
        <f>IF(ISERROR(VLOOKUP(C49,#REF!,7,0)),0,VLOOKUP(C49,#REF!,7,0))</f>
        <v>0</v>
      </c>
      <c r="N49" s="174"/>
      <c r="O49" s="174" t="str">
        <f>IF(ISERROR(VLOOKUP(N49,POA!$A$2:$C$16,3,0)),"",VLOOKUP(N49,POA!$A$2:$C$16,3,0))</f>
        <v/>
      </c>
      <c r="P49" s="72"/>
      <c r="Q49" s="72" t="str">
        <f>IF(ISERROR(VLOOKUP(P49,POA!$A$2:$F$16,4,0)),"",VLOOKUP(P49,POA!$A$2:$F$16,4,0))</f>
        <v/>
      </c>
      <c r="R49" s="74" t="str">
        <f>IF(ISERROR(VLOOKUP(N49,POA!$A$2:$C$16,2,0)),"",VLOOKUP(N49,POA!$A$2:$C$16,2,0))</f>
        <v/>
      </c>
      <c r="S49" s="79"/>
      <c r="T49" s="78" t="str">
        <f>IF(OR(S45=0,N49="",R49=""),"",IF(S45&gt;=(0.4*R49),"HABIL","NO HABIL"))</f>
        <v/>
      </c>
      <c r="U49" s="79"/>
      <c r="V49" s="78" t="str">
        <f>IF(OR(U45=0,N49="",R49=""),"",IF(U45&gt;=(0.5*R49),"HABIL","NO HABIL"))</f>
        <v/>
      </c>
      <c r="W49" s="79"/>
      <c r="X49" s="78" t="str">
        <f>IF(OR(W45=0,N49="",R49=""),"",IF(W45&gt;=$X$9,"HABIL","NO HABIL"))</f>
        <v/>
      </c>
      <c r="Y49" s="117"/>
      <c r="Z49" s="78" t="str">
        <f>IF(OR(Y45=0,N49="",R49=""),"",IF(Y45&lt;=$Z$9,"HABIL","NO HABIL"))</f>
        <v/>
      </c>
      <c r="AA49" s="72">
        <v>0</v>
      </c>
      <c r="AB49" s="72"/>
      <c r="AC49" s="78" t="str">
        <f>IF(OR(AB45=0,N49="",R49=""),"",IF(AB45&gt;=$AC$9,"HABIL","NO HABIL"))</f>
        <v/>
      </c>
      <c r="AD49" s="78" t="str">
        <f t="shared" si="10"/>
        <v/>
      </c>
      <c r="AE49" s="119">
        <f t="shared" si="30"/>
        <v>0</v>
      </c>
      <c r="AF49" s="110" t="str">
        <f t="shared" si="31"/>
        <v>MIPYME</v>
      </c>
      <c r="AG49" s="130"/>
      <c r="AH49" s="78" t="str">
        <f>IF(OR(AG45=0,N49="",R49=""),"",IF(AG45&gt;=$AH$9,"HABIL","NO HABIL"))</f>
        <v/>
      </c>
      <c r="AI49" s="130"/>
      <c r="AJ49" s="78" t="str">
        <f>IF(OR(AI45=0,N49="",R49=""),"",IF(AI45&gt;=$AJ$9,"HABIL","NO HABIL"))</f>
        <v/>
      </c>
      <c r="AK49" s="126" t="str">
        <f t="shared" si="32"/>
        <v/>
      </c>
    </row>
    <row r="50" spans="2:37" ht="18" hidden="1" customHeight="1" x14ac:dyDescent="0.25">
      <c r="B50" s="71" t="str">
        <f t="shared" si="26"/>
        <v/>
      </c>
      <c r="C50" s="100"/>
      <c r="D50" s="233"/>
      <c r="E50" s="70">
        <f>IF(ISERROR(VLOOKUP(C50,#REF!,2,0)),0,VLOOKUP(C50,#REF!,2,0))</f>
        <v>0</v>
      </c>
      <c r="F50" s="70">
        <f>IF(ISERROR(VLOOKUP(C50,#REF!,3,0)),0,VLOOKUP(C50,#REF!,3,0))</f>
        <v>0</v>
      </c>
      <c r="G50" s="70">
        <f>IF(ISERROR(VLOOKUP(C50,#REF!,4,0)),0,VLOOKUP(C50,#REF!,4,0))</f>
        <v>0</v>
      </c>
      <c r="H50" s="70">
        <f>IF(ISERROR(VLOOKUP(C50,#REF!,5,0)),0,VLOOKUP(C50,#REF!,5,0))</f>
        <v>0</v>
      </c>
      <c r="I50" s="224">
        <f t="shared" si="27"/>
        <v>0</v>
      </c>
      <c r="J50" s="70">
        <f t="shared" si="28"/>
        <v>0</v>
      </c>
      <c r="K50" s="224">
        <f t="shared" si="29"/>
        <v>0</v>
      </c>
      <c r="L50" s="224">
        <f>IF(ISERROR(VLOOKUP(C50,#REF!,6,0)),0,VLOOKUP(C50,#REF!,6,0))</f>
        <v>0</v>
      </c>
      <c r="M50" s="224">
        <f>IF(ISERROR(VLOOKUP(C50,#REF!,7,0)),0,VLOOKUP(C50,#REF!,7,0))</f>
        <v>0</v>
      </c>
      <c r="N50" s="174"/>
      <c r="O50" s="174" t="str">
        <f>IF(ISERROR(VLOOKUP(N50,POA!$A$2:$C$16,3,0)),"",VLOOKUP(N50,POA!$A$2:$C$16,3,0))</f>
        <v/>
      </c>
      <c r="P50" s="72"/>
      <c r="Q50" s="72" t="str">
        <f>IF(ISERROR(VLOOKUP(P50,POA!$A$2:$F$16,4,0)),"",VLOOKUP(P50,POA!$A$2:$F$16,4,0))</f>
        <v/>
      </c>
      <c r="R50" s="74" t="str">
        <f>IF(ISERROR(VLOOKUP(N50,POA!$A$2:$C$16,2,0)),"",VLOOKUP(N50,POA!$A$2:$C$16,2,0))</f>
        <v/>
      </c>
      <c r="S50" s="79"/>
      <c r="T50" s="78" t="str">
        <f>IF(OR(S45=0,N50="",R50=""),"",IF(S45&gt;=(0.4*R50),"HABIL","NO HABIL"))</f>
        <v/>
      </c>
      <c r="U50" s="79"/>
      <c r="V50" s="78" t="str">
        <f>IF(OR(U45=0,N50="",R50=""),"",IF(U45&gt;=(0.5*R50),"HABIL","NO HABIL"))</f>
        <v/>
      </c>
      <c r="W50" s="79"/>
      <c r="X50" s="78" t="str">
        <f>IF(OR(W45=0,N50="",R50=""),"",IF(W45&gt;=$X$9,"HABIL","NO HABIL"))</f>
        <v/>
      </c>
      <c r="Y50" s="117"/>
      <c r="Z50" s="78" t="str">
        <f>IF(OR(Y45=0,N50="",R50=""),"",IF(Y45&lt;=$Z$9,"HABIL","NO HABIL"))</f>
        <v/>
      </c>
      <c r="AA50" s="72">
        <v>0</v>
      </c>
      <c r="AB50" s="72"/>
      <c r="AC50" s="78" t="str">
        <f>IF(OR(AB45=0,N50="",R50=""),"",IF(AB45&gt;=$AC$9,"HABIL","NO HABIL"))</f>
        <v/>
      </c>
      <c r="AD50" s="78" t="str">
        <f t="shared" si="10"/>
        <v/>
      </c>
      <c r="AE50" s="119">
        <f t="shared" si="30"/>
        <v>0</v>
      </c>
      <c r="AF50" s="110" t="str">
        <f t="shared" si="31"/>
        <v>MIPYME</v>
      </c>
      <c r="AG50" s="130"/>
      <c r="AH50" s="78" t="str">
        <f>IF(OR(AG45=0,N50="",R50=""),"",IF(AG45&gt;=$AH$9,"HABIL","NO HABIL"))</f>
        <v/>
      </c>
      <c r="AI50" s="130"/>
      <c r="AJ50" s="78" t="str">
        <f>IF(OR(AI45=0,N50="",R50=""),"",IF(AI45&gt;=$AJ$9,"HABIL","NO HABIL"))</f>
        <v/>
      </c>
      <c r="AK50" s="123" t="str">
        <f t="shared" si="32"/>
        <v/>
      </c>
    </row>
    <row r="51" spans="2:37" ht="18" hidden="1" customHeight="1" x14ac:dyDescent="0.25">
      <c r="B51" s="71" t="str">
        <f t="shared" si="26"/>
        <v/>
      </c>
      <c r="C51" s="100"/>
      <c r="D51" s="233"/>
      <c r="E51" s="70">
        <f>IF(ISERROR(VLOOKUP(C51,#REF!,2,0)),0,VLOOKUP(C51,#REF!,2,0))</f>
        <v>0</v>
      </c>
      <c r="F51" s="70">
        <f>IF(ISERROR(VLOOKUP(C51,#REF!,3,0)),0,VLOOKUP(C51,#REF!,3,0))</f>
        <v>0</v>
      </c>
      <c r="G51" s="70">
        <f>IF(ISERROR(VLOOKUP(C51,#REF!,4,0)),0,VLOOKUP(C51,#REF!,4,0))</f>
        <v>0</v>
      </c>
      <c r="H51" s="70">
        <f>IF(ISERROR(VLOOKUP(C51,#REF!,5,0)),0,VLOOKUP(C51,#REF!,5,0))</f>
        <v>0</v>
      </c>
      <c r="I51" s="224">
        <f t="shared" si="27"/>
        <v>0</v>
      </c>
      <c r="J51" s="70">
        <f t="shared" si="28"/>
        <v>0</v>
      </c>
      <c r="K51" s="224">
        <f t="shared" si="29"/>
        <v>0</v>
      </c>
      <c r="L51" s="224">
        <f>IF(ISERROR(VLOOKUP(C51,#REF!,6,0)),0,VLOOKUP(C51,#REF!,6,0))</f>
        <v>0</v>
      </c>
      <c r="M51" s="224">
        <f>IF(ISERROR(VLOOKUP(C51,#REF!,7,0)),0,VLOOKUP(C51,#REF!,7,0))</f>
        <v>0</v>
      </c>
      <c r="N51" s="174"/>
      <c r="O51" s="174" t="str">
        <f>IF(ISERROR(VLOOKUP(N51,POA!$A$2:$C$16,3,0)),"",VLOOKUP(N51,POA!$A$2:$C$16,3,0))</f>
        <v/>
      </c>
      <c r="P51" s="72"/>
      <c r="Q51" s="72" t="str">
        <f>IF(ISERROR(VLOOKUP(P51,POA!$A$2:$F$16,4,0)),"",VLOOKUP(P51,POA!$A$2:$F$16,4,0))</f>
        <v/>
      </c>
      <c r="R51" s="74" t="str">
        <f>IF(ISERROR(VLOOKUP(N51,POA!$A$2:$C$16,2,0)),"",VLOOKUP(N51,POA!$A$2:$C$16,2,0))</f>
        <v/>
      </c>
      <c r="S51" s="79"/>
      <c r="T51" s="78" t="str">
        <f>IF(OR(S45=0,N51="",R51=""),"",IF(S45&gt;=(0.4*R51),"HABIL","NO HABIL"))</f>
        <v/>
      </c>
      <c r="U51" s="79"/>
      <c r="V51" s="78" t="str">
        <f>IF(OR(U45=0,N51="",R51=""),"",IF(U45&gt;=(0.5*R51),"HABIL","NO HABIL"))</f>
        <v/>
      </c>
      <c r="W51" s="79"/>
      <c r="X51" s="78" t="str">
        <f>IF(OR(W45=0,N51="",R51=""),"",IF(W45&gt;=$X$9,"HABIL","NO HABIL"))</f>
        <v/>
      </c>
      <c r="Y51" s="117"/>
      <c r="Z51" s="78" t="str">
        <f>IF(OR(Y45=0,N51="",R51=""),"",IF(Y45&lt;=$Z$9,"HABIL","NO HABIL"))</f>
        <v/>
      </c>
      <c r="AA51" s="72">
        <v>0</v>
      </c>
      <c r="AB51" s="72"/>
      <c r="AC51" s="78" t="str">
        <f>IF(OR(AB45=0,N51="",R51=""),"",IF(AB45&gt;=$AC$9,"HABIL","NO HABIL"))</f>
        <v/>
      </c>
      <c r="AD51" s="78" t="str">
        <f t="shared" si="10"/>
        <v/>
      </c>
      <c r="AE51" s="119">
        <f t="shared" si="30"/>
        <v>0</v>
      </c>
      <c r="AF51" s="110" t="str">
        <f t="shared" si="31"/>
        <v>MIPYME</v>
      </c>
      <c r="AG51" s="130"/>
      <c r="AH51" s="78" t="str">
        <f>IF(OR(AG45=0,N51="",R51=""),"",IF(AG45&gt;=$AH$9,"HABIL","NO HABIL"))</f>
        <v/>
      </c>
      <c r="AI51" s="130"/>
      <c r="AJ51" s="78" t="str">
        <f>IF(OR(AI45=0,N51="",R51=""),"",IF(AI45&gt;=$AJ$9,"HABIL","NO HABIL"))</f>
        <v/>
      </c>
      <c r="AK51" s="126" t="str">
        <f t="shared" si="32"/>
        <v/>
      </c>
    </row>
    <row r="52" spans="2:37" ht="18" hidden="1" customHeight="1" x14ac:dyDescent="0.25">
      <c r="B52" s="71" t="str">
        <f>IF(C52="","",B51+0.1)</f>
        <v/>
      </c>
      <c r="C52" s="100"/>
      <c r="D52" s="233"/>
      <c r="E52" s="70">
        <f>IF(ISERROR(VLOOKUP(C52,#REF!,2,0)),0,VLOOKUP(C52,#REF!,2,0))</f>
        <v>0</v>
      </c>
      <c r="F52" s="70">
        <f>IF(ISERROR(VLOOKUP(C52,#REF!,3,0)),0,VLOOKUP(C52,#REF!,3,0))</f>
        <v>0</v>
      </c>
      <c r="G52" s="70">
        <f>IF(ISERROR(VLOOKUP(C52,#REF!,4,0)),0,VLOOKUP(C52,#REF!,4,0))</f>
        <v>0</v>
      </c>
      <c r="H52" s="70">
        <f>IF(ISERROR(VLOOKUP(C52,#REF!,5,0)),0,VLOOKUP(C52,#REF!,5,0))</f>
        <v>0</v>
      </c>
      <c r="I52" s="224">
        <f t="shared" si="27"/>
        <v>0</v>
      </c>
      <c r="J52" s="70">
        <f t="shared" si="28"/>
        <v>0</v>
      </c>
      <c r="K52" s="224">
        <f t="shared" si="29"/>
        <v>0</v>
      </c>
      <c r="L52" s="224">
        <f>IF(ISERROR(VLOOKUP(C52,#REF!,6,0)),0,VLOOKUP(C52,#REF!,6,0))</f>
        <v>0</v>
      </c>
      <c r="M52" s="224">
        <f>IF(ISERROR(VLOOKUP(C52,#REF!,7,0)),0,VLOOKUP(C52,#REF!,7,0))</f>
        <v>0</v>
      </c>
      <c r="N52" s="174"/>
      <c r="O52" s="174" t="str">
        <f>IF(ISERROR(VLOOKUP(N52,POA!$A$2:$C$16,3,0)),"",VLOOKUP(N52,POA!$A$2:$C$16,3,0))</f>
        <v/>
      </c>
      <c r="P52" s="72"/>
      <c r="Q52" s="72" t="str">
        <f>IF(ISERROR(VLOOKUP(P52,POA!$A$2:$F$16,4,0)),"",VLOOKUP(P52,POA!$A$2:$F$16,4,0))</f>
        <v/>
      </c>
      <c r="R52" s="74" t="str">
        <f>IF(ISERROR(VLOOKUP(N52,POA!$A$2:$C$16,2,0)),"",VLOOKUP(N52,POA!$A$2:$C$16,2,0))</f>
        <v/>
      </c>
      <c r="S52" s="79"/>
      <c r="T52" s="78" t="str">
        <f>IF(OR(S45=0,N52="",R52=""),"",IF(S45&gt;=(0.4*R52),"HABIL","NO HABIL"))</f>
        <v/>
      </c>
      <c r="U52" s="79"/>
      <c r="V52" s="78" t="str">
        <f>IF(OR(U45=0,N52="",R52=""),"",IF(U45&gt;=(0.5*R52),"HABIL","NO HABIL"))</f>
        <v/>
      </c>
      <c r="W52" s="79"/>
      <c r="X52" s="78" t="str">
        <f>IF(OR(W45=0,N52="",R52=""),"",IF(W45&gt;=$X$9,"HABIL","NO HABIL"))</f>
        <v/>
      </c>
      <c r="Y52" s="117"/>
      <c r="Z52" s="78" t="str">
        <f>IF(OR(Y45=0,N52="",R52=""),"",IF(Y45&lt;=$Z$9,"HABIL","NO HABIL"))</f>
        <v/>
      </c>
      <c r="AA52" s="72">
        <v>0</v>
      </c>
      <c r="AB52" s="72"/>
      <c r="AC52" s="78" t="str">
        <f>IF(OR(AB45=0,N52="",R52=""),"",IF(AB45&gt;=$AC$9,"HABIL","NO HABIL"))</f>
        <v/>
      </c>
      <c r="AD52" s="78" t="str">
        <f t="shared" si="10"/>
        <v/>
      </c>
      <c r="AE52" s="119">
        <f t="shared" si="30"/>
        <v>0</v>
      </c>
      <c r="AF52" s="110" t="str">
        <f t="shared" si="31"/>
        <v>MIPYME</v>
      </c>
      <c r="AG52" s="130"/>
      <c r="AH52" s="78" t="str">
        <f>IF(OR(AG45=0,N52="",R52=""),"",IF(AG45&gt;=$AH$9,"HABIL","NO HABIL"))</f>
        <v/>
      </c>
      <c r="AI52" s="130"/>
      <c r="AJ52" s="78" t="str">
        <f>IF(OR(AI45=0,N52="",R52=""),"",IF(AI45&gt;=$AJ$9,"HABIL","NO HABIL"))</f>
        <v/>
      </c>
      <c r="AK52" s="126" t="str">
        <f t="shared" si="32"/>
        <v/>
      </c>
    </row>
    <row r="53" spans="2:37" ht="18" hidden="1" customHeight="1" x14ac:dyDescent="0.25">
      <c r="B53" s="71" t="str">
        <f>IF(C53="","",B52+0.1)</f>
        <v/>
      </c>
      <c r="C53" s="100"/>
      <c r="D53" s="233"/>
      <c r="E53" s="70">
        <f>IF(ISERROR(VLOOKUP(C53,#REF!,2,0)),0,VLOOKUP(C53,#REF!,2,0))</f>
        <v>0</v>
      </c>
      <c r="F53" s="70">
        <f>IF(ISERROR(VLOOKUP(C53,#REF!,3,0)),0,VLOOKUP(C53,#REF!,3,0))</f>
        <v>0</v>
      </c>
      <c r="G53" s="70">
        <f>IF(ISERROR(VLOOKUP(C53,#REF!,4,0)),0,VLOOKUP(C53,#REF!,4,0))</f>
        <v>0</v>
      </c>
      <c r="H53" s="70">
        <f>IF(ISERROR(VLOOKUP(C53,#REF!,5,0)),0,VLOOKUP(C53,#REF!,5,0))</f>
        <v>0</v>
      </c>
      <c r="I53" s="224">
        <f t="shared" si="27"/>
        <v>0</v>
      </c>
      <c r="J53" s="70">
        <f t="shared" si="28"/>
        <v>0</v>
      </c>
      <c r="K53" s="224">
        <f t="shared" si="29"/>
        <v>0</v>
      </c>
      <c r="L53" s="224">
        <f>IF(ISERROR(VLOOKUP(C53,#REF!,6,0)),0,VLOOKUP(C53,#REF!,6,0))</f>
        <v>0</v>
      </c>
      <c r="M53" s="224">
        <f>IF(ISERROR(VLOOKUP(C53,#REF!,7,0)),0,VLOOKUP(C53,#REF!,7,0))</f>
        <v>0</v>
      </c>
      <c r="N53" s="174"/>
      <c r="O53" s="174" t="str">
        <f>IF(ISERROR(VLOOKUP(N53,POA!$A$2:$C$16,3,0)),"",VLOOKUP(N53,POA!$A$2:$C$16,3,0))</f>
        <v/>
      </c>
      <c r="P53" s="72"/>
      <c r="Q53" s="72" t="str">
        <f>IF(ISERROR(VLOOKUP(P53,POA!$A$2:$F$16,4,0)),"",VLOOKUP(P53,POA!$A$2:$F$16,4,0))</f>
        <v/>
      </c>
      <c r="R53" s="74" t="str">
        <f>IF(ISERROR(VLOOKUP(N53,POA!$A$2:$C$16,2,0)),"",VLOOKUP(N53,POA!$A$2:$C$16,2,0))</f>
        <v/>
      </c>
      <c r="S53" s="79"/>
      <c r="T53" s="78" t="str">
        <f>IF(OR(S45=0,N53="",R53=""),"",IF(S45&gt;=(0.4*R53),"HABIL","NO HABIL"))</f>
        <v/>
      </c>
      <c r="U53" s="79"/>
      <c r="V53" s="78" t="str">
        <f>IF(OR(U45=0,N53="",R53=""),"",IF(U45&gt;=(0.5*R53),"HABIL","NO HABIL"))</f>
        <v/>
      </c>
      <c r="W53" s="79"/>
      <c r="X53" s="78" t="str">
        <f>IF(OR(W45=0,N53="",R53=""),"",IF(W45&gt;=$X$9,"HABIL","NO HABIL"))</f>
        <v/>
      </c>
      <c r="Y53" s="117"/>
      <c r="Z53" s="78" t="str">
        <f>IF(OR(Y45=0,N53="",R53=""),"",IF(Y45&lt;=$Z$9,"HABIL","NO HABIL"))</f>
        <v/>
      </c>
      <c r="AA53" s="72">
        <v>0</v>
      </c>
      <c r="AB53" s="72"/>
      <c r="AC53" s="78" t="str">
        <f>IF(OR(AB45=0,N53="",R53=""),"",IF(AB45&gt;=$AC$9,"HABIL","NO HABIL"))</f>
        <v/>
      </c>
      <c r="AD53" s="78" t="str">
        <f t="shared" si="10"/>
        <v/>
      </c>
      <c r="AE53" s="119">
        <f t="shared" si="30"/>
        <v>0</v>
      </c>
      <c r="AF53" s="110" t="str">
        <f t="shared" si="31"/>
        <v>MIPYME</v>
      </c>
      <c r="AG53" s="130"/>
      <c r="AH53" s="78" t="str">
        <f>IF(OR(AG45=0,N53="",R53=""),"",IF(AG45&gt;=$AH$9,"HABIL","NO HABIL"))</f>
        <v/>
      </c>
      <c r="AI53" s="130"/>
      <c r="AJ53" s="78" t="str">
        <f>IF(OR(AI45=0,N53="",R53=""),"",IF(AI45&gt;=$AJ$9,"HABIL","NO HABIL"))</f>
        <v/>
      </c>
      <c r="AK53" s="123" t="str">
        <f t="shared" si="32"/>
        <v/>
      </c>
    </row>
    <row r="54" spans="2:37" ht="18" hidden="1" customHeight="1" x14ac:dyDescent="0.25">
      <c r="B54" s="71" t="str">
        <f>IF(C54="","",B53+0.1)</f>
        <v/>
      </c>
      <c r="C54" s="100"/>
      <c r="D54" s="233"/>
      <c r="E54" s="70">
        <f>IF(ISERROR(VLOOKUP(C54,#REF!,2,0)),0,VLOOKUP(C54,#REF!,2,0))</f>
        <v>0</v>
      </c>
      <c r="F54" s="70">
        <f>IF(ISERROR(VLOOKUP(C54,#REF!,3,0)),0,VLOOKUP(C54,#REF!,3,0))</f>
        <v>0</v>
      </c>
      <c r="G54" s="70">
        <f>IF(ISERROR(VLOOKUP(C54,#REF!,4,0)),0,VLOOKUP(C54,#REF!,4,0))</f>
        <v>0</v>
      </c>
      <c r="H54" s="70">
        <f>IF(ISERROR(VLOOKUP(C54,#REF!,5,0)),0,VLOOKUP(C54,#REF!,5,0))</f>
        <v>0</v>
      </c>
      <c r="I54" s="224">
        <f t="shared" si="27"/>
        <v>0</v>
      </c>
      <c r="J54" s="70">
        <f t="shared" si="28"/>
        <v>0</v>
      </c>
      <c r="K54" s="224">
        <f t="shared" si="29"/>
        <v>0</v>
      </c>
      <c r="L54" s="224">
        <f>IF(ISERROR(VLOOKUP(C54,#REF!,6,0)),0,VLOOKUP(C54,#REF!,6,0))</f>
        <v>0</v>
      </c>
      <c r="M54" s="224">
        <f>IF(ISERROR(VLOOKUP(C54,#REF!,7,0)),0,VLOOKUP(C54,#REF!,7,0))</f>
        <v>0</v>
      </c>
      <c r="N54" s="174"/>
      <c r="O54" s="174" t="str">
        <f>IF(ISERROR(VLOOKUP(N54,POA!$A$2:$C$16,3,0)),"",VLOOKUP(N54,POA!$A$2:$C$16,3,0))</f>
        <v/>
      </c>
      <c r="P54" s="72"/>
      <c r="Q54" s="72" t="str">
        <f>IF(ISERROR(VLOOKUP(P54,POA!$A$2:$F$16,4,0)),"",VLOOKUP(P54,POA!$A$2:$F$16,4,0))</f>
        <v/>
      </c>
      <c r="R54" s="74" t="str">
        <f>IF(ISERROR(VLOOKUP(N54,POA!$A$2:$C$16,2,0)),"",VLOOKUP(N54,POA!$A$2:$C$16,2,0))</f>
        <v/>
      </c>
      <c r="S54" s="79"/>
      <c r="T54" s="78" t="str">
        <f>IF(OR(S45=0,N54="",R54=""),"",IF(S45&gt;=(0.4*R54),"HABIL","NO HABIL"))</f>
        <v/>
      </c>
      <c r="U54" s="79"/>
      <c r="V54" s="78" t="str">
        <f>IF(OR(U45=0,N54="",R54=""),"",IF(U45&gt;=(0.5*R54),"HABIL","NO HABIL"))</f>
        <v/>
      </c>
      <c r="W54" s="79"/>
      <c r="X54" s="78" t="str">
        <f>IF(OR(W45=0,N54="",R54=""),"",IF(W45&gt;=$X$9,"HABIL","NO HABIL"))</f>
        <v/>
      </c>
      <c r="Y54" s="117"/>
      <c r="Z54" s="78" t="str">
        <f>IF(OR(Y45=0,N54="",R54=""),"",IF(Y45&lt;=$Z$9,"HABIL","NO HABIL"))</f>
        <v/>
      </c>
      <c r="AA54" s="72">
        <v>0</v>
      </c>
      <c r="AB54" s="72"/>
      <c r="AC54" s="78" t="str">
        <f>IF(OR(AB45=0,N54="",R54=""),"",IF(AB45&gt;=$AC$9,"HABIL","NO HABIL"))</f>
        <v/>
      </c>
      <c r="AD54" s="78" t="str">
        <f t="shared" si="10"/>
        <v/>
      </c>
      <c r="AE54" s="119">
        <f t="shared" si="30"/>
        <v>0</v>
      </c>
      <c r="AF54" s="110" t="str">
        <f t="shared" si="31"/>
        <v>MIPYME</v>
      </c>
      <c r="AG54" s="130"/>
      <c r="AH54" s="78" t="str">
        <f>IF(OR(AG45=0,N54="",R54=""),"",IF(AG45&gt;=$AH$9,"HABIL","NO HABIL"))</f>
        <v/>
      </c>
      <c r="AI54" s="130"/>
      <c r="AJ54" s="78" t="str">
        <f>IF(OR(AI45=0,N54="",R54=""),"",IF(AI45&gt;=$AJ$9,"HABIL","NO HABIL"))</f>
        <v/>
      </c>
      <c r="AK54" s="123" t="str">
        <f t="shared" si="32"/>
        <v/>
      </c>
    </row>
    <row r="55" spans="2:37" ht="18" hidden="1" customHeight="1" thickBot="1" x14ac:dyDescent="0.3">
      <c r="B55" s="85" t="str">
        <f>IF(C55="","",B54+0.1)</f>
        <v/>
      </c>
      <c r="C55" s="101"/>
      <c r="D55" s="101"/>
      <c r="E55" s="73">
        <f>IF(ISERROR(VLOOKUP(C55,#REF!,2,0)),0,VLOOKUP(C55,#REF!,2,0))</f>
        <v>0</v>
      </c>
      <c r="F55" s="73">
        <f>IF(ISERROR(VLOOKUP(C55,#REF!,3,0)),0,VLOOKUP(C55,#REF!,3,0))</f>
        <v>0</v>
      </c>
      <c r="G55" s="73">
        <f>IF(ISERROR(VLOOKUP(C55,#REF!,4,0)),0,VLOOKUP(C55,#REF!,4,0))</f>
        <v>0</v>
      </c>
      <c r="H55" s="73">
        <f>IF(ISERROR(VLOOKUP(C55,#REF!,5,0)),0,VLOOKUP(C55,#REF!,5,0))</f>
        <v>0</v>
      </c>
      <c r="I55" s="73">
        <f t="shared" si="27"/>
        <v>0</v>
      </c>
      <c r="J55" s="73">
        <f t="shared" si="28"/>
        <v>0</v>
      </c>
      <c r="K55" s="73">
        <f t="shared" si="29"/>
        <v>0</v>
      </c>
      <c r="L55" s="73">
        <f>IF(ISERROR(VLOOKUP(C55,#REF!,6,0)),0,VLOOKUP(C55,#REF!,6,0))</f>
        <v>0</v>
      </c>
      <c r="M55" s="73">
        <f>IF(ISERROR(VLOOKUP(C55,#REF!,7,0)),0,VLOOKUP(C55,#REF!,7,0))</f>
        <v>0</v>
      </c>
      <c r="N55" s="175"/>
      <c r="O55" s="175" t="str">
        <f>IF(ISERROR(VLOOKUP(N55,POA!$A$2:$C$16,3,0)),"",VLOOKUP(N55,POA!$A$2:$C$16,3,0))</f>
        <v/>
      </c>
      <c r="P55" s="82"/>
      <c r="Q55" s="82" t="str">
        <f>IF(ISERROR(VLOOKUP(P55,POA!$A$2:$F$16,4,0)),"",VLOOKUP(P55,POA!$A$2:$F$16,4,0))</f>
        <v/>
      </c>
      <c r="R55" s="77" t="str">
        <f>IF(ISERROR(VLOOKUP(N55,POA!$A$2:$C$16,2,0)),"",VLOOKUP(N55,POA!$A$2:$C$16,2,0))</f>
        <v/>
      </c>
      <c r="S55" s="84"/>
      <c r="T55" s="83" t="str">
        <f>IF(OR(S45=0,N55="",R55=""),"",IF(S45&gt;=(0.4*R55),"HABIL","NO HABIL"))</f>
        <v/>
      </c>
      <c r="U55" s="84"/>
      <c r="V55" s="83" t="str">
        <f>IF(OR(U45=0,N55="",R55=""),"",IF(U45&gt;=(0.5*R55),"HABIL","NO HABIL"))</f>
        <v/>
      </c>
      <c r="W55" s="84"/>
      <c r="X55" s="83" t="str">
        <f>IF(OR(W45=0,N55="",R55=""),"",IF(W45&gt;=$X$9,"HABIL","NO HABIL"))</f>
        <v/>
      </c>
      <c r="Y55" s="118"/>
      <c r="Z55" s="83" t="str">
        <f>IF(OR(Y45=0,N55="",R55=""),"",IF(Y45&lt;=$Z$9,"HABIL","NO HABIL"))</f>
        <v/>
      </c>
      <c r="AA55" s="82">
        <v>0</v>
      </c>
      <c r="AB55" s="82"/>
      <c r="AC55" s="83" t="str">
        <f>IF(OR(AB45=0,N55="",R55=""),"",IF(AB45&gt;=$AC$9,"HABIL","NO HABIL"))</f>
        <v/>
      </c>
      <c r="AD55" s="83" t="str">
        <f t="shared" si="10"/>
        <v/>
      </c>
      <c r="AE55" s="121">
        <f t="shared" si="30"/>
        <v>0</v>
      </c>
      <c r="AF55" s="111" t="str">
        <f t="shared" si="31"/>
        <v>MIPYME</v>
      </c>
      <c r="AG55" s="131"/>
      <c r="AH55" s="83" t="str">
        <f>IF(OR(AG45=0,N55="",R55=""),"",IF(AG45&gt;=$AH$9,"HABIL","NO HABIL"))</f>
        <v/>
      </c>
      <c r="AI55" s="131"/>
      <c r="AJ55" s="83" t="str">
        <f>IF(OR(AI45=0,N55="",R55=""),"",IF(AI45&gt;=$AJ$9,"HABIL","NO HABIL"))</f>
        <v/>
      </c>
      <c r="AK55" s="124" t="str">
        <f t="shared" si="32"/>
        <v/>
      </c>
    </row>
    <row r="58" spans="2:37" ht="18" customHeight="1" x14ac:dyDescent="0.2">
      <c r="B58" s="141" t="s">
        <v>262</v>
      </c>
    </row>
    <row r="59" spans="2:37" ht="18" customHeight="1" x14ac:dyDescent="0.2">
      <c r="B59" s="301" t="s">
        <v>263</v>
      </c>
    </row>
  </sheetData>
  <sheetProtection formatCells="0" formatColumns="0" formatRows="0" insertColumns="0" insertRows="0" insertHyperlinks="0" deleteColumns="0" deleteRows="0" sort="0" autoFilter="0" pivotTables="0"/>
  <customSheetViews>
    <customSheetView guid="{7043DB3C-32B3-43B5-9ACE-4B1C78863594}" scale="85" printArea="1">
      <selection activeCell="D44" sqref="D44"/>
      <pageMargins left="0.19685039370078741" right="0.75" top="0.55118110236220474" bottom="0.43307086614173229" header="0" footer="0"/>
      <printOptions horizontalCentered="1" verticalCentered="1"/>
      <pageSetup paperSize="14" scale="50" orientation="landscape" horizontalDpi="300" verticalDpi="300" r:id="rId1"/>
      <headerFooter alignWithMargins="0">
        <oddFooter>&amp;RElaboro: JJR
&amp;D</oddFooter>
      </headerFooter>
    </customSheetView>
  </customSheetViews>
  <mergeCells count="40">
    <mergeCell ref="S7:T7"/>
    <mergeCell ref="S8:T8"/>
    <mergeCell ref="U7:V7"/>
    <mergeCell ref="U8:V8"/>
    <mergeCell ref="AI7:AJ7"/>
    <mergeCell ref="AI8:AJ8"/>
    <mergeCell ref="AK8:AK10"/>
    <mergeCell ref="AB7:AC7"/>
    <mergeCell ref="AB8:AC8"/>
    <mergeCell ref="AG7:AH7"/>
    <mergeCell ref="AG8:AH8"/>
    <mergeCell ref="AE7:AF7"/>
    <mergeCell ref="B8:B10"/>
    <mergeCell ref="P8:P10"/>
    <mergeCell ref="AD8:AD10"/>
    <mergeCell ref="W8:X8"/>
    <mergeCell ref="Y8:Z8"/>
    <mergeCell ref="G8:G10"/>
    <mergeCell ref="AA8:AA10"/>
    <mergeCell ref="D8:D10"/>
    <mergeCell ref="F8:F10"/>
    <mergeCell ref="H8:H10"/>
    <mergeCell ref="I8:I10"/>
    <mergeCell ref="K8:K10"/>
    <mergeCell ref="B1:AD1"/>
    <mergeCell ref="B4:AK4"/>
    <mergeCell ref="B3:AK3"/>
    <mergeCell ref="B2:AK2"/>
    <mergeCell ref="R8:R10"/>
    <mergeCell ref="O8:O10"/>
    <mergeCell ref="Q8:Q10"/>
    <mergeCell ref="N8:N10"/>
    <mergeCell ref="C8:C10"/>
    <mergeCell ref="J8:J10"/>
    <mergeCell ref="E8:E10"/>
    <mergeCell ref="B7:D7"/>
    <mergeCell ref="W7:X7"/>
    <mergeCell ref="Y7:Z7"/>
    <mergeCell ref="E7:J7"/>
    <mergeCell ref="B5:AK5"/>
  </mergeCells>
  <phoneticPr fontId="0" type="noConversion"/>
  <conditionalFormatting sqref="AD7:AD10 AE11 AE7:AE9 AF8:AF9 AE10:AF10 AE12:AF22 AK7:AK11 AG11:AJ11 AA12:AC22 AL1:JA11 AE1:AK1 J15:K22 W12:W22 C12 N12:R22 C14:C22">
    <cfRule type="cellIs" dxfId="278" priority="7970" stopIfTrue="1" operator="equal">
      <formula>"NO ADMISIBLE"</formula>
    </cfRule>
  </conditionalFormatting>
  <conditionalFormatting sqref="AB12 AD12:AD22 X12:Z22">
    <cfRule type="cellIs" dxfId="277" priority="7971" stopIfTrue="1" operator="equal">
      <formula>"NO ADMISIBLE"</formula>
    </cfRule>
    <cfRule type="cellIs" dxfId="276" priority="7972" stopIfTrue="1" operator="equal">
      <formula>"ADMISIBLE"</formula>
    </cfRule>
  </conditionalFormatting>
  <conditionalFormatting sqref="AC12:AC22">
    <cfRule type="cellIs" dxfId="275" priority="6839" stopIfTrue="1" operator="equal">
      <formula>"NO ADMISIBLE"</formula>
    </cfRule>
    <cfRule type="cellIs" dxfId="274" priority="6840" stopIfTrue="1" operator="equal">
      <formula>"ADMISIBLE"</formula>
    </cfRule>
  </conditionalFormatting>
  <conditionalFormatting sqref="AG12:AH22">
    <cfRule type="cellIs" dxfId="273" priority="6838" stopIfTrue="1" operator="equal">
      <formula>"NO ADMISIBLE"</formula>
    </cfRule>
  </conditionalFormatting>
  <conditionalFormatting sqref="AG12">
    <cfRule type="cellIs" dxfId="272" priority="6836" stopIfTrue="1" operator="equal">
      <formula>"NO ADMISIBLE"</formula>
    </cfRule>
    <cfRule type="cellIs" dxfId="271" priority="6837" stopIfTrue="1" operator="equal">
      <formula>"ADMISIBLE"</formula>
    </cfRule>
  </conditionalFormatting>
  <conditionalFormatting sqref="AH12:AH22">
    <cfRule type="cellIs" dxfId="270" priority="6834" stopIfTrue="1" operator="equal">
      <formula>"NO ADMISIBLE"</formula>
    </cfRule>
    <cfRule type="cellIs" dxfId="269" priority="6835" stopIfTrue="1" operator="equal">
      <formula>"ADMISIBLE"</formula>
    </cfRule>
  </conditionalFormatting>
  <conditionalFormatting sqref="AI12:AJ22">
    <cfRule type="cellIs" dxfId="268" priority="6833" stopIfTrue="1" operator="equal">
      <formula>"NO ADMISIBLE"</formula>
    </cfRule>
  </conditionalFormatting>
  <conditionalFormatting sqref="AI12">
    <cfRule type="cellIs" dxfId="267" priority="6831" stopIfTrue="1" operator="equal">
      <formula>"NO ADMISIBLE"</formula>
    </cfRule>
    <cfRule type="cellIs" dxfId="266" priority="6832" stopIfTrue="1" operator="equal">
      <formula>"ADMISIBLE"</formula>
    </cfRule>
  </conditionalFormatting>
  <conditionalFormatting sqref="AJ12:AJ22">
    <cfRule type="cellIs" dxfId="265" priority="6829" stopIfTrue="1" operator="equal">
      <formula>"NO ADMISIBLE"</formula>
    </cfRule>
    <cfRule type="cellIs" dxfId="264" priority="6830" stopIfTrue="1" operator="equal">
      <formula>"ADMISIBLE"</formula>
    </cfRule>
  </conditionalFormatting>
  <conditionalFormatting sqref="AK12:AK22">
    <cfRule type="cellIs" dxfId="263" priority="6827" stopIfTrue="1" operator="equal">
      <formula>"NO ADMISIBLE"</formula>
    </cfRule>
    <cfRule type="cellIs" dxfId="262" priority="6828" stopIfTrue="1" operator="equal">
      <formula>"ADMISIBLE"</formula>
    </cfRule>
  </conditionalFormatting>
  <conditionalFormatting sqref="S12:S22">
    <cfRule type="cellIs" dxfId="261" priority="6824" stopIfTrue="1" operator="equal">
      <formula>"NO ADMISIBLE"</formula>
    </cfRule>
  </conditionalFormatting>
  <conditionalFormatting sqref="T12:T22">
    <cfRule type="cellIs" dxfId="260" priority="6825" stopIfTrue="1" operator="equal">
      <formula>"NO ADMISIBLE"</formula>
    </cfRule>
    <cfRule type="cellIs" dxfId="259" priority="6826" stopIfTrue="1" operator="equal">
      <formula>"ADMISIBLE"</formula>
    </cfRule>
  </conditionalFormatting>
  <conditionalFormatting sqref="U12:U22">
    <cfRule type="cellIs" dxfId="258" priority="6821" stopIfTrue="1" operator="equal">
      <formula>"NO ADMISIBLE"</formula>
    </cfRule>
  </conditionalFormatting>
  <conditionalFormatting sqref="V12:V22">
    <cfRule type="cellIs" dxfId="257" priority="6822" stopIfTrue="1" operator="equal">
      <formula>"NO ADMISIBLE"</formula>
    </cfRule>
    <cfRule type="cellIs" dxfId="256" priority="6823" stopIfTrue="1" operator="equal">
      <formula>"ADMISIBLE"</formula>
    </cfRule>
  </conditionalFormatting>
  <conditionalFormatting sqref="D12:D22">
    <cfRule type="cellIs" dxfId="255" priority="4979" stopIfTrue="1" operator="equal">
      <formula>"NO ADMISIBLE"</formula>
    </cfRule>
  </conditionalFormatting>
  <conditionalFormatting sqref="J13:K14">
    <cfRule type="cellIs" dxfId="254" priority="76" stopIfTrue="1" operator="equal">
      <formula>"NO ADMISIBLE"</formula>
    </cfRule>
  </conditionalFormatting>
  <conditionalFormatting sqref="AE23:AF33 AA23:AC33 J26:K33 W23:W33 C23:C33 N23:R33">
    <cfRule type="cellIs" dxfId="253" priority="73" stopIfTrue="1" operator="equal">
      <formula>"NO ADMISIBLE"</formula>
    </cfRule>
  </conditionalFormatting>
  <conditionalFormatting sqref="AB23 AD23:AD33 X23:Z33">
    <cfRule type="cellIs" dxfId="252" priority="74" stopIfTrue="1" operator="equal">
      <formula>"NO ADMISIBLE"</formula>
    </cfRule>
    <cfRule type="cellIs" dxfId="251" priority="75" stopIfTrue="1" operator="equal">
      <formula>"ADMISIBLE"</formula>
    </cfRule>
  </conditionalFormatting>
  <conditionalFormatting sqref="AC23:AC33">
    <cfRule type="cellIs" dxfId="250" priority="71" stopIfTrue="1" operator="equal">
      <formula>"NO ADMISIBLE"</formula>
    </cfRule>
    <cfRule type="cellIs" dxfId="249" priority="72" stopIfTrue="1" operator="equal">
      <formula>"ADMISIBLE"</formula>
    </cfRule>
  </conditionalFormatting>
  <conditionalFormatting sqref="AG23:AH33">
    <cfRule type="cellIs" dxfId="248" priority="70" stopIfTrue="1" operator="equal">
      <formula>"NO ADMISIBLE"</formula>
    </cfRule>
  </conditionalFormatting>
  <conditionalFormatting sqref="AG23">
    <cfRule type="cellIs" dxfId="247" priority="68" stopIfTrue="1" operator="equal">
      <formula>"NO ADMISIBLE"</formula>
    </cfRule>
    <cfRule type="cellIs" dxfId="246" priority="69" stopIfTrue="1" operator="equal">
      <formula>"ADMISIBLE"</formula>
    </cfRule>
  </conditionalFormatting>
  <conditionalFormatting sqref="AH23:AH33">
    <cfRule type="cellIs" dxfId="245" priority="66" stopIfTrue="1" operator="equal">
      <formula>"NO ADMISIBLE"</formula>
    </cfRule>
    <cfRule type="cellIs" dxfId="244" priority="67" stopIfTrue="1" operator="equal">
      <formula>"ADMISIBLE"</formula>
    </cfRule>
  </conditionalFormatting>
  <conditionalFormatting sqref="AI23:AJ33">
    <cfRule type="cellIs" dxfId="243" priority="65" stopIfTrue="1" operator="equal">
      <formula>"NO ADMISIBLE"</formula>
    </cfRule>
  </conditionalFormatting>
  <conditionalFormatting sqref="AI23">
    <cfRule type="cellIs" dxfId="242" priority="63" stopIfTrue="1" operator="equal">
      <formula>"NO ADMISIBLE"</formula>
    </cfRule>
    <cfRule type="cellIs" dxfId="241" priority="64" stopIfTrue="1" operator="equal">
      <formula>"ADMISIBLE"</formula>
    </cfRule>
  </conditionalFormatting>
  <conditionalFormatting sqref="AJ23:AJ33">
    <cfRule type="cellIs" dxfId="240" priority="61" stopIfTrue="1" operator="equal">
      <formula>"NO ADMISIBLE"</formula>
    </cfRule>
    <cfRule type="cellIs" dxfId="239" priority="62" stopIfTrue="1" operator="equal">
      <formula>"ADMISIBLE"</formula>
    </cfRule>
  </conditionalFormatting>
  <conditionalFormatting sqref="AK23:AK33">
    <cfRule type="cellIs" dxfId="238" priority="59" stopIfTrue="1" operator="equal">
      <formula>"NO ADMISIBLE"</formula>
    </cfRule>
    <cfRule type="cellIs" dxfId="237" priority="60" stopIfTrue="1" operator="equal">
      <formula>"ADMISIBLE"</formula>
    </cfRule>
  </conditionalFormatting>
  <conditionalFormatting sqref="S23:S33">
    <cfRule type="cellIs" dxfId="236" priority="56" stopIfTrue="1" operator="equal">
      <formula>"NO ADMISIBLE"</formula>
    </cfRule>
  </conditionalFormatting>
  <conditionalFormatting sqref="T23:T33">
    <cfRule type="cellIs" dxfId="235" priority="57" stopIfTrue="1" operator="equal">
      <formula>"NO ADMISIBLE"</formula>
    </cfRule>
    <cfRule type="cellIs" dxfId="234" priority="58" stopIfTrue="1" operator="equal">
      <formula>"ADMISIBLE"</formula>
    </cfRule>
  </conditionalFormatting>
  <conditionalFormatting sqref="U23:U33">
    <cfRule type="cellIs" dxfId="233" priority="53" stopIfTrue="1" operator="equal">
      <formula>"NO ADMISIBLE"</formula>
    </cfRule>
  </conditionalFormatting>
  <conditionalFormatting sqref="V23:V33">
    <cfRule type="cellIs" dxfId="232" priority="54" stopIfTrue="1" operator="equal">
      <formula>"NO ADMISIBLE"</formula>
    </cfRule>
    <cfRule type="cellIs" dxfId="231" priority="55" stopIfTrue="1" operator="equal">
      <formula>"ADMISIBLE"</formula>
    </cfRule>
  </conditionalFormatting>
  <conditionalFormatting sqref="D23:D33">
    <cfRule type="cellIs" dxfId="230" priority="52" stopIfTrue="1" operator="equal">
      <formula>"NO ADMISIBLE"</formula>
    </cfRule>
  </conditionalFormatting>
  <conditionalFormatting sqref="J24:K25">
    <cfRule type="cellIs" dxfId="229" priority="51" stopIfTrue="1" operator="equal">
      <formula>"NO ADMISIBLE"</formula>
    </cfRule>
  </conditionalFormatting>
  <conditionalFormatting sqref="AE34:AF44 AA34:AC44 J37:K44 W34:W44 C34 N34:R44 C36:C44">
    <cfRule type="cellIs" dxfId="228" priority="48" stopIfTrue="1" operator="equal">
      <formula>"NO ADMISIBLE"</formula>
    </cfRule>
  </conditionalFormatting>
  <conditionalFormatting sqref="AB34 AD34:AD44 X34:Z44">
    <cfRule type="cellIs" dxfId="227" priority="49" stopIfTrue="1" operator="equal">
      <formula>"NO ADMISIBLE"</formula>
    </cfRule>
    <cfRule type="cellIs" dxfId="226" priority="50" stopIfTrue="1" operator="equal">
      <formula>"ADMISIBLE"</formula>
    </cfRule>
  </conditionalFormatting>
  <conditionalFormatting sqref="AC34:AC44">
    <cfRule type="cellIs" dxfId="225" priority="46" stopIfTrue="1" operator="equal">
      <formula>"NO ADMISIBLE"</formula>
    </cfRule>
    <cfRule type="cellIs" dxfId="224" priority="47" stopIfTrue="1" operator="equal">
      <formula>"ADMISIBLE"</formula>
    </cfRule>
  </conditionalFormatting>
  <conditionalFormatting sqref="AG34:AH44">
    <cfRule type="cellIs" dxfId="223" priority="45" stopIfTrue="1" operator="equal">
      <formula>"NO ADMISIBLE"</formula>
    </cfRule>
  </conditionalFormatting>
  <conditionalFormatting sqref="AG34">
    <cfRule type="cellIs" dxfId="222" priority="43" stopIfTrue="1" operator="equal">
      <formula>"NO ADMISIBLE"</formula>
    </cfRule>
    <cfRule type="cellIs" dxfId="221" priority="44" stopIfTrue="1" operator="equal">
      <formula>"ADMISIBLE"</formula>
    </cfRule>
  </conditionalFormatting>
  <conditionalFormatting sqref="AH34:AH44">
    <cfRule type="cellIs" dxfId="220" priority="41" stopIfTrue="1" operator="equal">
      <formula>"NO ADMISIBLE"</formula>
    </cfRule>
    <cfRule type="cellIs" dxfId="219" priority="42" stopIfTrue="1" operator="equal">
      <formula>"ADMISIBLE"</formula>
    </cfRule>
  </conditionalFormatting>
  <conditionalFormatting sqref="AI34:AJ44">
    <cfRule type="cellIs" dxfId="218" priority="40" stopIfTrue="1" operator="equal">
      <formula>"NO ADMISIBLE"</formula>
    </cfRule>
  </conditionalFormatting>
  <conditionalFormatting sqref="AI34">
    <cfRule type="cellIs" dxfId="217" priority="38" stopIfTrue="1" operator="equal">
      <formula>"NO ADMISIBLE"</formula>
    </cfRule>
    <cfRule type="cellIs" dxfId="216" priority="39" stopIfTrue="1" operator="equal">
      <formula>"ADMISIBLE"</formula>
    </cfRule>
  </conditionalFormatting>
  <conditionalFormatting sqref="AJ34:AJ44">
    <cfRule type="cellIs" dxfId="215" priority="36" stopIfTrue="1" operator="equal">
      <formula>"NO ADMISIBLE"</formula>
    </cfRule>
    <cfRule type="cellIs" dxfId="214" priority="37" stopIfTrue="1" operator="equal">
      <formula>"ADMISIBLE"</formula>
    </cfRule>
  </conditionalFormatting>
  <conditionalFormatting sqref="AK34:AK44">
    <cfRule type="cellIs" dxfId="213" priority="34" stopIfTrue="1" operator="equal">
      <formula>"NO ADMISIBLE"</formula>
    </cfRule>
    <cfRule type="cellIs" dxfId="212" priority="35" stopIfTrue="1" operator="equal">
      <formula>"ADMISIBLE"</formula>
    </cfRule>
  </conditionalFormatting>
  <conditionalFormatting sqref="S34:S44">
    <cfRule type="cellIs" dxfId="211" priority="31" stopIfTrue="1" operator="equal">
      <formula>"NO ADMISIBLE"</formula>
    </cfRule>
  </conditionalFormatting>
  <conditionalFormatting sqref="T34:T44">
    <cfRule type="cellIs" dxfId="210" priority="32" stopIfTrue="1" operator="equal">
      <formula>"NO ADMISIBLE"</formula>
    </cfRule>
    <cfRule type="cellIs" dxfId="209" priority="33" stopIfTrue="1" operator="equal">
      <formula>"ADMISIBLE"</formula>
    </cfRule>
  </conditionalFormatting>
  <conditionalFormatting sqref="U34:U44">
    <cfRule type="cellIs" dxfId="208" priority="28" stopIfTrue="1" operator="equal">
      <formula>"NO ADMISIBLE"</formula>
    </cfRule>
  </conditionalFormatting>
  <conditionalFormatting sqref="V34:V44">
    <cfRule type="cellIs" dxfId="207" priority="29" stopIfTrue="1" operator="equal">
      <formula>"NO ADMISIBLE"</formula>
    </cfRule>
    <cfRule type="cellIs" dxfId="206" priority="30" stopIfTrue="1" operator="equal">
      <formula>"ADMISIBLE"</formula>
    </cfRule>
  </conditionalFormatting>
  <conditionalFormatting sqref="D34:D44">
    <cfRule type="cellIs" dxfId="205" priority="27" stopIfTrue="1" operator="equal">
      <formula>"NO ADMISIBLE"</formula>
    </cfRule>
  </conditionalFormatting>
  <conditionalFormatting sqref="J35:K36">
    <cfRule type="cellIs" dxfId="204" priority="26" stopIfTrue="1" operator="equal">
      <formula>"NO ADMISIBLE"</formula>
    </cfRule>
  </conditionalFormatting>
  <conditionalFormatting sqref="AE45:AF55 AA45:AC55 J48:K55 W45:W55 C48:C55 N45:R55">
    <cfRule type="cellIs" dxfId="203" priority="23" stopIfTrue="1" operator="equal">
      <formula>"NO ADMISIBLE"</formula>
    </cfRule>
  </conditionalFormatting>
  <conditionalFormatting sqref="AB45 AD45:AD55 X45:Z55">
    <cfRule type="cellIs" dxfId="202" priority="24" stopIfTrue="1" operator="equal">
      <formula>"NO ADMISIBLE"</formula>
    </cfRule>
    <cfRule type="cellIs" dxfId="201" priority="25" stopIfTrue="1" operator="equal">
      <formula>"ADMISIBLE"</formula>
    </cfRule>
  </conditionalFormatting>
  <conditionalFormatting sqref="AC45:AC55">
    <cfRule type="cellIs" dxfId="200" priority="21" stopIfTrue="1" operator="equal">
      <formula>"NO ADMISIBLE"</formula>
    </cfRule>
    <cfRule type="cellIs" dxfId="199" priority="22" stopIfTrue="1" operator="equal">
      <formula>"ADMISIBLE"</formula>
    </cfRule>
  </conditionalFormatting>
  <conditionalFormatting sqref="AG45:AH55">
    <cfRule type="cellIs" dxfId="198" priority="20" stopIfTrue="1" operator="equal">
      <formula>"NO ADMISIBLE"</formula>
    </cfRule>
  </conditionalFormatting>
  <conditionalFormatting sqref="AG45">
    <cfRule type="cellIs" dxfId="197" priority="18" stopIfTrue="1" operator="equal">
      <formula>"NO ADMISIBLE"</formula>
    </cfRule>
    <cfRule type="cellIs" dxfId="196" priority="19" stopIfTrue="1" operator="equal">
      <formula>"ADMISIBLE"</formula>
    </cfRule>
  </conditionalFormatting>
  <conditionalFormatting sqref="AH45:AH55">
    <cfRule type="cellIs" dxfId="195" priority="16" stopIfTrue="1" operator="equal">
      <formula>"NO ADMISIBLE"</formula>
    </cfRule>
    <cfRule type="cellIs" dxfId="194" priority="17" stopIfTrue="1" operator="equal">
      <formula>"ADMISIBLE"</formula>
    </cfRule>
  </conditionalFormatting>
  <conditionalFormatting sqref="AI45:AJ55">
    <cfRule type="cellIs" dxfId="193" priority="15" stopIfTrue="1" operator="equal">
      <formula>"NO ADMISIBLE"</formula>
    </cfRule>
  </conditionalFormatting>
  <conditionalFormatting sqref="AI45">
    <cfRule type="cellIs" dxfId="192" priority="13" stopIfTrue="1" operator="equal">
      <formula>"NO ADMISIBLE"</formula>
    </cfRule>
    <cfRule type="cellIs" dxfId="191" priority="14" stopIfTrue="1" operator="equal">
      <formula>"ADMISIBLE"</formula>
    </cfRule>
  </conditionalFormatting>
  <conditionalFormatting sqref="AJ45:AJ55">
    <cfRule type="cellIs" dxfId="190" priority="11" stopIfTrue="1" operator="equal">
      <formula>"NO ADMISIBLE"</formula>
    </cfRule>
    <cfRule type="cellIs" dxfId="189" priority="12" stopIfTrue="1" operator="equal">
      <formula>"ADMISIBLE"</formula>
    </cfRule>
  </conditionalFormatting>
  <conditionalFormatting sqref="AK45:AK55">
    <cfRule type="cellIs" dxfId="188" priority="9" stopIfTrue="1" operator="equal">
      <formula>"NO ADMISIBLE"</formula>
    </cfRule>
    <cfRule type="cellIs" dxfId="187" priority="10" stopIfTrue="1" operator="equal">
      <formula>"ADMISIBLE"</formula>
    </cfRule>
  </conditionalFormatting>
  <conditionalFormatting sqref="S45:S55">
    <cfRule type="cellIs" dxfId="186" priority="6" stopIfTrue="1" operator="equal">
      <formula>"NO ADMISIBLE"</formula>
    </cfRule>
  </conditionalFormatting>
  <conditionalFormatting sqref="T45:T55">
    <cfRule type="cellIs" dxfId="185" priority="7" stopIfTrue="1" operator="equal">
      <formula>"NO ADMISIBLE"</formula>
    </cfRule>
    <cfRule type="cellIs" dxfId="184" priority="8" stopIfTrue="1" operator="equal">
      <formula>"ADMISIBLE"</formula>
    </cfRule>
  </conditionalFormatting>
  <conditionalFormatting sqref="U45:U55">
    <cfRule type="cellIs" dxfId="183" priority="3" stopIfTrue="1" operator="equal">
      <formula>"NO ADMISIBLE"</formula>
    </cfRule>
  </conditionalFormatting>
  <conditionalFormatting sqref="V45:V55">
    <cfRule type="cellIs" dxfId="182" priority="4" stopIfTrue="1" operator="equal">
      <formula>"NO ADMISIBLE"</formula>
    </cfRule>
    <cfRule type="cellIs" dxfId="181" priority="5" stopIfTrue="1" operator="equal">
      <formula>"ADMISIBLE"</formula>
    </cfRule>
  </conditionalFormatting>
  <conditionalFormatting sqref="D45:D55">
    <cfRule type="cellIs" dxfId="180" priority="2" stopIfTrue="1" operator="equal">
      <formula>"NO ADMISIBLE"</formula>
    </cfRule>
  </conditionalFormatting>
  <conditionalFormatting sqref="J46:K47">
    <cfRule type="cellIs" dxfId="179" priority="1" stopIfTrue="1" operator="equal">
      <formula>"NO ADMISIBLE"</formula>
    </cfRule>
  </conditionalFormatting>
  <dataValidations count="1">
    <dataValidation type="list" allowBlank="1" showInputMessage="1" showErrorMessage="1" sqref="D12:D55 C12 C14:C34 C36:C44 C48:C55" xr:uid="{00000000-0002-0000-0300-000000000000}">
      <formula1>prueba</formula1>
    </dataValidation>
  </dataValidations>
  <hyperlinks>
    <hyperlink ref="C47" r:id="rId2" display="javascript:void(0);" xr:uid="{00000000-0004-0000-0300-000000000000}"/>
  </hyperlinks>
  <printOptions horizontalCentered="1" verticalCentered="1"/>
  <pageMargins left="0.19685039370078741" right="0.75" top="0.55118110236220474" bottom="0.43307086614173229" header="0" footer="0"/>
  <pageSetup paperSize="14" scale="50" orientation="landscape" horizontalDpi="300" verticalDpi="300" r:id="rId3"/>
  <headerFooter alignWithMargins="0">
    <oddFooter>&amp;RElaboro: MN
&amp;D</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58" r:id="rId6" name="Button 34">
              <controlPr defaultSize="0" print="0" autoFill="0" autoPict="0" macro="[0]!copiar" altText="No. Propuestas">
                <anchor moveWithCells="1" sizeWithCells="1">
                  <from>
                    <xdr:col>0</xdr:col>
                    <xdr:colOff>0</xdr:colOff>
                    <xdr:row>1</xdr:row>
                    <xdr:rowOff>0</xdr:rowOff>
                  </from>
                  <to>
                    <xdr:col>1</xdr:col>
                    <xdr:colOff>0</xdr:colOff>
                    <xdr:row>2</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1"/>
  <dimension ref="A2:O52"/>
  <sheetViews>
    <sheetView topLeftCell="A3" workbookViewId="0">
      <selection activeCell="G55" sqref="G55"/>
    </sheetView>
  </sheetViews>
  <sheetFormatPr baseColWidth="10" defaultRowHeight="12.75" x14ac:dyDescent="0.2"/>
  <cols>
    <col min="1" max="1" width="11.42578125" style="156" customWidth="1"/>
    <col min="2" max="2" width="11.28515625" style="156" customWidth="1"/>
    <col min="3" max="3" width="3.85546875" style="156" customWidth="1"/>
    <col min="4" max="4" width="29.42578125" style="156" customWidth="1"/>
    <col min="5" max="5" width="15" style="156" customWidth="1"/>
    <col min="6" max="6" width="22.28515625" style="156" customWidth="1"/>
    <col min="7" max="8" width="17" style="156" customWidth="1"/>
    <col min="9" max="9" width="13.85546875" style="145" customWidth="1"/>
    <col min="10" max="10" width="36.140625" style="145" customWidth="1"/>
    <col min="11" max="11" width="32.28515625" style="156" customWidth="1"/>
    <col min="12" max="12" width="13.85546875" style="167" customWidth="1"/>
    <col min="13" max="13" width="9.7109375" style="168" customWidth="1"/>
    <col min="14" max="14" width="12.5703125" style="156" customWidth="1"/>
    <col min="15" max="15" width="12.7109375" style="156" customWidth="1"/>
    <col min="16" max="16384" width="11.42578125" style="156"/>
  </cols>
  <sheetData>
    <row r="2" spans="1:15" s="158" customFormat="1" ht="20.25" customHeight="1" x14ac:dyDescent="0.2">
      <c r="C2" s="364" t="s">
        <v>199</v>
      </c>
      <c r="D2" s="364"/>
      <c r="E2" s="364"/>
      <c r="F2" s="364"/>
      <c r="G2" s="364"/>
      <c r="H2" s="364"/>
      <c r="I2" s="364"/>
      <c r="J2" s="364"/>
      <c r="L2" s="159"/>
      <c r="M2" s="160"/>
    </row>
    <row r="3" spans="1:15" s="158" customFormat="1" ht="18" customHeight="1" x14ac:dyDescent="0.2">
      <c r="C3" s="365" t="s">
        <v>213</v>
      </c>
      <c r="D3" s="365"/>
      <c r="E3" s="365"/>
      <c r="F3" s="365"/>
      <c r="G3" s="365"/>
      <c r="H3" s="365"/>
      <c r="I3" s="365"/>
      <c r="J3" s="365"/>
      <c r="L3" s="159"/>
      <c r="M3" s="160"/>
    </row>
    <row r="4" spans="1:15" s="158" customFormat="1" ht="13.5" customHeight="1" x14ac:dyDescent="0.2">
      <c r="C4" s="366" t="str">
        <f>'Capacidad Financiera'!B4</f>
        <v>PROCESO SELECCIÓN ABREVIADA No. SA-MC-DT-SUC-001-2024</v>
      </c>
      <c r="D4" s="366"/>
      <c r="E4" s="366"/>
      <c r="F4" s="366"/>
      <c r="G4" s="366"/>
      <c r="H4" s="366"/>
      <c r="I4" s="366"/>
      <c r="J4" s="366"/>
      <c r="L4" s="159"/>
      <c r="M4" s="160"/>
    </row>
    <row r="5" spans="1:15" s="158" customFormat="1" ht="13.5" customHeight="1" x14ac:dyDescent="0.2">
      <c r="C5" s="366" t="s">
        <v>215</v>
      </c>
      <c r="D5" s="366"/>
      <c r="E5" s="366"/>
      <c r="F5" s="366"/>
      <c r="G5" s="366"/>
      <c r="H5" s="366"/>
      <c r="I5" s="366"/>
      <c r="J5" s="366"/>
      <c r="L5" s="159"/>
      <c r="M5" s="160"/>
    </row>
    <row r="6" spans="1:15" s="158" customFormat="1" ht="14.25" thickBot="1" x14ac:dyDescent="0.25">
      <c r="C6" s="161"/>
      <c r="D6" s="161"/>
      <c r="E6" s="162"/>
      <c r="F6" s="162"/>
      <c r="G6" s="162"/>
      <c r="H6" s="163"/>
      <c r="I6" s="165"/>
      <c r="J6" s="165"/>
      <c r="L6" s="159"/>
      <c r="M6" s="160"/>
    </row>
    <row r="7" spans="1:15" ht="69" customHeight="1" x14ac:dyDescent="0.2">
      <c r="C7" s="367" t="s">
        <v>158</v>
      </c>
      <c r="D7" s="369" t="s">
        <v>157</v>
      </c>
      <c r="E7" s="371" t="s">
        <v>216</v>
      </c>
      <c r="F7" s="371" t="s">
        <v>233</v>
      </c>
      <c r="G7" s="371" t="s">
        <v>234</v>
      </c>
      <c r="H7" s="371" t="s">
        <v>235</v>
      </c>
      <c r="I7" s="362" t="s">
        <v>215</v>
      </c>
      <c r="J7" s="363"/>
    </row>
    <row r="8" spans="1:15" ht="73.5" customHeight="1" thickBot="1" x14ac:dyDescent="0.25">
      <c r="C8" s="368"/>
      <c r="D8" s="370"/>
      <c r="E8" s="372"/>
      <c r="F8" s="372"/>
      <c r="G8" s="372"/>
      <c r="H8" s="372"/>
      <c r="I8" s="205" t="s">
        <v>217</v>
      </c>
      <c r="J8" s="206" t="s">
        <v>218</v>
      </c>
    </row>
    <row r="9" spans="1:15" ht="13.5" thickBot="1" x14ac:dyDescent="0.25">
      <c r="A9" s="189" t="s">
        <v>219</v>
      </c>
      <c r="C9" s="90">
        <f>+'Capacidad Financiera'!B12</f>
        <v>1</v>
      </c>
      <c r="D9" s="91">
        <f>IF(ISERROR(VLOOKUP(C9,'Capacidad Financiera'!$B$12:$AD$59206,2,0)),"",VLOOKUP(C9,'Capacidad Financiera'!$B$12:$AD$59206,2,0))</f>
        <v>0</v>
      </c>
      <c r="E9" s="92">
        <f>IF(ISERROR(VLOOKUP(C9,'Capacidad Financiera'!$B$12:$AD$59206,3,0)),"",VLOOKUP(C9,'Capacidad Financiera'!$B$12:$AD$59206,3,0))</f>
        <v>1</v>
      </c>
      <c r="F9" s="93"/>
      <c r="G9" s="93"/>
      <c r="H9" s="93" t="str">
        <f>IF(OR(D9="",E9="",F9=""),"",IF(C10="",IF(C9&lt;&gt;"",IF(ISERROR(VLOOKUP($A$10,POA!$A$2:$D$16,2,0)),"",VLOOKUP($A$10,POA!$A$2:$D$16,2,0)),""),""))</f>
        <v/>
      </c>
      <c r="I9" s="202" t="str">
        <f>IF(OR(D9="",E9="",F9=""),"",IF(C10="",IF(C9&lt;&gt;"",F9/H9,""),""))</f>
        <v/>
      </c>
      <c r="J9" s="198">
        <v>120</v>
      </c>
      <c r="L9" s="169"/>
      <c r="M9" s="170"/>
      <c r="N9" s="157"/>
      <c r="O9" s="157"/>
    </row>
    <row r="10" spans="1:15" ht="13.5" thickBot="1" x14ac:dyDescent="0.25">
      <c r="A10" s="201">
        <v>1</v>
      </c>
      <c r="C10" s="95">
        <f>+'Capacidad Financiera'!B13</f>
        <v>1.1000000000000001</v>
      </c>
      <c r="D10" s="137" t="str">
        <f>IF(ISERROR(VLOOKUP(C10,'Capacidad Financiera'!$B$12:$AD$59206,2,0)),"",VLOOKUP(C10,'Capacidad Financiera'!$B$12:$AD$59206,2,0))</f>
        <v>CCC DE LA SABANA SAS</v>
      </c>
      <c r="E10" s="197">
        <f>IF(ISERROR(VLOOKUP(C10,'Capacidad Financiera'!$B$12:$AD$59206,3,0)),"",VLOOKUP(C10,'Capacidad Financiera'!$B$12:$AD$59206,3,0))</f>
        <v>1</v>
      </c>
      <c r="F10" s="177">
        <v>35668193860</v>
      </c>
      <c r="G10" s="177">
        <f t="shared" ref="G10:G19" si="0">IF(OR(D10="",E10="",F10=""),"",F10/SALACTUAL)</f>
        <v>27437.072199999999</v>
      </c>
      <c r="H10" s="177">
        <f>IF(OR(D10="",E10="",F10=""),"",IF(C10&lt;&gt;"",IF(ISERROR(VLOOKUP($A$10,POA!$A$2:$D$16,2,0)),"",VLOOKUP($A$10,POA!$A$2:$D$16,2,0)/SALACTUAL),""))</f>
        <v>588.46153846153845</v>
      </c>
      <c r="I10" s="210">
        <f>IF(OR(D10="",E10="",G10=""),"",IF(C10&lt;&gt;"",G10/(H10*E10),""))</f>
        <v>46.62509001307189</v>
      </c>
      <c r="J10" s="214">
        <f>IF(OR(D10="",E10="",F10=""),"",IF(AND(I10&gt;0,I10&lt;=Experiencia1),Puntajes!$D$4,IF(AND(I10&gt;Experiencia1,I10&lt;=Experiencia2),Puntajes!$D$5,IF(AND(I10&gt;Experiencia2,I10&lt;=Experiencia3),Puntajes!$D$6,IF(I10&gt;Experiencia3,Puntajes!$D$7,0)))))</f>
        <v>120</v>
      </c>
    </row>
    <row r="11" spans="1:15" ht="13.5" hidden="1" thickBot="1" x14ac:dyDescent="0.25">
      <c r="C11" s="95" t="str">
        <f>+'Capacidad Financiera'!B14</f>
        <v/>
      </c>
      <c r="D11" s="137">
        <f>IF(ISERROR(VLOOKUP(C11,'Capacidad Financiera'!$B$12:$AD$59206,2,0)),"",VLOOKUP(C11,'Capacidad Financiera'!$B$12:$AD$59206,2,0))</f>
        <v>0</v>
      </c>
      <c r="E11" s="197">
        <f>IF(ISERROR(VLOOKUP(C11,'Capacidad Financiera'!$B$12:$AD$59206,3,0)),"",VLOOKUP(C11,'Capacidad Financiera'!$B$12:$AD$59206,3,0))</f>
        <v>0</v>
      </c>
      <c r="F11" s="177"/>
      <c r="G11" s="177" t="str">
        <f t="shared" si="0"/>
        <v/>
      </c>
      <c r="H11" s="177" t="str">
        <f>IF(OR(D11="",E11="",F11=""),"",IF(C11&lt;&gt;"",IF(ISERROR(VLOOKUP($A$10,POA!$A$2:$D$16,2,0)),"",VLOOKUP($A$10,POA!$A$2:$D$16,2,0)/SALACTUAL),""))</f>
        <v/>
      </c>
      <c r="I11" s="210" t="str">
        <f t="shared" ref="I11:I19" si="1">IF(OR(D11="",E11="",G11=""),"",IF(C11&lt;&gt;"",G11/(H11*E11),""))</f>
        <v/>
      </c>
      <c r="J11" s="214" t="str">
        <f>IF(OR(D11="",E11="",F11=""),"",IF(AND(I11&gt;0,I11&lt;=Experiencia1),Puntajes!$D$4,IF(AND(I11&gt;Experiencia1,I11&lt;=Experiencia2),Puntajes!$D$5,IF(AND(I11&gt;Experiencia2,I11&lt;=Experiencia3),Puntajes!$D$6,IF(I11&gt;Experiencia3,Puntajes!$D$7,0)))))</f>
        <v/>
      </c>
    </row>
    <row r="12" spans="1:15" ht="13.5" hidden="1" thickBot="1" x14ac:dyDescent="0.25">
      <c r="C12" s="95" t="str">
        <f>+'Capacidad Financiera'!B15</f>
        <v/>
      </c>
      <c r="D12" s="137">
        <f>IF(ISERROR(VLOOKUP(C12,'Capacidad Financiera'!$B$12:$AD$59206,2,0)),"",VLOOKUP(C12,'Capacidad Financiera'!$B$12:$AD$59206,2,0))</f>
        <v>0</v>
      </c>
      <c r="E12" s="197">
        <f>IF(ISERROR(VLOOKUP(C12,'Capacidad Financiera'!$B$12:$AD$59206,3,0)),"",VLOOKUP(C12,'Capacidad Financiera'!$B$12:$AD$59206,3,0))</f>
        <v>0</v>
      </c>
      <c r="F12" s="177"/>
      <c r="G12" s="177" t="str">
        <f t="shared" si="0"/>
        <v/>
      </c>
      <c r="H12" s="177" t="str">
        <f>IF(OR(D12="",E12="",F12=""),"",IF(C12&lt;&gt;"",IF(ISERROR(VLOOKUP($A$10,POA!$A$2:$D$16,2,0)),"",VLOOKUP($A$10,POA!$A$2:$D$16,2,0)/SALACTUAL),""))</f>
        <v/>
      </c>
      <c r="I12" s="210" t="str">
        <f t="shared" si="1"/>
        <v/>
      </c>
      <c r="J12" s="214" t="str">
        <f>IF(OR(D12="",E12="",F12=""),"",IF(AND(I12&gt;0,I12&lt;=Experiencia1),Puntajes!$D$4,IF(AND(I12&gt;Experiencia1,I12&lt;=Experiencia2),Puntajes!$D$5,IF(AND(I12&gt;Experiencia2,I12&lt;=Experiencia3),Puntajes!$D$6,IF(I12&gt;Experiencia3,Puntajes!$D$7,0)))))</f>
        <v/>
      </c>
    </row>
    <row r="13" spans="1:15" ht="13.5" hidden="1" thickBot="1" x14ac:dyDescent="0.25">
      <c r="C13" s="95" t="str">
        <f>+'Capacidad Financiera'!B16</f>
        <v/>
      </c>
      <c r="D13" s="137">
        <f>IF(ISERROR(VLOOKUP(C13,'Capacidad Financiera'!$B$12:$AD$59206,2,0)),"",VLOOKUP(C13,'Capacidad Financiera'!$B$12:$AD$59206,2,0))</f>
        <v>0</v>
      </c>
      <c r="E13" s="197">
        <f>IF(ISERROR(VLOOKUP(C13,'Capacidad Financiera'!$B$12:$AD$59206,3,0)),"",VLOOKUP(C13,'Capacidad Financiera'!$B$12:$AD$59206,3,0))</f>
        <v>0</v>
      </c>
      <c r="F13" s="177"/>
      <c r="G13" s="177" t="str">
        <f t="shared" si="0"/>
        <v/>
      </c>
      <c r="H13" s="177" t="str">
        <f>IF(OR(D13="",E13="",F13=""),"",IF(C13&lt;&gt;"",IF(ISERROR(VLOOKUP($A$10,POA!$A$2:$D$16,2,0)),"",VLOOKUP($A$10,POA!$A$2:$D$16,2,0)/SALACTUAL),""))</f>
        <v/>
      </c>
      <c r="I13" s="210" t="str">
        <f t="shared" si="1"/>
        <v/>
      </c>
      <c r="J13" s="214" t="str">
        <f>IF(OR(D13="",E13="",F13=""),"",IF(AND(I13&gt;0,I13&lt;=Experiencia1),Puntajes!$D$4,IF(AND(I13&gt;Experiencia1,I13&lt;=Experiencia2),Puntajes!$D$5,IF(AND(I13&gt;Experiencia2,I13&lt;=Experiencia3),Puntajes!$D$6,IF(I13&gt;Experiencia3,Puntajes!$D$7,0)))))</f>
        <v/>
      </c>
    </row>
    <row r="14" spans="1:15" ht="13.5" hidden="1" thickBot="1" x14ac:dyDescent="0.25">
      <c r="C14" s="95" t="str">
        <f>+'Capacidad Financiera'!B17</f>
        <v/>
      </c>
      <c r="D14" s="137">
        <f>IF(ISERROR(VLOOKUP(C14,'Capacidad Financiera'!$B$12:$AD$59206,2,0)),"",VLOOKUP(C14,'Capacidad Financiera'!$B$12:$AD$59206,2,0))</f>
        <v>0</v>
      </c>
      <c r="E14" s="197">
        <f>IF(ISERROR(VLOOKUP(C14,'Capacidad Financiera'!$B$12:$AD$59206,3,0)),"",VLOOKUP(C14,'Capacidad Financiera'!$B$12:$AD$59206,3,0))</f>
        <v>0</v>
      </c>
      <c r="F14" s="177"/>
      <c r="G14" s="177" t="str">
        <f t="shared" si="0"/>
        <v/>
      </c>
      <c r="H14" s="177" t="str">
        <f>IF(OR(D14="",E14="",F14=""),"",IF(C14&lt;&gt;"",IF(ISERROR(VLOOKUP($A$10,POA!$A$2:$D$16,2,0)),"",VLOOKUP($A$10,POA!$A$2:$D$16,2,0)/SALACTUAL),""))</f>
        <v/>
      </c>
      <c r="I14" s="210" t="str">
        <f t="shared" si="1"/>
        <v/>
      </c>
      <c r="J14" s="214" t="str">
        <f>IF(OR(D14="",E14="",F14=""),"",IF(AND(I14&gt;0,I14&lt;=Experiencia1),Puntajes!$D$4,IF(AND(I14&gt;Experiencia1,I14&lt;=Experiencia2),Puntajes!$D$5,IF(AND(I14&gt;Experiencia2,I14&lt;=Experiencia3),Puntajes!$D$6,IF(I14&gt;Experiencia3,Puntajes!$D$7,0)))))</f>
        <v/>
      </c>
    </row>
    <row r="15" spans="1:15" ht="13.5" hidden="1" thickBot="1" x14ac:dyDescent="0.25">
      <c r="C15" s="95" t="str">
        <f>+'Capacidad Financiera'!B18</f>
        <v/>
      </c>
      <c r="D15" s="137">
        <f>IF(ISERROR(VLOOKUP(C15,'Capacidad Financiera'!$B$12:$AD$59206,2,0)),"",VLOOKUP(C15,'Capacidad Financiera'!$B$12:$AD$59206,2,0))</f>
        <v>0</v>
      </c>
      <c r="E15" s="197">
        <f>IF(ISERROR(VLOOKUP(C15,'Capacidad Financiera'!$B$12:$AD$59206,3,0)),"",VLOOKUP(C15,'Capacidad Financiera'!$B$12:$AD$59206,3,0))</f>
        <v>0</v>
      </c>
      <c r="F15" s="177"/>
      <c r="G15" s="177" t="str">
        <f t="shared" si="0"/>
        <v/>
      </c>
      <c r="H15" s="177" t="str">
        <f>IF(OR(D15="",E15="",F15=""),"",IF(C15&lt;&gt;"",IF(ISERROR(VLOOKUP($A$10,POA!$A$2:$D$16,2,0)),"",VLOOKUP($A$10,POA!$A$2:$D$16,2,0)/SALACTUAL),""))</f>
        <v/>
      </c>
      <c r="I15" s="210" t="str">
        <f t="shared" si="1"/>
        <v/>
      </c>
      <c r="J15" s="214" t="str">
        <f>IF(OR(D15="",E15="",F15=""),"",IF(AND(I15&gt;0,I15&lt;=Experiencia1),Puntajes!$D$4,IF(AND(I15&gt;Experiencia1,I15&lt;=Experiencia2),Puntajes!$D$5,IF(AND(I15&gt;Experiencia2,I15&lt;=Experiencia3),Puntajes!$D$6,IF(I15&gt;Experiencia3,Puntajes!$D$7,0)))))</f>
        <v/>
      </c>
    </row>
    <row r="16" spans="1:15" ht="13.5" hidden="1" thickBot="1" x14ac:dyDescent="0.25">
      <c r="C16" s="95" t="str">
        <f>+'Capacidad Financiera'!B19</f>
        <v/>
      </c>
      <c r="D16" s="137">
        <f>IF(ISERROR(VLOOKUP(C16,'Capacidad Financiera'!$B$12:$AD$59206,2,0)),"",VLOOKUP(C16,'Capacidad Financiera'!$B$12:$AD$59206,2,0))</f>
        <v>0</v>
      </c>
      <c r="E16" s="197">
        <f>IF(ISERROR(VLOOKUP(C16,'Capacidad Financiera'!$B$12:$AD$59206,3,0)),"",VLOOKUP(C16,'Capacidad Financiera'!$B$12:$AD$59206,3,0))</f>
        <v>0</v>
      </c>
      <c r="F16" s="177"/>
      <c r="G16" s="177" t="str">
        <f t="shared" si="0"/>
        <v/>
      </c>
      <c r="H16" s="177" t="str">
        <f>IF(OR(D16="",E16="",F16=""),"",IF(C16&lt;&gt;"",IF(ISERROR(VLOOKUP($A$10,POA!$A$2:$D$16,2,0)),"",VLOOKUP($A$10,POA!$A$2:$D$16,2,0)/SALACTUAL),""))</f>
        <v/>
      </c>
      <c r="I16" s="210" t="str">
        <f t="shared" si="1"/>
        <v/>
      </c>
      <c r="J16" s="214" t="str">
        <f>IF(OR(D16="",E16="",F16=""),"",IF(AND(I16&gt;0,I16&lt;=Experiencia1),Puntajes!$D$4,IF(AND(I16&gt;Experiencia1,I16&lt;=Experiencia2),Puntajes!$D$5,IF(AND(I16&gt;Experiencia2,I16&lt;=Experiencia3),Puntajes!$D$6,IF(I16&gt;Experiencia3,Puntajes!$D$7,0)))))</f>
        <v/>
      </c>
    </row>
    <row r="17" spans="3:10" ht="13.5" hidden="1" thickBot="1" x14ac:dyDescent="0.25">
      <c r="C17" s="95" t="str">
        <f>+'Capacidad Financiera'!B20</f>
        <v/>
      </c>
      <c r="D17" s="137">
        <f>IF(ISERROR(VLOOKUP(C17,'Capacidad Financiera'!$B$12:$AD$59206,2,0)),"",VLOOKUP(C17,'Capacidad Financiera'!$B$12:$AD$59206,2,0))</f>
        <v>0</v>
      </c>
      <c r="E17" s="197">
        <f>IF(ISERROR(VLOOKUP(C17,'Capacidad Financiera'!$B$12:$AD$59206,3,0)),"",VLOOKUP(C17,'Capacidad Financiera'!$B$12:$AD$59206,3,0))</f>
        <v>0</v>
      </c>
      <c r="F17" s="177"/>
      <c r="G17" s="177" t="str">
        <f t="shared" si="0"/>
        <v/>
      </c>
      <c r="H17" s="177" t="str">
        <f>IF(OR(D17="",E17="",F17=""),"",IF(C17&lt;&gt;"",IF(ISERROR(VLOOKUP($A$10,POA!$A$2:$D$16,2,0)),"",VLOOKUP($A$10,POA!$A$2:$D$16,2,0)/SALACTUAL),""))</f>
        <v/>
      </c>
      <c r="I17" s="210" t="str">
        <f t="shared" si="1"/>
        <v/>
      </c>
      <c r="J17" s="214" t="str">
        <f>IF(OR(D17="",E17="",F17=""),"",IF(AND(I17&gt;0,I17&lt;=Experiencia1),Puntajes!$D$4,IF(AND(I17&gt;Experiencia1,I17&lt;=Experiencia2),Puntajes!$D$5,IF(AND(I17&gt;Experiencia2,I17&lt;=Experiencia3),Puntajes!$D$6,IF(I17&gt;Experiencia3,Puntajes!$D$7,0)))))</f>
        <v/>
      </c>
    </row>
    <row r="18" spans="3:10" ht="13.5" hidden="1" thickBot="1" x14ac:dyDescent="0.25">
      <c r="C18" s="95" t="str">
        <f>+'Capacidad Financiera'!B21</f>
        <v/>
      </c>
      <c r="D18" s="137">
        <f>IF(ISERROR(VLOOKUP(C18,'Capacidad Financiera'!$B$12:$AD$59206,2,0)),"",VLOOKUP(C18,'Capacidad Financiera'!$B$12:$AD$59206,2,0))</f>
        <v>0</v>
      </c>
      <c r="E18" s="197">
        <f>IF(ISERROR(VLOOKUP(C18,'Capacidad Financiera'!$B$12:$AD$59206,3,0)),"",VLOOKUP(C18,'Capacidad Financiera'!$B$12:$AD$59206,3,0))</f>
        <v>0</v>
      </c>
      <c r="F18" s="177"/>
      <c r="G18" s="177" t="str">
        <f t="shared" si="0"/>
        <v/>
      </c>
      <c r="H18" s="177" t="str">
        <f>IF(OR(D18="",E18="",F18=""),"",IF(C18&lt;&gt;"",IF(ISERROR(VLOOKUP($A$10,POA!$A$2:$D$16,2,0)),"",VLOOKUP($A$10,POA!$A$2:$D$16,2,0)/SALACTUAL),""))</f>
        <v/>
      </c>
      <c r="I18" s="210" t="str">
        <f t="shared" si="1"/>
        <v/>
      </c>
      <c r="J18" s="214" t="str">
        <f>IF(OR(D18="",E18="",F18=""),"",IF(AND(I18&gt;0,I18&lt;=Experiencia1),Puntajes!$D$4,IF(AND(I18&gt;Experiencia1,I18&lt;=Experiencia2),Puntajes!$D$5,IF(AND(I18&gt;Experiencia2,I18&lt;=Experiencia3),Puntajes!$D$6,IF(I18&gt;Experiencia3,Puntajes!$D$7,0)))))</f>
        <v/>
      </c>
    </row>
    <row r="19" spans="3:10" ht="13.5" hidden="1" thickBot="1" x14ac:dyDescent="0.25">
      <c r="C19" s="96" t="str">
        <f>+'Capacidad Financiera'!B22</f>
        <v/>
      </c>
      <c r="D19" s="97">
        <f>IF(ISERROR(VLOOKUP(C19,'Capacidad Financiera'!$B$12:$AD$59206,2,0)),"",VLOOKUP(C19,'Capacidad Financiera'!$B$12:$AD$59206,2,0))</f>
        <v>0</v>
      </c>
      <c r="E19" s="98">
        <f>IF(ISERROR(VLOOKUP(C19,'Capacidad Financiera'!$B$12:$AD$59206,3,0)),"",VLOOKUP(C19,'Capacidad Financiera'!$B$12:$AD$59206,3,0))</f>
        <v>0</v>
      </c>
      <c r="F19" s="178"/>
      <c r="G19" s="178" t="str">
        <f t="shared" si="0"/>
        <v/>
      </c>
      <c r="H19" s="178" t="str">
        <f>IF(OR(D19="",E19="",F19=""),"",IF(C19&lt;&gt;"",IF(ISERROR(VLOOKUP($A$10,POA!$A$2:$D$16,2,0)),"",VLOOKUP($A$10,POA!$A$2:$D$16,2,0)/SALACTUAL),""))</f>
        <v/>
      </c>
      <c r="I19" s="211" t="str">
        <f t="shared" si="1"/>
        <v/>
      </c>
      <c r="J19" s="215" t="str">
        <f>IF(OR(D19="",E19="",F19=""),"",IF(AND(I19&gt;0,I19&lt;=Experiencia1),Puntajes!$D$4,IF(AND(I19&gt;Experiencia1,I19&lt;=Experiencia2),Puntajes!$D$5,IF(AND(I19&gt;Experiencia2,I19&lt;=Experiencia3),Puntajes!$D$6,IF(I19&gt;Experiencia3,Puntajes!$D$7,0)))))</f>
        <v/>
      </c>
    </row>
    <row r="20" spans="3:10" x14ac:dyDescent="0.2">
      <c r="C20" s="90">
        <v>2</v>
      </c>
      <c r="D20" s="91">
        <f>IF(ISERROR(VLOOKUP(C20,'Capacidad Financiera'!$B$12:$AD$59206,2,0)),"",VLOOKUP(C20,'Capacidad Financiera'!$B$12:$AD$59206,2,0))</f>
        <v>0</v>
      </c>
      <c r="E20" s="92">
        <f>IF(ISERROR(VLOOKUP(C20,'Capacidad Financiera'!$B$12:$AD$59206,3,0)),"",VLOOKUP(C20,'Capacidad Financiera'!$B$12:$AD$59206,3,0))</f>
        <v>1</v>
      </c>
      <c r="F20" s="93"/>
      <c r="G20" s="93"/>
      <c r="H20" s="93" t="str">
        <f>IF(OR(D20="",E20="",F20=""),"",IF(C21="",IF(C20&lt;&gt;"",IF(ISERROR(VLOOKUP($A$10,POA!$A$2:$D$16,2,0)),"",VLOOKUP($A$10,POA!$A$2:$D$16,2,0)),""),""))</f>
        <v/>
      </c>
      <c r="I20" s="202" t="str">
        <f>IF(OR(D20="",E20="",F20=""),"",IF(C21="",IF(C20&lt;&gt;"",F20/H20,""),""))</f>
        <v/>
      </c>
      <c r="J20" s="198">
        <v>120</v>
      </c>
    </row>
    <row r="21" spans="3:10" ht="13.5" thickBot="1" x14ac:dyDescent="0.25">
      <c r="C21" s="95">
        <f>+'Capacidad Financiera'!B24</f>
        <v>2.1</v>
      </c>
      <c r="D21" s="137" t="str">
        <f>IF(ISERROR(VLOOKUP(C21,'Capacidad Financiera'!$B$12:$AD$59206,2,0)),"",VLOOKUP(C21,'Capacidad Financiera'!$B$12:$AD$59206,2,0))</f>
        <v>GAMA INGENIERIA SAS</v>
      </c>
      <c r="E21" s="197">
        <f>IF(ISERROR(VLOOKUP(C21,'Capacidad Financiera'!$B$12:$AD$59206,3,0)),"",VLOOKUP(C21,'Capacidad Financiera'!$B$12:$AD$59206,3,0))</f>
        <v>1</v>
      </c>
      <c r="F21" s="177">
        <v>43215173300</v>
      </c>
      <c r="G21" s="177">
        <f t="shared" ref="G21:G30" si="2">IF(OR(D21="",E21="",F21=""),"",F21/SALACTUAL)</f>
        <v>33242.440999999999</v>
      </c>
      <c r="H21" s="177">
        <f>IF(OR(D21="",E21="",F21=""),"",IF(C21&lt;&gt;"",IF(ISERROR(VLOOKUP($A$10,POA!$A$2:$D$16,2,0)),"",VLOOKUP($A$10,POA!$A$2:$D$16,2,0)/SALACTUAL),""))</f>
        <v>588.46153846153845</v>
      </c>
      <c r="I21" s="210">
        <f>IF(OR(D21="",E21="",G21=""),"",IF(C21&lt;&gt;"",G21/(H21*E21),""))</f>
        <v>56.490422614379085</v>
      </c>
      <c r="J21" s="214">
        <f>IF(OR(D21="",E21="",F21=""),"",IF(AND(I21&gt;0,I21&lt;=Experiencia1),Puntajes!$D$4,IF(AND(I21&gt;Experiencia1,I21&lt;=Experiencia2),Puntajes!$D$5,IF(AND(I21&gt;Experiencia2,I21&lt;=Experiencia3),Puntajes!$D$6,IF(I21&gt;Experiencia3,Puntajes!$D$7,0)))))</f>
        <v>120</v>
      </c>
    </row>
    <row r="22" spans="3:10" ht="13.5" hidden="1" thickBot="1" x14ac:dyDescent="0.25">
      <c r="C22" s="95" t="str">
        <f>+'Capacidad Financiera'!B25</f>
        <v/>
      </c>
      <c r="D22" s="137">
        <f>IF(ISERROR(VLOOKUP(C22,'Capacidad Financiera'!$B$12:$AD$59206,2,0)),"",VLOOKUP(C22,'Capacidad Financiera'!$B$12:$AD$59206,2,0))</f>
        <v>0</v>
      </c>
      <c r="E22" s="197">
        <f>IF(ISERROR(VLOOKUP(C22,'Capacidad Financiera'!$B$12:$AD$59206,3,0)),"",VLOOKUP(C22,'Capacidad Financiera'!$B$12:$AD$59206,3,0))</f>
        <v>0</v>
      </c>
      <c r="F22" s="177"/>
      <c r="G22" s="177" t="str">
        <f t="shared" si="2"/>
        <v/>
      </c>
      <c r="H22" s="177" t="str">
        <f>IF(OR(D22="",E22="",F22=""),"",IF(C22&lt;&gt;"",IF(ISERROR(VLOOKUP($A$10,POA!$A$2:$D$16,2,0)),"",VLOOKUP($A$10,POA!$A$2:$D$16,2,0)/SALACTUAL),""))</f>
        <v/>
      </c>
      <c r="I22" s="210" t="str">
        <f t="shared" ref="I22:I30" si="3">IF(OR(D22="",E22="",G22=""),"",IF(C22&lt;&gt;"",G22/(H22*E22),""))</f>
        <v/>
      </c>
      <c r="J22" s="214" t="str">
        <f>IF(OR(D22="",E22="",F22=""),"",IF(AND(I22&gt;0,I22&lt;=Experiencia1),Puntajes!$D$4,IF(AND(I22&gt;Experiencia1,I22&lt;=Experiencia2),Puntajes!$D$5,IF(AND(I22&gt;Experiencia2,I22&lt;=Experiencia3),Puntajes!$D$6,IF(I22&gt;Experiencia3,Puntajes!$D$7,0)))))</f>
        <v/>
      </c>
    </row>
    <row r="23" spans="3:10" ht="13.5" hidden="1" thickBot="1" x14ac:dyDescent="0.25">
      <c r="C23" s="95" t="str">
        <f>+'Capacidad Financiera'!B26</f>
        <v/>
      </c>
      <c r="D23" s="137">
        <f>IF(ISERROR(VLOOKUP(C23,'Capacidad Financiera'!$B$12:$AD$59206,2,0)),"",VLOOKUP(C23,'Capacidad Financiera'!$B$12:$AD$59206,2,0))</f>
        <v>0</v>
      </c>
      <c r="E23" s="197">
        <f>IF(ISERROR(VLOOKUP(C23,'Capacidad Financiera'!$B$12:$AD$59206,3,0)),"",VLOOKUP(C23,'Capacidad Financiera'!$B$12:$AD$59206,3,0))</f>
        <v>0</v>
      </c>
      <c r="F23" s="177"/>
      <c r="G23" s="177" t="str">
        <f t="shared" si="2"/>
        <v/>
      </c>
      <c r="H23" s="177" t="str">
        <f>IF(OR(D23="",E23="",F23=""),"",IF(C23&lt;&gt;"",IF(ISERROR(VLOOKUP($A$10,POA!$A$2:$D$16,2,0)),"",VLOOKUP($A$10,POA!$A$2:$D$16,2,0)/SALACTUAL),""))</f>
        <v/>
      </c>
      <c r="I23" s="210" t="str">
        <f t="shared" si="3"/>
        <v/>
      </c>
      <c r="J23" s="214" t="str">
        <f>IF(OR(D23="",E23="",F23=""),"",IF(AND(I23&gt;0,I23&lt;=Experiencia1),Puntajes!$D$4,IF(AND(I23&gt;Experiencia1,I23&lt;=Experiencia2),Puntajes!$D$5,IF(AND(I23&gt;Experiencia2,I23&lt;=Experiencia3),Puntajes!$D$6,IF(I23&gt;Experiencia3,Puntajes!$D$7,0)))))</f>
        <v/>
      </c>
    </row>
    <row r="24" spans="3:10" ht="13.5" hidden="1" thickBot="1" x14ac:dyDescent="0.25">
      <c r="C24" s="95" t="str">
        <f>+'Capacidad Financiera'!B27</f>
        <v/>
      </c>
      <c r="D24" s="137">
        <f>IF(ISERROR(VLOOKUP(C24,'Capacidad Financiera'!$B$12:$AD$59206,2,0)),"",VLOOKUP(C24,'Capacidad Financiera'!$B$12:$AD$59206,2,0))</f>
        <v>0</v>
      </c>
      <c r="E24" s="197">
        <f>IF(ISERROR(VLOOKUP(C24,'Capacidad Financiera'!$B$12:$AD$59206,3,0)),"",VLOOKUP(C24,'Capacidad Financiera'!$B$12:$AD$59206,3,0))</f>
        <v>0</v>
      </c>
      <c r="F24" s="177"/>
      <c r="G24" s="177" t="str">
        <f t="shared" si="2"/>
        <v/>
      </c>
      <c r="H24" s="177" t="str">
        <f>IF(OR(D24="",E24="",F24=""),"",IF(C24&lt;&gt;"",IF(ISERROR(VLOOKUP($A$10,POA!$A$2:$D$16,2,0)),"",VLOOKUP($A$10,POA!$A$2:$D$16,2,0)/SALACTUAL),""))</f>
        <v/>
      </c>
      <c r="I24" s="210" t="str">
        <f t="shared" si="3"/>
        <v/>
      </c>
      <c r="J24" s="214" t="str">
        <f>IF(OR(D24="",E24="",F24=""),"",IF(AND(I24&gt;0,I24&lt;=Experiencia1),Puntajes!$D$4,IF(AND(I24&gt;Experiencia1,I24&lt;=Experiencia2),Puntajes!$D$5,IF(AND(I24&gt;Experiencia2,I24&lt;=Experiencia3),Puntajes!$D$6,IF(I24&gt;Experiencia3,Puntajes!$D$7,0)))))</f>
        <v/>
      </c>
    </row>
    <row r="25" spans="3:10" ht="13.5" hidden="1" thickBot="1" x14ac:dyDescent="0.25">
      <c r="C25" s="95" t="str">
        <f>+'Capacidad Financiera'!B28</f>
        <v/>
      </c>
      <c r="D25" s="137">
        <f>IF(ISERROR(VLOOKUP(C25,'Capacidad Financiera'!$B$12:$AD$59206,2,0)),"",VLOOKUP(C25,'Capacidad Financiera'!$B$12:$AD$59206,2,0))</f>
        <v>0</v>
      </c>
      <c r="E25" s="197">
        <f>IF(ISERROR(VLOOKUP(C25,'Capacidad Financiera'!$B$12:$AD$59206,3,0)),"",VLOOKUP(C25,'Capacidad Financiera'!$B$12:$AD$59206,3,0))</f>
        <v>0</v>
      </c>
      <c r="F25" s="177"/>
      <c r="G25" s="177" t="str">
        <f t="shared" si="2"/>
        <v/>
      </c>
      <c r="H25" s="177" t="str">
        <f>IF(OR(D25="",E25="",F25=""),"",IF(C25&lt;&gt;"",IF(ISERROR(VLOOKUP($A$10,POA!$A$2:$D$16,2,0)),"",VLOOKUP($A$10,POA!$A$2:$D$16,2,0)/SALACTUAL),""))</f>
        <v/>
      </c>
      <c r="I25" s="210" t="str">
        <f t="shared" si="3"/>
        <v/>
      </c>
      <c r="J25" s="214" t="str">
        <f>IF(OR(D25="",E25="",F25=""),"",IF(AND(I25&gt;0,I25&lt;=Experiencia1),Puntajes!$D$4,IF(AND(I25&gt;Experiencia1,I25&lt;=Experiencia2),Puntajes!$D$5,IF(AND(I25&gt;Experiencia2,I25&lt;=Experiencia3),Puntajes!$D$6,IF(I25&gt;Experiencia3,Puntajes!$D$7,0)))))</f>
        <v/>
      </c>
    </row>
    <row r="26" spans="3:10" ht="13.5" hidden="1" thickBot="1" x14ac:dyDescent="0.25">
      <c r="C26" s="95" t="str">
        <f>+'Capacidad Financiera'!B29</f>
        <v/>
      </c>
      <c r="D26" s="137">
        <f>IF(ISERROR(VLOOKUP(C26,'Capacidad Financiera'!$B$12:$AD$59206,2,0)),"",VLOOKUP(C26,'Capacidad Financiera'!$B$12:$AD$59206,2,0))</f>
        <v>0</v>
      </c>
      <c r="E26" s="197">
        <f>IF(ISERROR(VLOOKUP(C26,'Capacidad Financiera'!$B$12:$AD$59206,3,0)),"",VLOOKUP(C26,'Capacidad Financiera'!$B$12:$AD$59206,3,0))</f>
        <v>0</v>
      </c>
      <c r="F26" s="177"/>
      <c r="G26" s="177" t="str">
        <f t="shared" si="2"/>
        <v/>
      </c>
      <c r="H26" s="177" t="str">
        <f>IF(OR(D26="",E26="",F26=""),"",IF(C26&lt;&gt;"",IF(ISERROR(VLOOKUP($A$10,POA!$A$2:$D$16,2,0)),"",VLOOKUP($A$10,POA!$A$2:$D$16,2,0)/SALACTUAL),""))</f>
        <v/>
      </c>
      <c r="I26" s="210" t="str">
        <f t="shared" si="3"/>
        <v/>
      </c>
      <c r="J26" s="214" t="str">
        <f>IF(OR(D26="",E26="",F26=""),"",IF(AND(I26&gt;0,I26&lt;=Experiencia1),Puntajes!$D$4,IF(AND(I26&gt;Experiencia1,I26&lt;=Experiencia2),Puntajes!$D$5,IF(AND(I26&gt;Experiencia2,I26&lt;=Experiencia3),Puntajes!$D$6,IF(I26&gt;Experiencia3,Puntajes!$D$7,0)))))</f>
        <v/>
      </c>
    </row>
    <row r="27" spans="3:10" ht="13.5" hidden="1" thickBot="1" x14ac:dyDescent="0.25">
      <c r="C27" s="95" t="str">
        <f>+'Capacidad Financiera'!B30</f>
        <v/>
      </c>
      <c r="D27" s="137">
        <f>IF(ISERROR(VLOOKUP(C27,'Capacidad Financiera'!$B$12:$AD$59206,2,0)),"",VLOOKUP(C27,'Capacidad Financiera'!$B$12:$AD$59206,2,0))</f>
        <v>0</v>
      </c>
      <c r="E27" s="197">
        <f>IF(ISERROR(VLOOKUP(C27,'Capacidad Financiera'!$B$12:$AD$59206,3,0)),"",VLOOKUP(C27,'Capacidad Financiera'!$B$12:$AD$59206,3,0))</f>
        <v>0</v>
      </c>
      <c r="F27" s="177"/>
      <c r="G27" s="177" t="str">
        <f t="shared" si="2"/>
        <v/>
      </c>
      <c r="H27" s="177" t="str">
        <f>IF(OR(D27="",E27="",F27=""),"",IF(C27&lt;&gt;"",IF(ISERROR(VLOOKUP($A$10,POA!$A$2:$D$16,2,0)),"",VLOOKUP($A$10,POA!$A$2:$D$16,2,0)/SALACTUAL),""))</f>
        <v/>
      </c>
      <c r="I27" s="210" t="str">
        <f t="shared" si="3"/>
        <v/>
      </c>
      <c r="J27" s="214" t="str">
        <f>IF(OR(D27="",E27="",F27=""),"",IF(AND(I27&gt;0,I27&lt;=Experiencia1),Puntajes!$D$4,IF(AND(I27&gt;Experiencia1,I27&lt;=Experiencia2),Puntajes!$D$5,IF(AND(I27&gt;Experiencia2,I27&lt;=Experiencia3),Puntajes!$D$6,IF(I27&gt;Experiencia3,Puntajes!$D$7,0)))))</f>
        <v/>
      </c>
    </row>
    <row r="28" spans="3:10" ht="13.5" hidden="1" thickBot="1" x14ac:dyDescent="0.25">
      <c r="C28" s="95" t="str">
        <f>+'Capacidad Financiera'!B31</f>
        <v/>
      </c>
      <c r="D28" s="137">
        <f>IF(ISERROR(VLOOKUP(C28,'Capacidad Financiera'!$B$12:$AD$59206,2,0)),"",VLOOKUP(C28,'Capacidad Financiera'!$B$12:$AD$59206,2,0))</f>
        <v>0</v>
      </c>
      <c r="E28" s="197">
        <f>IF(ISERROR(VLOOKUP(C28,'Capacidad Financiera'!$B$12:$AD$59206,3,0)),"",VLOOKUP(C28,'Capacidad Financiera'!$B$12:$AD$59206,3,0))</f>
        <v>0</v>
      </c>
      <c r="F28" s="177"/>
      <c r="G28" s="177" t="str">
        <f t="shared" si="2"/>
        <v/>
      </c>
      <c r="H28" s="177" t="str">
        <f>IF(OR(D28="",E28="",F28=""),"",IF(C28&lt;&gt;"",IF(ISERROR(VLOOKUP($A$10,POA!$A$2:$D$16,2,0)),"",VLOOKUP($A$10,POA!$A$2:$D$16,2,0)/SALACTUAL),""))</f>
        <v/>
      </c>
      <c r="I28" s="210" t="str">
        <f t="shared" si="3"/>
        <v/>
      </c>
      <c r="J28" s="214" t="str">
        <f>IF(OR(D28="",E28="",F28=""),"",IF(AND(I28&gt;0,I28&lt;=Experiencia1),Puntajes!$D$4,IF(AND(I28&gt;Experiencia1,I28&lt;=Experiencia2),Puntajes!$D$5,IF(AND(I28&gt;Experiencia2,I28&lt;=Experiencia3),Puntajes!$D$6,IF(I28&gt;Experiencia3,Puntajes!$D$7,0)))))</f>
        <v/>
      </c>
    </row>
    <row r="29" spans="3:10" ht="13.5" hidden="1" thickBot="1" x14ac:dyDescent="0.25">
      <c r="C29" s="95" t="str">
        <f>+'Capacidad Financiera'!B32</f>
        <v/>
      </c>
      <c r="D29" s="137">
        <f>IF(ISERROR(VLOOKUP(C29,'Capacidad Financiera'!$B$12:$AD$59206,2,0)),"",VLOOKUP(C29,'Capacidad Financiera'!$B$12:$AD$59206,2,0))</f>
        <v>0</v>
      </c>
      <c r="E29" s="197">
        <f>IF(ISERROR(VLOOKUP(C29,'Capacidad Financiera'!$B$12:$AD$59206,3,0)),"",VLOOKUP(C29,'Capacidad Financiera'!$B$12:$AD$59206,3,0))</f>
        <v>0</v>
      </c>
      <c r="F29" s="177"/>
      <c r="G29" s="177" t="str">
        <f t="shared" si="2"/>
        <v/>
      </c>
      <c r="H29" s="177" t="str">
        <f>IF(OR(D29="",E29="",F29=""),"",IF(C29&lt;&gt;"",IF(ISERROR(VLOOKUP($A$10,POA!$A$2:$D$16,2,0)),"",VLOOKUP($A$10,POA!$A$2:$D$16,2,0)/SALACTUAL),""))</f>
        <v/>
      </c>
      <c r="I29" s="210" t="str">
        <f t="shared" si="3"/>
        <v/>
      </c>
      <c r="J29" s="214" t="str">
        <f>IF(OR(D29="",E29="",F29=""),"",IF(AND(I29&gt;0,I29&lt;=Experiencia1),Puntajes!$D$4,IF(AND(I29&gt;Experiencia1,I29&lt;=Experiencia2),Puntajes!$D$5,IF(AND(I29&gt;Experiencia2,I29&lt;=Experiencia3),Puntajes!$D$6,IF(I29&gt;Experiencia3,Puntajes!$D$7,0)))))</f>
        <v/>
      </c>
    </row>
    <row r="30" spans="3:10" ht="13.5" hidden="1" thickBot="1" x14ac:dyDescent="0.25">
      <c r="C30" s="96" t="str">
        <f>+'Capacidad Financiera'!B33</f>
        <v/>
      </c>
      <c r="D30" s="97">
        <f>IF(ISERROR(VLOOKUP(C30,'Capacidad Financiera'!$B$12:$AD$59206,2,0)),"",VLOOKUP(C30,'Capacidad Financiera'!$B$12:$AD$59206,2,0))</f>
        <v>0</v>
      </c>
      <c r="E30" s="98">
        <f>IF(ISERROR(VLOOKUP(C30,'Capacidad Financiera'!$B$12:$AD$59206,3,0)),"",VLOOKUP(C30,'Capacidad Financiera'!$B$12:$AD$59206,3,0))</f>
        <v>0</v>
      </c>
      <c r="F30" s="178"/>
      <c r="G30" s="178" t="str">
        <f t="shared" si="2"/>
        <v/>
      </c>
      <c r="H30" s="178" t="str">
        <f>IF(OR(D30="",E30="",F30=""),"",IF(C30&lt;&gt;"",IF(ISERROR(VLOOKUP($A$10,POA!$A$2:$D$16,2,0)),"",VLOOKUP($A$10,POA!$A$2:$D$16,2,0)/SALACTUAL),""))</f>
        <v/>
      </c>
      <c r="I30" s="211" t="str">
        <f t="shared" si="3"/>
        <v/>
      </c>
      <c r="J30" s="215" t="str">
        <f>IF(OR(D30="",E30="",F30=""),"",IF(AND(I30&gt;0,I30&lt;=Experiencia1),Puntajes!$D$4,IF(AND(I30&gt;Experiencia1,I30&lt;=Experiencia2),Puntajes!$D$5,IF(AND(I30&gt;Experiencia2,I30&lt;=Experiencia3),Puntajes!$D$6,IF(I30&gt;Experiencia3,Puntajes!$D$7,0)))))</f>
        <v/>
      </c>
    </row>
    <row r="31" spans="3:10" x14ac:dyDescent="0.2">
      <c r="C31" s="90">
        <v>3</v>
      </c>
      <c r="D31" s="91">
        <f>IF(ISERROR(VLOOKUP(C31,'Capacidad Financiera'!$B$12:$AD$59206,2,0)),"",VLOOKUP(C31,'Capacidad Financiera'!$B$12:$AD$59206,2,0))</f>
        <v>0</v>
      </c>
      <c r="E31" s="92">
        <f>IF(ISERROR(VLOOKUP(C31,'Capacidad Financiera'!$B$12:$AD$59206,3,0)),"",VLOOKUP(C31,'Capacidad Financiera'!$B$12:$AD$59206,3,0))</f>
        <v>1</v>
      </c>
      <c r="F31" s="93"/>
      <c r="G31" s="93"/>
      <c r="H31" s="93" t="str">
        <f>IF(OR(D31="",E31="",F31=""),"",IF(C32="",IF(C31&lt;&gt;"",IF(ISERROR(VLOOKUP($A$10,POA!$A$2:$D$16,2,0)),"",VLOOKUP($A$10,POA!$A$2:$D$16,2,0)),""),""))</f>
        <v/>
      </c>
      <c r="I31" s="202" t="str">
        <f>IF(OR(D31="",E31="",F31=""),"",IF(C32="",IF(C31&lt;&gt;"",F31/H31,""),""))</f>
        <v/>
      </c>
      <c r="J31" s="198">
        <v>120</v>
      </c>
    </row>
    <row r="32" spans="3:10" ht="13.5" thickBot="1" x14ac:dyDescent="0.25">
      <c r="C32" s="95">
        <f>+'Capacidad Financiera'!B35</f>
        <v>3.1</v>
      </c>
      <c r="D32" s="137" t="str">
        <f>IF(ISERROR(VLOOKUP(C32,'Capacidad Financiera'!$B$12:$AD$59206,2,0)),"",VLOOKUP(C32,'Capacidad Financiera'!$B$12:$AD$59206,2,0))</f>
        <v>RODRIGO MATABANCHOY BOLAÑOS</v>
      </c>
      <c r="E32" s="197">
        <f>IF(ISERROR(VLOOKUP(C32,'Capacidad Financiera'!$B$12:$AD$59206,3,0)),"",VLOOKUP(C32,'Capacidad Financiera'!$B$12:$AD$59206,3,0))</f>
        <v>1</v>
      </c>
      <c r="F32" s="177">
        <v>20620236000</v>
      </c>
      <c r="G32" s="177">
        <f t="shared" ref="G32:G41" si="4">IF(OR(D32="",E32="",F32=""),"",F32/SALACTUAL)</f>
        <v>15861.72</v>
      </c>
      <c r="H32" s="177">
        <f>IF(OR(D32="",E32="",F32=""),"",IF(C32&lt;&gt;"",IF(ISERROR(VLOOKUP($A$10,POA!$A$2:$D$16,2,0)),"",VLOOKUP($A$10,POA!$A$2:$D$16,2,0)/SALACTUAL),""))</f>
        <v>588.46153846153845</v>
      </c>
      <c r="I32" s="210">
        <f>IF(OR(D32="",E32="",G32=""),"",IF(C32&lt;&gt;"",G32/(H32*E32),""))</f>
        <v>26.954556862745097</v>
      </c>
      <c r="J32" s="214">
        <f>IF(OR(D32="",E32="",F32=""),"",IF(AND(I32&gt;0,I32&lt;=Experiencia1),Puntajes!$D$4,IF(AND(I32&gt;Experiencia1,I32&lt;=Experiencia2),Puntajes!$D$5,IF(AND(I32&gt;Experiencia2,I32&lt;=Experiencia3),Puntajes!$D$6,IF(I32&gt;Experiencia3,Puntajes!$D$7,0)))))</f>
        <v>120</v>
      </c>
    </row>
    <row r="33" spans="3:10" ht="13.5" hidden="1" thickBot="1" x14ac:dyDescent="0.25">
      <c r="C33" s="95" t="str">
        <f>+'Capacidad Financiera'!B36</f>
        <v/>
      </c>
      <c r="D33" s="137">
        <f>IF(ISERROR(VLOOKUP(C33,'Capacidad Financiera'!$B$12:$AD$59206,2,0)),"",VLOOKUP(C33,'Capacidad Financiera'!$B$12:$AD$59206,2,0))</f>
        <v>0</v>
      </c>
      <c r="E33" s="197">
        <f>IF(ISERROR(VLOOKUP(C33,'Capacidad Financiera'!$B$12:$AD$59206,3,0)),"",VLOOKUP(C33,'Capacidad Financiera'!$B$12:$AD$59206,3,0))</f>
        <v>0</v>
      </c>
      <c r="F33" s="177"/>
      <c r="G33" s="177" t="str">
        <f t="shared" si="4"/>
        <v/>
      </c>
      <c r="H33" s="177" t="str">
        <f>IF(OR(D33="",E33="",F33=""),"",IF(C33&lt;&gt;"",IF(ISERROR(VLOOKUP($A$10,POA!$A$2:$D$16,2,0)),"",VLOOKUP($A$10,POA!$A$2:$D$16,2,0)/SALACTUAL),""))</f>
        <v/>
      </c>
      <c r="I33" s="210" t="str">
        <f t="shared" ref="I33:I41" si="5">IF(OR(D33="",E33="",G33=""),"",IF(C33&lt;&gt;"",G33/(H33*E33),""))</f>
        <v/>
      </c>
      <c r="J33" s="214" t="str">
        <f>IF(OR(D33="",E33="",F33=""),"",IF(AND(I33&gt;0,I33&lt;=Experiencia1),Puntajes!$D$4,IF(AND(I33&gt;Experiencia1,I33&lt;=Experiencia2),Puntajes!$D$5,IF(AND(I33&gt;Experiencia2,I33&lt;=Experiencia3),Puntajes!$D$6,IF(I33&gt;Experiencia3,Puntajes!$D$7,0)))))</f>
        <v/>
      </c>
    </row>
    <row r="34" spans="3:10" ht="13.5" hidden="1" thickBot="1" x14ac:dyDescent="0.25">
      <c r="C34" s="95" t="str">
        <f>+'Capacidad Financiera'!B37</f>
        <v/>
      </c>
      <c r="D34" s="137">
        <f>IF(ISERROR(VLOOKUP(C34,'Capacidad Financiera'!$B$12:$AD$59206,2,0)),"",VLOOKUP(C34,'Capacidad Financiera'!$B$12:$AD$59206,2,0))</f>
        <v>0</v>
      </c>
      <c r="E34" s="197">
        <f>IF(ISERROR(VLOOKUP(C34,'Capacidad Financiera'!$B$12:$AD$59206,3,0)),"",VLOOKUP(C34,'Capacidad Financiera'!$B$12:$AD$59206,3,0))</f>
        <v>0</v>
      </c>
      <c r="F34" s="177"/>
      <c r="G34" s="177" t="str">
        <f t="shared" si="4"/>
        <v/>
      </c>
      <c r="H34" s="177" t="str">
        <f>IF(OR(D34="",E34="",F34=""),"",IF(C34&lt;&gt;"",IF(ISERROR(VLOOKUP($A$10,POA!$A$2:$D$16,2,0)),"",VLOOKUP($A$10,POA!$A$2:$D$16,2,0)/SALACTUAL),""))</f>
        <v/>
      </c>
      <c r="I34" s="210" t="str">
        <f t="shared" si="5"/>
        <v/>
      </c>
      <c r="J34" s="214" t="str">
        <f>IF(OR(D34="",E34="",F34=""),"",IF(AND(I34&gt;0,I34&lt;=Experiencia1),Puntajes!$D$4,IF(AND(I34&gt;Experiencia1,I34&lt;=Experiencia2),Puntajes!$D$5,IF(AND(I34&gt;Experiencia2,I34&lt;=Experiencia3),Puntajes!$D$6,IF(I34&gt;Experiencia3,Puntajes!$D$7,0)))))</f>
        <v/>
      </c>
    </row>
    <row r="35" spans="3:10" ht="13.5" hidden="1" thickBot="1" x14ac:dyDescent="0.25">
      <c r="C35" s="95" t="str">
        <f>+'Capacidad Financiera'!B38</f>
        <v/>
      </c>
      <c r="D35" s="137">
        <f>IF(ISERROR(VLOOKUP(C35,'Capacidad Financiera'!$B$12:$AD$59206,2,0)),"",VLOOKUP(C35,'Capacidad Financiera'!$B$12:$AD$59206,2,0))</f>
        <v>0</v>
      </c>
      <c r="E35" s="197">
        <f>IF(ISERROR(VLOOKUP(C35,'Capacidad Financiera'!$B$12:$AD$59206,3,0)),"",VLOOKUP(C35,'Capacidad Financiera'!$B$12:$AD$59206,3,0))</f>
        <v>0</v>
      </c>
      <c r="F35" s="177"/>
      <c r="G35" s="177" t="str">
        <f t="shared" si="4"/>
        <v/>
      </c>
      <c r="H35" s="177" t="str">
        <f>IF(OR(D35="",E35="",F35=""),"",IF(C35&lt;&gt;"",IF(ISERROR(VLOOKUP($A$10,POA!$A$2:$D$16,2,0)),"",VLOOKUP($A$10,POA!$A$2:$D$16,2,0)/SALACTUAL),""))</f>
        <v/>
      </c>
      <c r="I35" s="210" t="str">
        <f t="shared" si="5"/>
        <v/>
      </c>
      <c r="J35" s="214" t="str">
        <f>IF(OR(D35="",E35="",F35=""),"",IF(AND(I35&gt;0,I35&lt;=Experiencia1),Puntajes!$D$4,IF(AND(I35&gt;Experiencia1,I35&lt;=Experiencia2),Puntajes!$D$5,IF(AND(I35&gt;Experiencia2,I35&lt;=Experiencia3),Puntajes!$D$6,IF(I35&gt;Experiencia3,Puntajes!$D$7,0)))))</f>
        <v/>
      </c>
    </row>
    <row r="36" spans="3:10" ht="13.5" hidden="1" thickBot="1" x14ac:dyDescent="0.25">
      <c r="C36" s="95" t="str">
        <f>+'Capacidad Financiera'!B39</f>
        <v/>
      </c>
      <c r="D36" s="137">
        <f>IF(ISERROR(VLOOKUP(C36,'Capacidad Financiera'!$B$12:$AD$59206,2,0)),"",VLOOKUP(C36,'Capacidad Financiera'!$B$12:$AD$59206,2,0))</f>
        <v>0</v>
      </c>
      <c r="E36" s="197">
        <f>IF(ISERROR(VLOOKUP(C36,'Capacidad Financiera'!$B$12:$AD$59206,3,0)),"",VLOOKUP(C36,'Capacidad Financiera'!$B$12:$AD$59206,3,0))</f>
        <v>0</v>
      </c>
      <c r="F36" s="177"/>
      <c r="G36" s="177" t="str">
        <f t="shared" si="4"/>
        <v/>
      </c>
      <c r="H36" s="177" t="str">
        <f>IF(OR(D36="",E36="",F36=""),"",IF(C36&lt;&gt;"",IF(ISERROR(VLOOKUP($A$10,POA!$A$2:$D$16,2,0)),"",VLOOKUP($A$10,POA!$A$2:$D$16,2,0)/SALACTUAL),""))</f>
        <v/>
      </c>
      <c r="I36" s="210" t="str">
        <f t="shared" si="5"/>
        <v/>
      </c>
      <c r="J36" s="214" t="str">
        <f>IF(OR(D36="",E36="",F36=""),"",IF(AND(I36&gt;0,I36&lt;=Experiencia1),Puntajes!$D$4,IF(AND(I36&gt;Experiencia1,I36&lt;=Experiencia2),Puntajes!$D$5,IF(AND(I36&gt;Experiencia2,I36&lt;=Experiencia3),Puntajes!$D$6,IF(I36&gt;Experiencia3,Puntajes!$D$7,0)))))</f>
        <v/>
      </c>
    </row>
    <row r="37" spans="3:10" ht="13.5" hidden="1" thickBot="1" x14ac:dyDescent="0.25">
      <c r="C37" s="95" t="str">
        <f>+'Capacidad Financiera'!B40</f>
        <v/>
      </c>
      <c r="D37" s="137">
        <f>IF(ISERROR(VLOOKUP(C37,'Capacidad Financiera'!$B$12:$AD$59206,2,0)),"",VLOOKUP(C37,'Capacidad Financiera'!$B$12:$AD$59206,2,0))</f>
        <v>0</v>
      </c>
      <c r="E37" s="197">
        <f>IF(ISERROR(VLOOKUP(C37,'Capacidad Financiera'!$B$12:$AD$59206,3,0)),"",VLOOKUP(C37,'Capacidad Financiera'!$B$12:$AD$59206,3,0))</f>
        <v>0</v>
      </c>
      <c r="F37" s="177"/>
      <c r="G37" s="177" t="str">
        <f t="shared" si="4"/>
        <v/>
      </c>
      <c r="H37" s="177" t="str">
        <f>IF(OR(D37="",E37="",F37=""),"",IF(C37&lt;&gt;"",IF(ISERROR(VLOOKUP($A$10,POA!$A$2:$D$16,2,0)),"",VLOOKUP($A$10,POA!$A$2:$D$16,2,0)/SALACTUAL),""))</f>
        <v/>
      </c>
      <c r="I37" s="210" t="str">
        <f t="shared" si="5"/>
        <v/>
      </c>
      <c r="J37" s="214" t="str">
        <f>IF(OR(D37="",E37="",F37=""),"",IF(AND(I37&gt;0,I37&lt;=Experiencia1),Puntajes!$D$4,IF(AND(I37&gt;Experiencia1,I37&lt;=Experiencia2),Puntajes!$D$5,IF(AND(I37&gt;Experiencia2,I37&lt;=Experiencia3),Puntajes!$D$6,IF(I37&gt;Experiencia3,Puntajes!$D$7,0)))))</f>
        <v/>
      </c>
    </row>
    <row r="38" spans="3:10" ht="13.5" hidden="1" thickBot="1" x14ac:dyDescent="0.25">
      <c r="C38" s="95" t="str">
        <f>+'Capacidad Financiera'!B41</f>
        <v/>
      </c>
      <c r="D38" s="137">
        <f>IF(ISERROR(VLOOKUP(C38,'Capacidad Financiera'!$B$12:$AD$59206,2,0)),"",VLOOKUP(C38,'Capacidad Financiera'!$B$12:$AD$59206,2,0))</f>
        <v>0</v>
      </c>
      <c r="E38" s="197">
        <f>IF(ISERROR(VLOOKUP(C38,'Capacidad Financiera'!$B$12:$AD$59206,3,0)),"",VLOOKUP(C38,'Capacidad Financiera'!$B$12:$AD$59206,3,0))</f>
        <v>0</v>
      </c>
      <c r="F38" s="177"/>
      <c r="G38" s="177" t="str">
        <f t="shared" si="4"/>
        <v/>
      </c>
      <c r="H38" s="177" t="str">
        <f>IF(OR(D38="",E38="",F38=""),"",IF(C38&lt;&gt;"",IF(ISERROR(VLOOKUP($A$10,POA!$A$2:$D$16,2,0)),"",VLOOKUP($A$10,POA!$A$2:$D$16,2,0)/SALACTUAL),""))</f>
        <v/>
      </c>
      <c r="I38" s="210" t="str">
        <f t="shared" si="5"/>
        <v/>
      </c>
      <c r="J38" s="214" t="str">
        <f>IF(OR(D38="",E38="",F38=""),"",IF(AND(I38&gt;0,I38&lt;=Experiencia1),Puntajes!$D$4,IF(AND(I38&gt;Experiencia1,I38&lt;=Experiencia2),Puntajes!$D$5,IF(AND(I38&gt;Experiencia2,I38&lt;=Experiencia3),Puntajes!$D$6,IF(I38&gt;Experiencia3,Puntajes!$D$7,0)))))</f>
        <v/>
      </c>
    </row>
    <row r="39" spans="3:10" ht="13.5" hidden="1" thickBot="1" x14ac:dyDescent="0.25">
      <c r="C39" s="95" t="str">
        <f>+'Capacidad Financiera'!B42</f>
        <v/>
      </c>
      <c r="D39" s="137">
        <f>IF(ISERROR(VLOOKUP(C39,'Capacidad Financiera'!$B$12:$AD$59206,2,0)),"",VLOOKUP(C39,'Capacidad Financiera'!$B$12:$AD$59206,2,0))</f>
        <v>0</v>
      </c>
      <c r="E39" s="197">
        <f>IF(ISERROR(VLOOKUP(C39,'Capacidad Financiera'!$B$12:$AD$59206,3,0)),"",VLOOKUP(C39,'Capacidad Financiera'!$B$12:$AD$59206,3,0))</f>
        <v>0</v>
      </c>
      <c r="F39" s="177"/>
      <c r="G39" s="177" t="str">
        <f t="shared" si="4"/>
        <v/>
      </c>
      <c r="H39" s="177" t="str">
        <f>IF(OR(D39="",E39="",F39=""),"",IF(C39&lt;&gt;"",IF(ISERROR(VLOOKUP($A$10,POA!$A$2:$D$16,2,0)),"",VLOOKUP($A$10,POA!$A$2:$D$16,2,0)/SALACTUAL),""))</f>
        <v/>
      </c>
      <c r="I39" s="210" t="str">
        <f t="shared" si="5"/>
        <v/>
      </c>
      <c r="J39" s="214" t="str">
        <f>IF(OR(D39="",E39="",F39=""),"",IF(AND(I39&gt;0,I39&lt;=Experiencia1),Puntajes!$D$4,IF(AND(I39&gt;Experiencia1,I39&lt;=Experiencia2),Puntajes!$D$5,IF(AND(I39&gt;Experiencia2,I39&lt;=Experiencia3),Puntajes!$D$6,IF(I39&gt;Experiencia3,Puntajes!$D$7,0)))))</f>
        <v/>
      </c>
    </row>
    <row r="40" spans="3:10" ht="13.5" hidden="1" thickBot="1" x14ac:dyDescent="0.25">
      <c r="C40" s="95" t="str">
        <f>+'Capacidad Financiera'!B43</f>
        <v/>
      </c>
      <c r="D40" s="137">
        <f>IF(ISERROR(VLOOKUP(C40,'Capacidad Financiera'!$B$12:$AD$59206,2,0)),"",VLOOKUP(C40,'Capacidad Financiera'!$B$12:$AD$59206,2,0))</f>
        <v>0</v>
      </c>
      <c r="E40" s="197">
        <f>IF(ISERROR(VLOOKUP(C40,'Capacidad Financiera'!$B$12:$AD$59206,3,0)),"",VLOOKUP(C40,'Capacidad Financiera'!$B$12:$AD$59206,3,0))</f>
        <v>0</v>
      </c>
      <c r="F40" s="177"/>
      <c r="G40" s="177" t="str">
        <f t="shared" si="4"/>
        <v/>
      </c>
      <c r="H40" s="177" t="str">
        <f>IF(OR(D40="",E40="",F40=""),"",IF(C40&lt;&gt;"",IF(ISERROR(VLOOKUP($A$10,POA!$A$2:$D$16,2,0)),"",VLOOKUP($A$10,POA!$A$2:$D$16,2,0)/SALACTUAL),""))</f>
        <v/>
      </c>
      <c r="I40" s="210" t="str">
        <f t="shared" si="5"/>
        <v/>
      </c>
      <c r="J40" s="214" t="str">
        <f>IF(OR(D40="",E40="",F40=""),"",IF(AND(I40&gt;0,I40&lt;=Experiencia1),Puntajes!$D$4,IF(AND(I40&gt;Experiencia1,I40&lt;=Experiencia2),Puntajes!$D$5,IF(AND(I40&gt;Experiencia2,I40&lt;=Experiencia3),Puntajes!$D$6,IF(I40&gt;Experiencia3,Puntajes!$D$7,0)))))</f>
        <v/>
      </c>
    </row>
    <row r="41" spans="3:10" ht="13.5" hidden="1" thickBot="1" x14ac:dyDescent="0.25">
      <c r="C41" s="96" t="str">
        <f>+'Capacidad Financiera'!B44</f>
        <v/>
      </c>
      <c r="D41" s="97">
        <f>IF(ISERROR(VLOOKUP(C41,'Capacidad Financiera'!$B$12:$AD$59206,2,0)),"",VLOOKUP(C41,'Capacidad Financiera'!$B$12:$AD$59206,2,0))</f>
        <v>0</v>
      </c>
      <c r="E41" s="98">
        <f>IF(ISERROR(VLOOKUP(C41,'Capacidad Financiera'!$B$12:$AD$59206,3,0)),"",VLOOKUP(C41,'Capacidad Financiera'!$B$12:$AD$59206,3,0))</f>
        <v>0</v>
      </c>
      <c r="F41" s="178"/>
      <c r="G41" s="178" t="str">
        <f t="shared" si="4"/>
        <v/>
      </c>
      <c r="H41" s="178" t="str">
        <f>IF(OR(D41="",E41="",F41=""),"",IF(C41&lt;&gt;"",IF(ISERROR(VLOOKUP($A$10,POA!$A$2:$D$16,2,0)),"",VLOOKUP($A$10,POA!$A$2:$D$16,2,0)/SALACTUAL),""))</f>
        <v/>
      </c>
      <c r="I41" s="211" t="str">
        <f t="shared" si="5"/>
        <v/>
      </c>
      <c r="J41" s="215" t="str">
        <f>IF(OR(D41="",E41="",F41=""),"",IF(AND(I41&gt;0,I41&lt;=Experiencia1),Puntajes!$D$4,IF(AND(I41&gt;Experiencia1,I41&lt;=Experiencia2),Puntajes!$D$5,IF(AND(I41&gt;Experiencia2,I41&lt;=Experiencia3),Puntajes!$D$6,IF(I41&gt;Experiencia3,Puntajes!$D$7,0)))))</f>
        <v/>
      </c>
    </row>
    <row r="42" spans="3:10" x14ac:dyDescent="0.2">
      <c r="C42" s="90">
        <v>4</v>
      </c>
      <c r="D42" s="91" t="str">
        <f>IF(ISERROR(VLOOKUP(C42,'Capacidad Financiera'!$B$12:$AD$59206,2,0)),"",VLOOKUP(C42,'Capacidad Financiera'!$B$12:$AD$59206,2,0))</f>
        <v>CONSORCIO CAFRA 2024</v>
      </c>
      <c r="E42" s="92">
        <f>IF(ISERROR(VLOOKUP(C42,'Capacidad Financiera'!$B$12:$AD$59206,3,0)),"",VLOOKUP(C42,'Capacidad Financiera'!$B$12:$AD$59206,3,0))</f>
        <v>1</v>
      </c>
      <c r="F42" s="93"/>
      <c r="G42" s="93"/>
      <c r="H42" s="93" t="str">
        <f>IF(OR(D42="",E42="",F42=""),"",IF(C43="",IF(C42&lt;&gt;"",IF(ISERROR(VLOOKUP($A$10,POA!$A$2:$D$16,2,0)),"",VLOOKUP($A$10,POA!$A$2:$D$16,2,0)),""),""))</f>
        <v/>
      </c>
      <c r="I42" s="202" t="str">
        <f>IF(OR(D42="",E42="",F42=""),"",IF(C43="",IF(C42&lt;&gt;"",F42/H42,""),""))</f>
        <v/>
      </c>
      <c r="J42" s="198">
        <v>120</v>
      </c>
    </row>
    <row r="43" spans="3:10" x14ac:dyDescent="0.2">
      <c r="C43" s="95">
        <f>+'Capacidad Financiera'!B46</f>
        <v>4.0999999999999996</v>
      </c>
      <c r="D43" s="137" t="str">
        <f>IF(ISERROR(VLOOKUP(C43,'Capacidad Financiera'!$B$12:$AD$59206,2,0)),"",VLOOKUP(C43,'Capacidad Financiera'!$B$12:$AD$59206,2,0))</f>
        <v>CARRILES DEL ORIENTE</v>
      </c>
      <c r="E43" s="197">
        <f>IF(ISERROR(VLOOKUP(C43,'Capacidad Financiera'!$B$12:$AD$59206,3,0)),"",VLOOKUP(C43,'Capacidad Financiera'!$B$12:$AD$59206,3,0))</f>
        <v>0.1</v>
      </c>
      <c r="F43" s="177">
        <v>332514000</v>
      </c>
      <c r="G43" s="177">
        <f t="shared" ref="G43:G52" si="6">IF(OR(D43="",E43="",F43=""),"",F43/SALACTUAL)</f>
        <v>255.78</v>
      </c>
      <c r="H43" s="177">
        <f>IF(OR(D43="",E43="",F43=""),"",IF(C43&lt;&gt;"",IF(ISERROR(VLOOKUP($A$10,POA!$A$2:$D$16,2,0)),"",VLOOKUP($A$10,POA!$A$2:$D$16,2,0)/SALACTUAL),""))</f>
        <v>588.46153846153845</v>
      </c>
      <c r="I43" s="210">
        <f>IF(OR(D43="",E43="",G43=""),"",IF(C43&lt;&gt;"",G43/(H43*E43),""))</f>
        <v>4.3465882352941172</v>
      </c>
      <c r="J43" s="214">
        <f>IF(OR(D43="",E43="",F43=""),"",IF(AND(I43&gt;0,I43&lt;=Experiencia1),Puntajes!$D$4,IF(AND(I43&gt;Experiencia1,I43&lt;=Experiencia2),Puntajes!$D$5,IF(AND(I43&gt;Experiencia2,I43&lt;=Experiencia3),Puntajes!$D$6,IF(I43&gt;Experiencia3,Puntajes!$D$7,0)))))</f>
        <v>80</v>
      </c>
    </row>
    <row r="44" spans="3:10" ht="30" customHeight="1" thickBot="1" x14ac:dyDescent="0.25">
      <c r="C44" s="96">
        <f>+'Capacidad Financiera'!B47</f>
        <v>4.1999999999999993</v>
      </c>
      <c r="D44" s="97" t="str">
        <f>IF(ISERROR(VLOOKUP(C44,'Capacidad Financiera'!$B$12:$AD$59206,2,0)),"",VLOOKUP(C44,'Capacidad Financiera'!$B$12:$AD$59206,2,0))</f>
        <v>HECTOR FRANCISCO SARMIENTO DURAN</v>
      </c>
      <c r="E44" s="98">
        <f>IF(ISERROR(VLOOKUP(C44,'Capacidad Financiera'!$B$12:$AD$59206,3,0)),"",VLOOKUP(C44,'Capacidad Financiera'!$B$12:$AD$59206,3,0))</f>
        <v>0.9</v>
      </c>
      <c r="F44" s="178">
        <v>40104035197.199997</v>
      </c>
      <c r="G44" s="178">
        <f t="shared" si="6"/>
        <v>30849.257843999996</v>
      </c>
      <c r="H44" s="178">
        <f>IF(OR(D44="",E44="",F44=""),"",IF(C44&lt;&gt;"",IF(ISERROR(VLOOKUP($A$10,POA!$A$2:$D$16,2,0)),"",VLOOKUP($A$10,POA!$A$2:$D$16,2,0)/SALACTUAL),""))</f>
        <v>588.46153846153845</v>
      </c>
      <c r="I44" s="211">
        <f t="shared" ref="I44:I52" si="7">IF(OR(D44="",E44="",G44=""),"",IF(C44&lt;&gt;"",G44/(H44*E44),""))</f>
        <v>58.248417134640512</v>
      </c>
      <c r="J44" s="215">
        <f>IF(OR(D44="",E44="",F44=""),"",IF(AND(I44&gt;0,I44&lt;=Experiencia1),Puntajes!$D$4,IF(AND(I44&gt;Experiencia1,I44&lt;=Experiencia2),Puntajes!$D$5,IF(AND(I44&gt;Experiencia2,I44&lt;=Experiencia3),Puntajes!$D$6,IF(I44&gt;Experiencia3,Puntajes!$D$7,0)))))</f>
        <v>120</v>
      </c>
    </row>
    <row r="45" spans="3:10" hidden="1" x14ac:dyDescent="0.2">
      <c r="C45" s="283" t="str">
        <f>+'Capacidad Financiera'!B48</f>
        <v/>
      </c>
      <c r="D45" s="284">
        <f>IF(ISERROR(VLOOKUP(C45,'Capacidad Financiera'!$B$12:$AD$59206,2,0)),"",VLOOKUP(C45,'Capacidad Financiera'!$B$12:$AD$59206,2,0))</f>
        <v>0</v>
      </c>
      <c r="E45" s="285">
        <f>IF(ISERROR(VLOOKUP(C45,'Capacidad Financiera'!$B$12:$AD$59206,3,0)),"",VLOOKUP(C45,'Capacidad Financiera'!$B$12:$AD$59206,3,0))</f>
        <v>0</v>
      </c>
      <c r="F45" s="286"/>
      <c r="G45" s="286" t="str">
        <f t="shared" si="6"/>
        <v/>
      </c>
      <c r="H45" s="286" t="str">
        <f>IF(OR(D45="",E45="",F45=""),"",IF(C45&lt;&gt;"",IF(ISERROR(VLOOKUP($A$10,POA!$A$2:$D$16,2,0)),"",VLOOKUP($A$10,POA!$A$2:$D$16,2,0)/SALACTUAL),""))</f>
        <v/>
      </c>
      <c r="I45" s="287" t="str">
        <f t="shared" si="7"/>
        <v/>
      </c>
      <c r="J45" s="288" t="str">
        <f>IF(OR(D45="",E45="",F45=""),"",IF(AND(I45&gt;0,I45&lt;=Experiencia1),Puntajes!$D$4,IF(AND(I45&gt;Experiencia1,I45&lt;=Experiencia2),Puntajes!$D$5,IF(AND(I45&gt;Experiencia2,I45&lt;=Experiencia3),Puntajes!$D$6,IF(I45&gt;Experiencia3,Puntajes!$D$7,0)))))</f>
        <v/>
      </c>
    </row>
    <row r="46" spans="3:10" hidden="1" x14ac:dyDescent="0.2">
      <c r="C46" s="95" t="str">
        <f>+'Capacidad Financiera'!B49</f>
        <v/>
      </c>
      <c r="D46" s="137">
        <f>IF(ISERROR(VLOOKUP(C46,'Capacidad Financiera'!$B$12:$AD$59206,2,0)),"",VLOOKUP(C46,'Capacidad Financiera'!$B$12:$AD$59206,2,0))</f>
        <v>0</v>
      </c>
      <c r="E46" s="197">
        <f>IF(ISERROR(VLOOKUP(C46,'Capacidad Financiera'!$B$12:$AD$59206,3,0)),"",VLOOKUP(C46,'Capacidad Financiera'!$B$12:$AD$59206,3,0))</f>
        <v>0</v>
      </c>
      <c r="F46" s="177"/>
      <c r="G46" s="177" t="str">
        <f t="shared" si="6"/>
        <v/>
      </c>
      <c r="H46" s="177" t="str">
        <f>IF(OR(D46="",E46="",F46=""),"",IF(C46&lt;&gt;"",IF(ISERROR(VLOOKUP($A$10,POA!$A$2:$D$16,2,0)),"",VLOOKUP($A$10,POA!$A$2:$D$16,2,0)/SALACTUAL),""))</f>
        <v/>
      </c>
      <c r="I46" s="210" t="str">
        <f t="shared" si="7"/>
        <v/>
      </c>
      <c r="J46" s="214" t="str">
        <f>IF(OR(D46="",E46="",F46=""),"",IF(AND(I46&gt;0,I46&lt;=Experiencia1),Puntajes!$D$4,IF(AND(I46&gt;Experiencia1,I46&lt;=Experiencia2),Puntajes!$D$5,IF(AND(I46&gt;Experiencia2,I46&lt;=Experiencia3),Puntajes!$D$6,IF(I46&gt;Experiencia3,Puntajes!$D$7,0)))))</f>
        <v/>
      </c>
    </row>
    <row r="47" spans="3:10" hidden="1" x14ac:dyDescent="0.2">
      <c r="C47" s="95" t="str">
        <f>+'Capacidad Financiera'!B50</f>
        <v/>
      </c>
      <c r="D47" s="137">
        <f>IF(ISERROR(VLOOKUP(C47,'Capacidad Financiera'!$B$12:$AD$59206,2,0)),"",VLOOKUP(C47,'Capacidad Financiera'!$B$12:$AD$59206,2,0))</f>
        <v>0</v>
      </c>
      <c r="E47" s="197">
        <f>IF(ISERROR(VLOOKUP(C47,'Capacidad Financiera'!$B$12:$AD$59206,3,0)),"",VLOOKUP(C47,'Capacidad Financiera'!$B$12:$AD$59206,3,0))</f>
        <v>0</v>
      </c>
      <c r="F47" s="177"/>
      <c r="G47" s="177" t="str">
        <f t="shared" si="6"/>
        <v/>
      </c>
      <c r="H47" s="177" t="str">
        <f>IF(OR(D47="",E47="",F47=""),"",IF(C47&lt;&gt;"",IF(ISERROR(VLOOKUP($A$10,POA!$A$2:$D$16,2,0)),"",VLOOKUP($A$10,POA!$A$2:$D$16,2,0)/SALACTUAL),""))</f>
        <v/>
      </c>
      <c r="I47" s="210" t="str">
        <f t="shared" si="7"/>
        <v/>
      </c>
      <c r="J47" s="214" t="str">
        <f>IF(OR(D47="",E47="",F47=""),"",IF(AND(I47&gt;0,I47&lt;=Experiencia1),Puntajes!$D$4,IF(AND(I47&gt;Experiencia1,I47&lt;=Experiencia2),Puntajes!$D$5,IF(AND(I47&gt;Experiencia2,I47&lt;=Experiencia3),Puntajes!$D$6,IF(I47&gt;Experiencia3,Puntajes!$D$7,0)))))</f>
        <v/>
      </c>
    </row>
    <row r="48" spans="3:10" hidden="1" x14ac:dyDescent="0.2">
      <c r="C48" s="95" t="str">
        <f>+'Capacidad Financiera'!B51</f>
        <v/>
      </c>
      <c r="D48" s="137">
        <f>IF(ISERROR(VLOOKUP(C48,'Capacidad Financiera'!$B$12:$AD$59206,2,0)),"",VLOOKUP(C48,'Capacidad Financiera'!$B$12:$AD$59206,2,0))</f>
        <v>0</v>
      </c>
      <c r="E48" s="197">
        <f>IF(ISERROR(VLOOKUP(C48,'Capacidad Financiera'!$B$12:$AD$59206,3,0)),"",VLOOKUP(C48,'Capacidad Financiera'!$B$12:$AD$59206,3,0))</f>
        <v>0</v>
      </c>
      <c r="F48" s="177"/>
      <c r="G48" s="177" t="str">
        <f t="shared" si="6"/>
        <v/>
      </c>
      <c r="H48" s="177" t="str">
        <f>IF(OR(D48="",E48="",F48=""),"",IF(C48&lt;&gt;"",IF(ISERROR(VLOOKUP($A$10,POA!$A$2:$D$16,2,0)),"",VLOOKUP($A$10,POA!$A$2:$D$16,2,0)/SALACTUAL),""))</f>
        <v/>
      </c>
      <c r="I48" s="210" t="str">
        <f t="shared" si="7"/>
        <v/>
      </c>
      <c r="J48" s="214" t="str">
        <f>IF(OR(D48="",E48="",F48=""),"",IF(AND(I48&gt;0,I48&lt;=Experiencia1),Puntajes!$D$4,IF(AND(I48&gt;Experiencia1,I48&lt;=Experiencia2),Puntajes!$D$5,IF(AND(I48&gt;Experiencia2,I48&lt;=Experiencia3),Puntajes!$D$6,IF(I48&gt;Experiencia3,Puntajes!$D$7,0)))))</f>
        <v/>
      </c>
    </row>
    <row r="49" spans="3:10" hidden="1" x14ac:dyDescent="0.2">
      <c r="C49" s="95" t="str">
        <f>+'Capacidad Financiera'!B52</f>
        <v/>
      </c>
      <c r="D49" s="137">
        <f>IF(ISERROR(VLOOKUP(C49,'Capacidad Financiera'!$B$12:$AD$59206,2,0)),"",VLOOKUP(C49,'Capacidad Financiera'!$B$12:$AD$59206,2,0))</f>
        <v>0</v>
      </c>
      <c r="E49" s="197">
        <f>IF(ISERROR(VLOOKUP(C49,'Capacidad Financiera'!$B$12:$AD$59206,3,0)),"",VLOOKUP(C49,'Capacidad Financiera'!$B$12:$AD$59206,3,0))</f>
        <v>0</v>
      </c>
      <c r="F49" s="177"/>
      <c r="G49" s="177" t="str">
        <f t="shared" si="6"/>
        <v/>
      </c>
      <c r="H49" s="177" t="str">
        <f>IF(OR(D49="",E49="",F49=""),"",IF(C49&lt;&gt;"",IF(ISERROR(VLOOKUP($A$10,POA!$A$2:$D$16,2,0)),"",VLOOKUP($A$10,POA!$A$2:$D$16,2,0)/SALACTUAL),""))</f>
        <v/>
      </c>
      <c r="I49" s="210" t="str">
        <f t="shared" si="7"/>
        <v/>
      </c>
      <c r="J49" s="214" t="str">
        <f>IF(OR(D49="",E49="",F49=""),"",IF(AND(I49&gt;0,I49&lt;=Experiencia1),Puntajes!$D$4,IF(AND(I49&gt;Experiencia1,I49&lt;=Experiencia2),Puntajes!$D$5,IF(AND(I49&gt;Experiencia2,I49&lt;=Experiencia3),Puntajes!$D$6,IF(I49&gt;Experiencia3,Puntajes!$D$7,0)))))</f>
        <v/>
      </c>
    </row>
    <row r="50" spans="3:10" hidden="1" x14ac:dyDescent="0.2">
      <c r="C50" s="95" t="str">
        <f>+'Capacidad Financiera'!B53</f>
        <v/>
      </c>
      <c r="D50" s="137">
        <f>IF(ISERROR(VLOOKUP(C50,'Capacidad Financiera'!$B$12:$AD$59206,2,0)),"",VLOOKUP(C50,'Capacidad Financiera'!$B$12:$AD$59206,2,0))</f>
        <v>0</v>
      </c>
      <c r="E50" s="197">
        <f>IF(ISERROR(VLOOKUP(C50,'Capacidad Financiera'!$B$12:$AD$59206,3,0)),"",VLOOKUP(C50,'Capacidad Financiera'!$B$12:$AD$59206,3,0))</f>
        <v>0</v>
      </c>
      <c r="F50" s="177"/>
      <c r="G50" s="177" t="str">
        <f t="shared" si="6"/>
        <v/>
      </c>
      <c r="H50" s="177" t="str">
        <f>IF(OR(D50="",E50="",F50=""),"",IF(C50&lt;&gt;"",IF(ISERROR(VLOOKUP($A$10,POA!$A$2:$D$16,2,0)),"",VLOOKUP($A$10,POA!$A$2:$D$16,2,0)/SALACTUAL),""))</f>
        <v/>
      </c>
      <c r="I50" s="210" t="str">
        <f t="shared" si="7"/>
        <v/>
      </c>
      <c r="J50" s="214" t="str">
        <f>IF(OR(D50="",E50="",F50=""),"",IF(AND(I50&gt;0,I50&lt;=Experiencia1),Puntajes!$D$4,IF(AND(I50&gt;Experiencia1,I50&lt;=Experiencia2),Puntajes!$D$5,IF(AND(I50&gt;Experiencia2,I50&lt;=Experiencia3),Puntajes!$D$6,IF(I50&gt;Experiencia3,Puntajes!$D$7,0)))))</f>
        <v/>
      </c>
    </row>
    <row r="51" spans="3:10" hidden="1" x14ac:dyDescent="0.2">
      <c r="C51" s="95" t="str">
        <f>+'Capacidad Financiera'!B54</f>
        <v/>
      </c>
      <c r="D51" s="137">
        <f>IF(ISERROR(VLOOKUP(C51,'Capacidad Financiera'!$B$12:$AD$59206,2,0)),"",VLOOKUP(C51,'Capacidad Financiera'!$B$12:$AD$59206,2,0))</f>
        <v>0</v>
      </c>
      <c r="E51" s="197">
        <f>IF(ISERROR(VLOOKUP(C51,'Capacidad Financiera'!$B$12:$AD$59206,3,0)),"",VLOOKUP(C51,'Capacidad Financiera'!$B$12:$AD$59206,3,0))</f>
        <v>0</v>
      </c>
      <c r="F51" s="177"/>
      <c r="G51" s="177" t="str">
        <f t="shared" si="6"/>
        <v/>
      </c>
      <c r="H51" s="177" t="str">
        <f>IF(OR(D51="",E51="",F51=""),"",IF(C51&lt;&gt;"",IF(ISERROR(VLOOKUP($A$10,POA!$A$2:$D$16,2,0)),"",VLOOKUP($A$10,POA!$A$2:$D$16,2,0)/SALACTUAL),""))</f>
        <v/>
      </c>
      <c r="I51" s="210" t="str">
        <f t="shared" si="7"/>
        <v/>
      </c>
      <c r="J51" s="214" t="str">
        <f>IF(OR(D51="",E51="",F51=""),"",IF(AND(I51&gt;0,I51&lt;=Experiencia1),Puntajes!$D$4,IF(AND(I51&gt;Experiencia1,I51&lt;=Experiencia2),Puntajes!$D$5,IF(AND(I51&gt;Experiencia2,I51&lt;=Experiencia3),Puntajes!$D$6,IF(I51&gt;Experiencia3,Puntajes!$D$7,0)))))</f>
        <v/>
      </c>
    </row>
    <row r="52" spans="3:10" ht="13.5" hidden="1" thickBot="1" x14ac:dyDescent="0.25">
      <c r="C52" s="96" t="str">
        <f>+'Capacidad Financiera'!B55</f>
        <v/>
      </c>
      <c r="D52" s="97">
        <f>IF(ISERROR(VLOOKUP(C52,'Capacidad Financiera'!$B$12:$AD$59206,2,0)),"",VLOOKUP(C52,'Capacidad Financiera'!$B$12:$AD$59206,2,0))</f>
        <v>0</v>
      </c>
      <c r="E52" s="98">
        <f>IF(ISERROR(VLOOKUP(C52,'Capacidad Financiera'!$B$12:$AD$59206,3,0)),"",VLOOKUP(C52,'Capacidad Financiera'!$B$12:$AD$59206,3,0))</f>
        <v>0</v>
      </c>
      <c r="F52" s="178"/>
      <c r="G52" s="178" t="str">
        <f t="shared" si="6"/>
        <v/>
      </c>
      <c r="H52" s="178" t="str">
        <f>IF(OR(D52="",E52="",F52=""),"",IF(C52&lt;&gt;"",IF(ISERROR(VLOOKUP($A$10,POA!$A$2:$D$16,2,0)),"",VLOOKUP($A$10,POA!$A$2:$D$16,2,0)/SALACTUAL),""))</f>
        <v/>
      </c>
      <c r="I52" s="211" t="str">
        <f t="shared" si="7"/>
        <v/>
      </c>
      <c r="J52" s="215" t="str">
        <f>IF(OR(D52="",E52="",F52=""),"",IF(AND(I52&gt;0,I52&lt;=Experiencia1),Puntajes!$D$4,IF(AND(I52&gt;Experiencia1,I52&lt;=Experiencia2),Puntajes!$D$5,IF(AND(I52&gt;Experiencia2,I52&lt;=Experiencia3),Puntajes!$D$6,IF(I52&gt;Experiencia3,Puntajes!$D$7,0)))))</f>
        <v/>
      </c>
    </row>
  </sheetData>
  <sheetProtection formatCells="0" formatColumns="0" formatRows="0" insertColumns="0" insertRows="0" insertHyperlinks="0" deleteColumns="0" deleteRows="0" sort="0" autoFilter="0" pivotTables="0"/>
  <mergeCells count="11">
    <mergeCell ref="I7:J7"/>
    <mergeCell ref="C2:J2"/>
    <mergeCell ref="C3:J3"/>
    <mergeCell ref="C4:J4"/>
    <mergeCell ref="C5:J5"/>
    <mergeCell ref="C7:C8"/>
    <mergeCell ref="D7:D8"/>
    <mergeCell ref="E7:E8"/>
    <mergeCell ref="F7:F8"/>
    <mergeCell ref="H7:H8"/>
    <mergeCell ref="G7:G8"/>
  </mergeCells>
  <conditionalFormatting sqref="E6:H6">
    <cfRule type="expression" dxfId="178" priority="1124" stopIfTrue="1">
      <formula>IF($B6-INT($B6)&gt;0,TRUE,FALSE)</formula>
    </cfRule>
  </conditionalFormatting>
  <conditionalFormatting sqref="D9:D19 D6 I6:J6">
    <cfRule type="cellIs" dxfId="177" priority="1125" stopIfTrue="1" operator="equal">
      <formula>"NO ADMISIBLE"</formula>
    </cfRule>
  </conditionalFormatting>
  <conditionalFormatting sqref="E15:E19 J15:J19">
    <cfRule type="expression" dxfId="176" priority="1123" stopIfTrue="1">
      <formula>IF($B8-INT($B8)&gt;0,TRUE,FALSE)</formula>
    </cfRule>
  </conditionalFormatting>
  <conditionalFormatting sqref="E10 I10:J10 I11:I19">
    <cfRule type="expression" dxfId="175" priority="1119" stopIfTrue="1">
      <formula>IF($B2-INT($B2)&gt;0,TRUE,FALSE)</formula>
    </cfRule>
  </conditionalFormatting>
  <conditionalFormatting sqref="E9 H9:J9">
    <cfRule type="expression" dxfId="174" priority="1126" stopIfTrue="1">
      <formula>IF(#REF!-INT(#REF!)&gt;0,TRUE,FALSE)</formula>
    </cfRule>
  </conditionalFormatting>
  <conditionalFormatting sqref="H10:H19">
    <cfRule type="expression" dxfId="173" priority="1118" stopIfTrue="1">
      <formula>IF(#REF!-INT(#REF!)&gt;0,TRUE,FALSE)</formula>
    </cfRule>
  </conditionalFormatting>
  <conditionalFormatting sqref="E11:E13 J11:J13">
    <cfRule type="expression" dxfId="172" priority="3626" stopIfTrue="1">
      <formula>IF($B5-INT($B5)&gt;0,TRUE,FALSE)</formula>
    </cfRule>
  </conditionalFormatting>
  <conditionalFormatting sqref="E14 J14">
    <cfRule type="expression" dxfId="171" priority="3628" stopIfTrue="1">
      <formula>IF(#REF!-INT(#REF!)&gt;0,TRUE,FALSE)</formula>
    </cfRule>
  </conditionalFormatting>
  <conditionalFormatting sqref="F9:G9">
    <cfRule type="expression" dxfId="170" priority="1115" stopIfTrue="1">
      <formula>IF(#REF!-INT(#REF!)&gt;0,TRUE,FALSE)</formula>
    </cfRule>
  </conditionalFormatting>
  <conditionalFormatting sqref="F10:G19">
    <cfRule type="expression" dxfId="169" priority="1114" stopIfTrue="1">
      <formula>IF(#REF!-INT(#REF!)&gt;0,TRUE,FALSE)</formula>
    </cfRule>
  </conditionalFormatting>
  <conditionalFormatting sqref="D20:D30">
    <cfRule type="cellIs" dxfId="168" priority="24" stopIfTrue="1" operator="equal">
      <formula>"NO ADMISIBLE"</formula>
    </cfRule>
  </conditionalFormatting>
  <conditionalFormatting sqref="E26:E30 J26:J30">
    <cfRule type="expression" dxfId="167" priority="23" stopIfTrue="1">
      <formula>IF($B19-INT($B19)&gt;0,TRUE,FALSE)</formula>
    </cfRule>
  </conditionalFormatting>
  <conditionalFormatting sqref="E21 I21:J21 I22:I30">
    <cfRule type="expression" dxfId="166" priority="22" stopIfTrue="1">
      <formula>IF($B13-INT($B13)&gt;0,TRUE,FALSE)</formula>
    </cfRule>
  </conditionalFormatting>
  <conditionalFormatting sqref="E20 H20:J20">
    <cfRule type="expression" dxfId="165" priority="25" stopIfTrue="1">
      <formula>IF(#REF!-INT(#REF!)&gt;0,TRUE,FALSE)</formula>
    </cfRule>
  </conditionalFormatting>
  <conditionalFormatting sqref="H21:H30">
    <cfRule type="expression" dxfId="164" priority="21" stopIfTrue="1">
      <formula>IF(#REF!-INT(#REF!)&gt;0,TRUE,FALSE)</formula>
    </cfRule>
  </conditionalFormatting>
  <conditionalFormatting sqref="E22:E24 J22:J24">
    <cfRule type="expression" dxfId="163" priority="26" stopIfTrue="1">
      <formula>IF($B16-INT($B16)&gt;0,TRUE,FALSE)</formula>
    </cfRule>
  </conditionalFormatting>
  <conditionalFormatting sqref="E25 J25">
    <cfRule type="expression" dxfId="162" priority="27" stopIfTrue="1">
      <formula>IF(#REF!-INT(#REF!)&gt;0,TRUE,FALSE)</formula>
    </cfRule>
  </conditionalFormatting>
  <conditionalFormatting sqref="F20:G20">
    <cfRule type="expression" dxfId="161" priority="20" stopIfTrue="1">
      <formula>IF(#REF!-INT(#REF!)&gt;0,TRUE,FALSE)</formula>
    </cfRule>
  </conditionalFormatting>
  <conditionalFormatting sqref="F21:G30">
    <cfRule type="expression" dxfId="160" priority="19" stopIfTrue="1">
      <formula>IF(#REF!-INT(#REF!)&gt;0,TRUE,FALSE)</formula>
    </cfRule>
  </conditionalFormatting>
  <conditionalFormatting sqref="D31:D41">
    <cfRule type="cellIs" dxfId="159" priority="15" stopIfTrue="1" operator="equal">
      <formula>"NO ADMISIBLE"</formula>
    </cfRule>
  </conditionalFormatting>
  <conditionalFormatting sqref="E37:E41 J37:J41">
    <cfRule type="expression" dxfId="158" priority="14" stopIfTrue="1">
      <formula>IF($B30-INT($B30)&gt;0,TRUE,FALSE)</formula>
    </cfRule>
  </conditionalFormatting>
  <conditionalFormatting sqref="E32 I32:J32 I33:I41">
    <cfRule type="expression" dxfId="157" priority="13" stopIfTrue="1">
      <formula>IF($B24-INT($B24)&gt;0,TRUE,FALSE)</formula>
    </cfRule>
  </conditionalFormatting>
  <conditionalFormatting sqref="E31 H31:J31">
    <cfRule type="expression" dxfId="156" priority="16" stopIfTrue="1">
      <formula>IF(#REF!-INT(#REF!)&gt;0,TRUE,FALSE)</formula>
    </cfRule>
  </conditionalFormatting>
  <conditionalFormatting sqref="H32:H41">
    <cfRule type="expression" dxfId="155" priority="12" stopIfTrue="1">
      <formula>IF(#REF!-INT(#REF!)&gt;0,TRUE,FALSE)</formula>
    </cfRule>
  </conditionalFormatting>
  <conditionalFormatting sqref="E33:E35 J33:J35">
    <cfRule type="expression" dxfId="154" priority="17" stopIfTrue="1">
      <formula>IF($B27-INT($B27)&gt;0,TRUE,FALSE)</formula>
    </cfRule>
  </conditionalFormatting>
  <conditionalFormatting sqref="E36 J36">
    <cfRule type="expression" dxfId="153" priority="18" stopIfTrue="1">
      <formula>IF(#REF!-INT(#REF!)&gt;0,TRUE,FALSE)</formula>
    </cfRule>
  </conditionalFormatting>
  <conditionalFormatting sqref="F31:G31">
    <cfRule type="expression" dxfId="152" priority="11" stopIfTrue="1">
      <formula>IF(#REF!-INT(#REF!)&gt;0,TRUE,FALSE)</formula>
    </cfRule>
  </conditionalFormatting>
  <conditionalFormatting sqref="F32:G41">
    <cfRule type="expression" dxfId="151" priority="10" stopIfTrue="1">
      <formula>IF(#REF!-INT(#REF!)&gt;0,TRUE,FALSE)</formula>
    </cfRule>
  </conditionalFormatting>
  <conditionalFormatting sqref="D42:D52">
    <cfRule type="cellIs" dxfId="150" priority="6" stopIfTrue="1" operator="equal">
      <formula>"NO ADMISIBLE"</formula>
    </cfRule>
  </conditionalFormatting>
  <conditionalFormatting sqref="E48:E52 J48:J52">
    <cfRule type="expression" dxfId="149" priority="5" stopIfTrue="1">
      <formula>IF($B41-INT($B41)&gt;0,TRUE,FALSE)</formula>
    </cfRule>
  </conditionalFormatting>
  <conditionalFormatting sqref="E43 I43:J43 I44:I52">
    <cfRule type="expression" dxfId="148" priority="4" stopIfTrue="1">
      <formula>IF($B35-INT($B35)&gt;0,TRUE,FALSE)</formula>
    </cfRule>
  </conditionalFormatting>
  <conditionalFormatting sqref="E42 H42:J42">
    <cfRule type="expression" dxfId="147" priority="7" stopIfTrue="1">
      <formula>IF(#REF!-INT(#REF!)&gt;0,TRUE,FALSE)</formula>
    </cfRule>
  </conditionalFormatting>
  <conditionalFormatting sqref="H43:H52">
    <cfRule type="expression" dxfId="146" priority="3" stopIfTrue="1">
      <formula>IF(#REF!-INT(#REF!)&gt;0,TRUE,FALSE)</formula>
    </cfRule>
  </conditionalFormatting>
  <conditionalFormatting sqref="E44:E46 J44:J46">
    <cfRule type="expression" dxfId="145" priority="8" stopIfTrue="1">
      <formula>IF($B38-INT($B38)&gt;0,TRUE,FALSE)</formula>
    </cfRule>
  </conditionalFormatting>
  <conditionalFormatting sqref="E47 J47">
    <cfRule type="expression" dxfId="144" priority="9" stopIfTrue="1">
      <formula>IF(#REF!-INT(#REF!)&gt;0,TRUE,FALSE)</formula>
    </cfRule>
  </conditionalFormatting>
  <conditionalFormatting sqref="F42:G42">
    <cfRule type="expression" dxfId="143" priority="2" stopIfTrue="1">
      <formula>IF(#REF!-INT(#REF!)&gt;0,TRUE,FALSE)</formula>
    </cfRule>
  </conditionalFormatting>
  <conditionalFormatting sqref="F43:G52">
    <cfRule type="expression" dxfId="142" priority="1" stopIfTrue="1">
      <formula>IF(#REF!-INT(#REF!)&gt;0,TRUE,FALSE)</formula>
    </cfRule>
  </conditionalFormatting>
  <dataValidations count="1">
    <dataValidation type="list" allowBlank="1" showInputMessage="1" showErrorMessage="1" sqref="D9:D52 D6" xr:uid="{00000000-0002-0000-0400-000000000000}">
      <formula1>prueba</formula1>
    </dataValidation>
  </dataValidations>
  <pageMargins left="0.55118110236220474" right="0.55118110236220474" top="0.98425196850393704" bottom="0.98425196850393704" header="0" footer="0"/>
  <pageSetup paperSize="9" scale="75" orientation="landscape" r:id="rId1"/>
  <headerFooter alignWithMargins="0"/>
  <ignoredErrors>
    <ignoredError sqref="H20:H42"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MacroExp">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3"/>
  <dimension ref="C2:K52"/>
  <sheetViews>
    <sheetView workbookViewId="0">
      <selection activeCell="E8" sqref="E8"/>
    </sheetView>
  </sheetViews>
  <sheetFormatPr baseColWidth="10" defaultRowHeight="12.75" x14ac:dyDescent="0.2"/>
  <cols>
    <col min="1" max="1" width="11.42578125" style="156" customWidth="1"/>
    <col min="2" max="2" width="11.28515625" style="156" customWidth="1"/>
    <col min="3" max="3" width="3.85546875" style="156" customWidth="1"/>
    <col min="4" max="4" width="29.42578125" style="156" customWidth="1"/>
    <col min="5" max="5" width="35" style="155" customWidth="1"/>
    <col min="6" max="6" width="35" style="192" customWidth="1"/>
    <col min="7" max="7" width="11.42578125" style="156"/>
    <col min="8" max="8" width="13.85546875" style="167" customWidth="1"/>
    <col min="9" max="9" width="9.7109375" style="168" customWidth="1"/>
    <col min="10" max="10" width="12.5703125" style="156" customWidth="1"/>
    <col min="11" max="11" width="12.7109375" style="156" customWidth="1"/>
    <col min="12" max="16384" width="11.42578125" style="156"/>
  </cols>
  <sheetData>
    <row r="2" spans="3:11" s="158" customFormat="1" ht="20.25" customHeight="1" x14ac:dyDescent="0.2">
      <c r="C2" s="364" t="s">
        <v>199</v>
      </c>
      <c r="D2" s="364"/>
      <c r="E2" s="364"/>
      <c r="F2" s="364"/>
      <c r="H2" s="159"/>
      <c r="I2" s="160"/>
    </row>
    <row r="3" spans="3:11" s="158" customFormat="1" ht="18" customHeight="1" x14ac:dyDescent="0.2">
      <c r="C3" s="365" t="s">
        <v>213</v>
      </c>
      <c r="D3" s="365"/>
      <c r="E3" s="365"/>
      <c r="F3" s="365"/>
      <c r="H3" s="159"/>
      <c r="I3" s="160"/>
    </row>
    <row r="4" spans="3:11" s="158" customFormat="1" ht="13.5" customHeight="1" x14ac:dyDescent="0.2">
      <c r="C4" s="366" t="str">
        <f>'Capacidad Financiera'!B4</f>
        <v>PROCESO SELECCIÓN ABREVIADA No. SA-MC-DT-SUC-001-2024</v>
      </c>
      <c r="D4" s="366"/>
      <c r="E4" s="366"/>
      <c r="F4" s="366"/>
      <c r="H4" s="159"/>
      <c r="I4" s="160"/>
    </row>
    <row r="5" spans="3:11" s="158" customFormat="1" ht="13.5" customHeight="1" x14ac:dyDescent="0.2">
      <c r="C5" s="366" t="s">
        <v>212</v>
      </c>
      <c r="D5" s="366"/>
      <c r="E5" s="366"/>
      <c r="F5" s="366"/>
      <c r="H5" s="159"/>
      <c r="I5" s="160"/>
    </row>
    <row r="6" spans="3:11" s="158" customFormat="1" ht="14.25" thickBot="1" x14ac:dyDescent="0.25">
      <c r="C6" s="161"/>
      <c r="D6" s="161"/>
      <c r="E6" s="164"/>
      <c r="F6" s="165"/>
      <c r="H6" s="159"/>
      <c r="I6" s="160"/>
    </row>
    <row r="7" spans="3:11" ht="19.5" customHeight="1" x14ac:dyDescent="0.2">
      <c r="C7" s="367" t="s">
        <v>158</v>
      </c>
      <c r="D7" s="369" t="s">
        <v>157</v>
      </c>
      <c r="E7" s="203" t="s">
        <v>202</v>
      </c>
      <c r="F7" s="204" t="s">
        <v>212</v>
      </c>
    </row>
    <row r="8" spans="3:11" ht="67.5" customHeight="1" thickBot="1" x14ac:dyDescent="0.25">
      <c r="C8" s="368"/>
      <c r="D8" s="370"/>
      <c r="E8" s="205" t="s">
        <v>203</v>
      </c>
      <c r="F8" s="206" t="s">
        <v>214</v>
      </c>
    </row>
    <row r="9" spans="3:11" x14ac:dyDescent="0.2">
      <c r="C9" s="90">
        <f>+'Capacidad Financiera'!B12</f>
        <v>1</v>
      </c>
      <c r="D9" s="91">
        <f>IF(ISERROR(VLOOKUP(C9,'Capacidad Financiera'!$B$12:$AD$59206,2,0)),"",VLOOKUP(C9,'Capacidad Financiera'!$B$12:$AD$59206,2,0))</f>
        <v>0</v>
      </c>
      <c r="E9" s="193">
        <v>1</v>
      </c>
      <c r="F9" s="194">
        <v>20</v>
      </c>
      <c r="H9" s="169"/>
      <c r="I9" s="170"/>
      <c r="J9" s="157"/>
      <c r="K9" s="157"/>
    </row>
    <row r="10" spans="3:11" ht="13.5" thickBot="1" x14ac:dyDescent="0.25">
      <c r="C10" s="95">
        <f>+'Capacidad Financiera'!B13</f>
        <v>1.1000000000000001</v>
      </c>
      <c r="D10" s="137" t="str">
        <f>IF(ISERROR(VLOOKUP(C10,'Capacidad Financiera'!$B$12:$AD$59206,2,0)),"",VLOOKUP(C10,'Capacidad Financiera'!$B$12:$AD$59206,2,0))</f>
        <v>CCC DE LA SABANA SAS</v>
      </c>
      <c r="E10" s="195">
        <v>1</v>
      </c>
      <c r="F10" s="214">
        <f>IF(OR(D10="",E10=""),"",IF(AND(E10&gt;0,E10&lt;=CapTecnica1),Puntajes!$H$4,IF(AND(E10&gt;CapTecnica1,E10&lt;=CapTecnica2),Puntajes!$H$5,IF(E10&gt;CapTecnica2,Puntajes!$H$6,0))))</f>
        <v>20</v>
      </c>
    </row>
    <row r="11" spans="3:11" ht="13.5" hidden="1" thickBot="1" x14ac:dyDescent="0.25">
      <c r="C11" s="95" t="str">
        <f>+'Capacidad Financiera'!B14</f>
        <v/>
      </c>
      <c r="D11" s="137">
        <f>IF(ISERROR(VLOOKUP(C11,'Capacidad Financiera'!$B$12:$AD$59206,2,0)),"",VLOOKUP(C11,'Capacidad Financiera'!$B$12:$AD$59206,2,0))</f>
        <v>0</v>
      </c>
      <c r="E11" s="195"/>
      <c r="F11" s="214" t="str">
        <f>IF(OR(D11="",E11=""),"",IF(AND(E11&gt;0,E11&lt;=CapTecnica1),Puntajes!$H$4,IF(AND(E11&gt;CapTecnica1,E11&lt;=CapTecnica2),Puntajes!$H$5,IF(E11&gt;CapTecnica2,Puntajes!$H$6,0))))</f>
        <v/>
      </c>
    </row>
    <row r="12" spans="3:11" ht="13.5" hidden="1" thickBot="1" x14ac:dyDescent="0.25">
      <c r="C12" s="95" t="str">
        <f>+'Capacidad Financiera'!B15</f>
        <v/>
      </c>
      <c r="D12" s="137">
        <f>IF(ISERROR(VLOOKUP(C12,'Capacidad Financiera'!$B$12:$AD$59206,2,0)),"",VLOOKUP(C12,'Capacidad Financiera'!$B$12:$AD$59206,2,0))</f>
        <v>0</v>
      </c>
      <c r="E12" s="195"/>
      <c r="F12" s="214" t="str">
        <f>IF(OR(D12="",E12=""),"",IF(AND(E12&gt;0,E12&lt;=CapTecnica1),Puntajes!$H$4,IF(AND(E12&gt;CapTecnica1,E12&lt;=CapTecnica2),Puntajes!$H$5,IF(E12&gt;CapTecnica2,Puntajes!$H$6,0))))</f>
        <v/>
      </c>
    </row>
    <row r="13" spans="3:11" ht="13.5" hidden="1" thickBot="1" x14ac:dyDescent="0.25">
      <c r="C13" s="95" t="str">
        <f>+'Capacidad Financiera'!B16</f>
        <v/>
      </c>
      <c r="D13" s="137">
        <f>IF(ISERROR(VLOOKUP(C13,'Capacidad Financiera'!$B$12:$AD$59206,2,0)),"",VLOOKUP(C13,'Capacidad Financiera'!$B$12:$AD$59206,2,0))</f>
        <v>0</v>
      </c>
      <c r="E13" s="195"/>
      <c r="F13" s="214" t="str">
        <f>IF(OR(D13="",E13=""),"",IF(AND(E13&gt;0,E13&lt;=CapTecnica1),Puntajes!$H$4,IF(AND(E13&gt;CapTecnica1,E13&lt;=CapTecnica2),Puntajes!$H$5,IF(E13&gt;CapTecnica2,Puntajes!$H$6,0))))</f>
        <v/>
      </c>
    </row>
    <row r="14" spans="3:11" ht="13.5" hidden="1" thickBot="1" x14ac:dyDescent="0.25">
      <c r="C14" s="95" t="str">
        <f>+'Capacidad Financiera'!B17</f>
        <v/>
      </c>
      <c r="D14" s="137">
        <f>IF(ISERROR(VLOOKUP(C14,'Capacidad Financiera'!$B$12:$AD$59206,2,0)),"",VLOOKUP(C14,'Capacidad Financiera'!$B$12:$AD$59206,2,0))</f>
        <v>0</v>
      </c>
      <c r="E14" s="195"/>
      <c r="F14" s="214" t="str">
        <f>IF(OR(D14="",E14=""),"",IF(AND(E14&gt;0,E14&lt;=CapTecnica1),Puntajes!$H$4,IF(AND(E14&gt;CapTecnica1,E14&lt;=CapTecnica2),Puntajes!$H$5,IF(E14&gt;CapTecnica2,Puntajes!$H$6,0))))</f>
        <v/>
      </c>
    </row>
    <row r="15" spans="3:11" ht="13.5" hidden="1" thickBot="1" x14ac:dyDescent="0.25">
      <c r="C15" s="95" t="str">
        <f>+'Capacidad Financiera'!B18</f>
        <v/>
      </c>
      <c r="D15" s="137">
        <f>IF(ISERROR(VLOOKUP(C15,'Capacidad Financiera'!$B$12:$AD$59206,2,0)),"",VLOOKUP(C15,'Capacidad Financiera'!$B$12:$AD$59206,2,0))</f>
        <v>0</v>
      </c>
      <c r="E15" s="195"/>
      <c r="F15" s="214" t="str">
        <f>IF(OR(D15="",E15=""),"",IF(AND(E15&gt;0,E15&lt;=CapTecnica1),Puntajes!$H$4,IF(AND(E15&gt;CapTecnica1,E15&lt;=CapTecnica2),Puntajes!$H$5,IF(E15&gt;CapTecnica2,Puntajes!$H$6,0))))</f>
        <v/>
      </c>
    </row>
    <row r="16" spans="3:11" ht="13.5" hidden="1" thickBot="1" x14ac:dyDescent="0.25">
      <c r="C16" s="95" t="str">
        <f>+'Capacidad Financiera'!B19</f>
        <v/>
      </c>
      <c r="D16" s="137">
        <f>IF(ISERROR(VLOOKUP(C16,'Capacidad Financiera'!$B$12:$AD$59206,2,0)),"",VLOOKUP(C16,'Capacidad Financiera'!$B$12:$AD$59206,2,0))</f>
        <v>0</v>
      </c>
      <c r="E16" s="195"/>
      <c r="F16" s="214" t="str">
        <f>IF(OR(D16="",E16=""),"",IF(AND(E16&gt;0,E16&lt;=CapTecnica1),Puntajes!$H$4,IF(AND(E16&gt;CapTecnica1,E16&lt;=CapTecnica2),Puntajes!$H$5,IF(E16&gt;CapTecnica2,Puntajes!$H$6,0))))</f>
        <v/>
      </c>
    </row>
    <row r="17" spans="3:6" ht="13.5" hidden="1" thickBot="1" x14ac:dyDescent="0.25">
      <c r="C17" s="95" t="str">
        <f>+'Capacidad Financiera'!B20</f>
        <v/>
      </c>
      <c r="D17" s="137">
        <f>IF(ISERROR(VLOOKUP(C17,'Capacidad Financiera'!$B$12:$AD$59206,2,0)),"",VLOOKUP(C17,'Capacidad Financiera'!$B$12:$AD$59206,2,0))</f>
        <v>0</v>
      </c>
      <c r="E17" s="195"/>
      <c r="F17" s="214" t="str">
        <f>IF(OR(D17="",E17=""),"",IF(AND(E17&gt;0,E17&lt;=CapTecnica1),Puntajes!$H$4,IF(AND(E17&gt;CapTecnica1,E17&lt;=CapTecnica2),Puntajes!$H$5,IF(E17&gt;CapTecnica2,Puntajes!$H$6,0))))</f>
        <v/>
      </c>
    </row>
    <row r="18" spans="3:6" ht="13.5" hidden="1" thickBot="1" x14ac:dyDescent="0.25">
      <c r="C18" s="95" t="str">
        <f>+'Capacidad Financiera'!B21</f>
        <v/>
      </c>
      <c r="D18" s="137">
        <f>IF(ISERROR(VLOOKUP(C18,'Capacidad Financiera'!$B$12:$AD$59206,2,0)),"",VLOOKUP(C18,'Capacidad Financiera'!$B$12:$AD$59206,2,0))</f>
        <v>0</v>
      </c>
      <c r="E18" s="195"/>
      <c r="F18" s="214" t="str">
        <f>IF(OR(D18="",E18=""),"",IF(AND(E18&gt;0,E18&lt;=CapTecnica1),Puntajes!$H$4,IF(AND(E18&gt;CapTecnica1,E18&lt;=CapTecnica2),Puntajes!$H$5,IF(E18&gt;CapTecnica2,Puntajes!$H$6,0))))</f>
        <v/>
      </c>
    </row>
    <row r="19" spans="3:6" ht="13.5" hidden="1" thickBot="1" x14ac:dyDescent="0.25">
      <c r="C19" s="96" t="str">
        <f>+'Capacidad Financiera'!B22</f>
        <v/>
      </c>
      <c r="D19" s="97">
        <f>IF(ISERROR(VLOOKUP(C19,'Capacidad Financiera'!$B$12:$AD$59206,2,0)),"",VLOOKUP(C19,'Capacidad Financiera'!$B$12:$AD$59206,2,0))</f>
        <v>0</v>
      </c>
      <c r="E19" s="196"/>
      <c r="F19" s="215" t="str">
        <f>IF(OR(D19="",E19=""),"",IF(AND(E19&gt;0,E19&lt;=CapTecnica1),Puntajes!$H$4,IF(AND(E19&gt;CapTecnica1,E19&lt;=CapTecnica2),Puntajes!$H$5,IF(E19&gt;CapTecnica2,Puntajes!$H$6,0))))</f>
        <v/>
      </c>
    </row>
    <row r="20" spans="3:6" x14ac:dyDescent="0.2">
      <c r="C20" s="90">
        <v>2</v>
      </c>
      <c r="D20" s="91">
        <f>IF(ISERROR(VLOOKUP(C20,'Capacidad Financiera'!$B$12:$AD$59206,2,0)),"",VLOOKUP(C20,'Capacidad Financiera'!$B$12:$AD$59206,2,0))</f>
        <v>0</v>
      </c>
      <c r="E20" s="193">
        <v>1</v>
      </c>
      <c r="F20" s="194">
        <v>20</v>
      </c>
    </row>
    <row r="21" spans="3:6" ht="13.5" thickBot="1" x14ac:dyDescent="0.25">
      <c r="C21" s="95">
        <f>+'Capacidad Financiera'!B24</f>
        <v>2.1</v>
      </c>
      <c r="D21" s="137" t="str">
        <f>IF(ISERROR(VLOOKUP(C21,'Capacidad Financiera'!$B$12:$AD$59206,2,0)),"",VLOOKUP(C21,'Capacidad Financiera'!$B$12:$AD$59206,2,0))</f>
        <v>GAMA INGENIERIA SAS</v>
      </c>
      <c r="E21" s="195">
        <v>1</v>
      </c>
      <c r="F21" s="214">
        <f>IF(OR(D21="",E21=""),"",IF(AND(E21&gt;0,E21&lt;=CapTecnica1),Puntajes!$H$4,IF(AND(E21&gt;CapTecnica1,E21&lt;=CapTecnica2),Puntajes!$H$5,IF(E21&gt;CapTecnica2,Puntajes!$H$6,0))))</f>
        <v>20</v>
      </c>
    </row>
    <row r="22" spans="3:6" ht="13.5" hidden="1" thickBot="1" x14ac:dyDescent="0.25">
      <c r="C22" s="95" t="str">
        <f>+'Capacidad Financiera'!B25</f>
        <v/>
      </c>
      <c r="D22" s="137">
        <f>IF(ISERROR(VLOOKUP(C22,'Capacidad Financiera'!$B$12:$AD$59206,2,0)),"",VLOOKUP(C22,'Capacidad Financiera'!$B$12:$AD$59206,2,0))</f>
        <v>0</v>
      </c>
      <c r="E22" s="195"/>
      <c r="F22" s="214" t="str">
        <f>IF(OR(D22="",E22=""),"",IF(AND(E22&gt;0,E22&lt;=CapTecnica1),Puntajes!$H$4,IF(AND(E22&gt;CapTecnica1,E22&lt;=CapTecnica2),Puntajes!$H$5,IF(E22&gt;CapTecnica2,Puntajes!$H$6,0))))</f>
        <v/>
      </c>
    </row>
    <row r="23" spans="3:6" ht="13.5" hidden="1" thickBot="1" x14ac:dyDescent="0.25">
      <c r="C23" s="95" t="str">
        <f>+'Capacidad Financiera'!B26</f>
        <v/>
      </c>
      <c r="D23" s="137">
        <f>IF(ISERROR(VLOOKUP(C23,'Capacidad Financiera'!$B$12:$AD$59206,2,0)),"",VLOOKUP(C23,'Capacidad Financiera'!$B$12:$AD$59206,2,0))</f>
        <v>0</v>
      </c>
      <c r="E23" s="195"/>
      <c r="F23" s="214" t="str">
        <f>IF(OR(D23="",E23=""),"",IF(AND(E23&gt;0,E23&lt;=CapTecnica1),Puntajes!$H$4,IF(AND(E23&gt;CapTecnica1,E23&lt;=CapTecnica2),Puntajes!$H$5,IF(E23&gt;CapTecnica2,Puntajes!$H$6,0))))</f>
        <v/>
      </c>
    </row>
    <row r="24" spans="3:6" ht="13.5" hidden="1" thickBot="1" x14ac:dyDescent="0.25">
      <c r="C24" s="95" t="str">
        <f>+'Capacidad Financiera'!B27</f>
        <v/>
      </c>
      <c r="D24" s="137">
        <f>IF(ISERROR(VLOOKUP(C24,'Capacidad Financiera'!$B$12:$AD$59206,2,0)),"",VLOOKUP(C24,'Capacidad Financiera'!$B$12:$AD$59206,2,0))</f>
        <v>0</v>
      </c>
      <c r="E24" s="195"/>
      <c r="F24" s="214" t="str">
        <f>IF(OR(D24="",E24=""),"",IF(AND(E24&gt;0,E24&lt;=CapTecnica1),Puntajes!$H$4,IF(AND(E24&gt;CapTecnica1,E24&lt;=CapTecnica2),Puntajes!$H$5,IF(E24&gt;CapTecnica2,Puntajes!$H$6,0))))</f>
        <v/>
      </c>
    </row>
    <row r="25" spans="3:6" ht="13.5" hidden="1" thickBot="1" x14ac:dyDescent="0.25">
      <c r="C25" s="95" t="str">
        <f>+'Capacidad Financiera'!B28</f>
        <v/>
      </c>
      <c r="D25" s="137">
        <f>IF(ISERROR(VLOOKUP(C25,'Capacidad Financiera'!$B$12:$AD$59206,2,0)),"",VLOOKUP(C25,'Capacidad Financiera'!$B$12:$AD$59206,2,0))</f>
        <v>0</v>
      </c>
      <c r="E25" s="195"/>
      <c r="F25" s="214" t="str">
        <f>IF(OR(D25="",E25=""),"",IF(AND(E25&gt;0,E25&lt;=CapTecnica1),Puntajes!$H$4,IF(AND(E25&gt;CapTecnica1,E25&lt;=CapTecnica2),Puntajes!$H$5,IF(E25&gt;CapTecnica2,Puntajes!$H$6,0))))</f>
        <v/>
      </c>
    </row>
    <row r="26" spans="3:6" ht="13.5" hidden="1" thickBot="1" x14ac:dyDescent="0.25">
      <c r="C26" s="95" t="str">
        <f>+'Capacidad Financiera'!B29</f>
        <v/>
      </c>
      <c r="D26" s="137">
        <f>IF(ISERROR(VLOOKUP(C26,'Capacidad Financiera'!$B$12:$AD$59206,2,0)),"",VLOOKUP(C26,'Capacidad Financiera'!$B$12:$AD$59206,2,0))</f>
        <v>0</v>
      </c>
      <c r="E26" s="195"/>
      <c r="F26" s="214" t="str">
        <f>IF(OR(D26="",E26=""),"",IF(AND(E26&gt;0,E26&lt;=CapTecnica1),Puntajes!$H$4,IF(AND(E26&gt;CapTecnica1,E26&lt;=CapTecnica2),Puntajes!$H$5,IF(E26&gt;CapTecnica2,Puntajes!$H$6,0))))</f>
        <v/>
      </c>
    </row>
    <row r="27" spans="3:6" ht="13.5" hidden="1" thickBot="1" x14ac:dyDescent="0.25">
      <c r="C27" s="95" t="str">
        <f>+'Capacidad Financiera'!B30</f>
        <v/>
      </c>
      <c r="D27" s="137">
        <f>IF(ISERROR(VLOOKUP(C27,'Capacidad Financiera'!$B$12:$AD$59206,2,0)),"",VLOOKUP(C27,'Capacidad Financiera'!$B$12:$AD$59206,2,0))</f>
        <v>0</v>
      </c>
      <c r="E27" s="195"/>
      <c r="F27" s="214" t="str">
        <f>IF(OR(D27="",E27=""),"",IF(AND(E27&gt;0,E27&lt;=CapTecnica1),Puntajes!$H$4,IF(AND(E27&gt;CapTecnica1,E27&lt;=CapTecnica2),Puntajes!$H$5,IF(E27&gt;CapTecnica2,Puntajes!$H$6,0))))</f>
        <v/>
      </c>
    </row>
    <row r="28" spans="3:6" ht="13.5" hidden="1" thickBot="1" x14ac:dyDescent="0.25">
      <c r="C28" s="95" t="str">
        <f>+'Capacidad Financiera'!B31</f>
        <v/>
      </c>
      <c r="D28" s="137">
        <f>IF(ISERROR(VLOOKUP(C28,'Capacidad Financiera'!$B$12:$AD$59206,2,0)),"",VLOOKUP(C28,'Capacidad Financiera'!$B$12:$AD$59206,2,0))</f>
        <v>0</v>
      </c>
      <c r="E28" s="195"/>
      <c r="F28" s="214" t="str">
        <f>IF(OR(D28="",E28=""),"",IF(AND(E28&gt;0,E28&lt;=CapTecnica1),Puntajes!$H$4,IF(AND(E28&gt;CapTecnica1,E28&lt;=CapTecnica2),Puntajes!$H$5,IF(E28&gt;CapTecnica2,Puntajes!$H$6,0))))</f>
        <v/>
      </c>
    </row>
    <row r="29" spans="3:6" ht="13.5" hidden="1" thickBot="1" x14ac:dyDescent="0.25">
      <c r="C29" s="95" t="str">
        <f>+'Capacidad Financiera'!B32</f>
        <v/>
      </c>
      <c r="D29" s="137">
        <f>IF(ISERROR(VLOOKUP(C29,'Capacidad Financiera'!$B$12:$AD$59206,2,0)),"",VLOOKUP(C29,'Capacidad Financiera'!$B$12:$AD$59206,2,0))</f>
        <v>0</v>
      </c>
      <c r="E29" s="195"/>
      <c r="F29" s="214" t="str">
        <f>IF(OR(D29="",E29=""),"",IF(AND(E29&gt;0,E29&lt;=CapTecnica1),Puntajes!$H$4,IF(AND(E29&gt;CapTecnica1,E29&lt;=CapTecnica2),Puntajes!$H$5,IF(E29&gt;CapTecnica2,Puntajes!$H$6,0))))</f>
        <v/>
      </c>
    </row>
    <row r="30" spans="3:6" ht="13.5" hidden="1" thickBot="1" x14ac:dyDescent="0.25">
      <c r="C30" s="96" t="str">
        <f>+'Capacidad Financiera'!B33</f>
        <v/>
      </c>
      <c r="D30" s="97">
        <f>IF(ISERROR(VLOOKUP(C30,'Capacidad Financiera'!$B$12:$AD$59206,2,0)),"",VLOOKUP(C30,'Capacidad Financiera'!$B$12:$AD$59206,2,0))</f>
        <v>0</v>
      </c>
      <c r="E30" s="196"/>
      <c r="F30" s="215" t="str">
        <f>IF(OR(D30="",E30=""),"",IF(AND(E30&gt;0,E30&lt;=CapTecnica1),Puntajes!$H$4,IF(AND(E30&gt;CapTecnica1,E30&lt;=CapTecnica2),Puntajes!$H$5,IF(E30&gt;CapTecnica2,Puntajes!$H$6,0))))</f>
        <v/>
      </c>
    </row>
    <row r="31" spans="3:6" x14ac:dyDescent="0.2">
      <c r="C31" s="90">
        <v>3</v>
      </c>
      <c r="D31" s="91">
        <f>IF(ISERROR(VLOOKUP(C31,'Capacidad Financiera'!$B$12:$AD$59206,2,0)),"",VLOOKUP(C31,'Capacidad Financiera'!$B$12:$AD$59206,2,0))</f>
        <v>0</v>
      </c>
      <c r="E31" s="193">
        <v>1</v>
      </c>
      <c r="F31" s="194">
        <v>40</v>
      </c>
    </row>
    <row r="32" spans="3:6" ht="13.5" thickBot="1" x14ac:dyDescent="0.25">
      <c r="C32" s="95">
        <f>+'Capacidad Financiera'!B35</f>
        <v>3.1</v>
      </c>
      <c r="D32" s="137" t="str">
        <f>IF(ISERROR(VLOOKUP(C32,'Capacidad Financiera'!$B$12:$AD$59206,2,0)),"",VLOOKUP(C32,'Capacidad Financiera'!$B$12:$AD$59206,2,0))</f>
        <v>RODRIGO MATABANCHOY BOLAÑOS</v>
      </c>
      <c r="E32" s="195">
        <v>1</v>
      </c>
      <c r="F32" s="214">
        <f>IF(OR(D32="",E32=""),"",IF(AND(E32&gt;0,E32&lt;=CapTecnica1),Puntajes!$H$4,IF(AND(E32&gt;CapTecnica1,E32&lt;=CapTecnica2),Puntajes!$H$5,IF(E32&gt;CapTecnica2,Puntajes!$H$6,0))))</f>
        <v>20</v>
      </c>
    </row>
    <row r="33" spans="3:6" ht="13.5" hidden="1" thickBot="1" x14ac:dyDescent="0.25">
      <c r="C33" s="95" t="str">
        <f>+'Capacidad Financiera'!B36</f>
        <v/>
      </c>
      <c r="D33" s="137">
        <f>IF(ISERROR(VLOOKUP(C33,'Capacidad Financiera'!$B$12:$AD$59206,2,0)),"",VLOOKUP(C33,'Capacidad Financiera'!$B$12:$AD$59206,2,0))</f>
        <v>0</v>
      </c>
      <c r="E33" s="195"/>
      <c r="F33" s="214" t="str">
        <f>IF(OR(D33="",E33=""),"",IF(AND(E33&gt;0,E33&lt;=CapTecnica1),Puntajes!$H$4,IF(AND(E33&gt;CapTecnica1,E33&lt;=CapTecnica2),Puntajes!$H$5,IF(E33&gt;CapTecnica2,Puntajes!$H$6,0))))</f>
        <v/>
      </c>
    </row>
    <row r="34" spans="3:6" ht="13.5" hidden="1" thickBot="1" x14ac:dyDescent="0.25">
      <c r="C34" s="95" t="str">
        <f>+'Capacidad Financiera'!B37</f>
        <v/>
      </c>
      <c r="D34" s="137">
        <f>IF(ISERROR(VLOOKUP(C34,'Capacidad Financiera'!$B$12:$AD$59206,2,0)),"",VLOOKUP(C34,'Capacidad Financiera'!$B$12:$AD$59206,2,0))</f>
        <v>0</v>
      </c>
      <c r="E34" s="195"/>
      <c r="F34" s="214" t="str">
        <f>IF(OR(D34="",E34=""),"",IF(AND(E34&gt;0,E34&lt;=CapTecnica1),Puntajes!$H$4,IF(AND(E34&gt;CapTecnica1,E34&lt;=CapTecnica2),Puntajes!$H$5,IF(E34&gt;CapTecnica2,Puntajes!$H$6,0))))</f>
        <v/>
      </c>
    </row>
    <row r="35" spans="3:6" ht="13.5" hidden="1" thickBot="1" x14ac:dyDescent="0.25">
      <c r="C35" s="95" t="str">
        <f>+'Capacidad Financiera'!B38</f>
        <v/>
      </c>
      <c r="D35" s="137">
        <f>IF(ISERROR(VLOOKUP(C35,'Capacidad Financiera'!$B$12:$AD$59206,2,0)),"",VLOOKUP(C35,'Capacidad Financiera'!$B$12:$AD$59206,2,0))</f>
        <v>0</v>
      </c>
      <c r="E35" s="195"/>
      <c r="F35" s="214" t="str">
        <f>IF(OR(D35="",E35=""),"",IF(AND(E35&gt;0,E35&lt;=CapTecnica1),Puntajes!$H$4,IF(AND(E35&gt;CapTecnica1,E35&lt;=CapTecnica2),Puntajes!$H$5,IF(E35&gt;CapTecnica2,Puntajes!$H$6,0))))</f>
        <v/>
      </c>
    </row>
    <row r="36" spans="3:6" ht="13.5" hidden="1" thickBot="1" x14ac:dyDescent="0.25">
      <c r="C36" s="95" t="str">
        <f>+'Capacidad Financiera'!B39</f>
        <v/>
      </c>
      <c r="D36" s="137">
        <f>IF(ISERROR(VLOOKUP(C36,'Capacidad Financiera'!$B$12:$AD$59206,2,0)),"",VLOOKUP(C36,'Capacidad Financiera'!$B$12:$AD$59206,2,0))</f>
        <v>0</v>
      </c>
      <c r="E36" s="195"/>
      <c r="F36" s="214" t="str">
        <f>IF(OR(D36="",E36=""),"",IF(AND(E36&gt;0,E36&lt;=CapTecnica1),Puntajes!$H$4,IF(AND(E36&gt;CapTecnica1,E36&lt;=CapTecnica2),Puntajes!$H$5,IF(E36&gt;CapTecnica2,Puntajes!$H$6,0))))</f>
        <v/>
      </c>
    </row>
    <row r="37" spans="3:6" ht="13.5" hidden="1" thickBot="1" x14ac:dyDescent="0.25">
      <c r="C37" s="95" t="str">
        <f>+'Capacidad Financiera'!B40</f>
        <v/>
      </c>
      <c r="D37" s="137">
        <f>IF(ISERROR(VLOOKUP(C37,'Capacidad Financiera'!$B$12:$AD$59206,2,0)),"",VLOOKUP(C37,'Capacidad Financiera'!$B$12:$AD$59206,2,0))</f>
        <v>0</v>
      </c>
      <c r="E37" s="195"/>
      <c r="F37" s="214" t="str">
        <f>IF(OR(D37="",E37=""),"",IF(AND(E37&gt;0,E37&lt;=CapTecnica1),Puntajes!$H$4,IF(AND(E37&gt;CapTecnica1,E37&lt;=CapTecnica2),Puntajes!$H$5,IF(E37&gt;CapTecnica2,Puntajes!$H$6,0))))</f>
        <v/>
      </c>
    </row>
    <row r="38" spans="3:6" ht="13.5" hidden="1" thickBot="1" x14ac:dyDescent="0.25">
      <c r="C38" s="95" t="str">
        <f>+'Capacidad Financiera'!B41</f>
        <v/>
      </c>
      <c r="D38" s="137">
        <f>IF(ISERROR(VLOOKUP(C38,'Capacidad Financiera'!$B$12:$AD$59206,2,0)),"",VLOOKUP(C38,'Capacidad Financiera'!$B$12:$AD$59206,2,0))</f>
        <v>0</v>
      </c>
      <c r="E38" s="195"/>
      <c r="F38" s="214" t="str">
        <f>IF(OR(D38="",E38=""),"",IF(AND(E38&gt;0,E38&lt;=CapTecnica1),Puntajes!$H$4,IF(AND(E38&gt;CapTecnica1,E38&lt;=CapTecnica2),Puntajes!$H$5,IF(E38&gt;CapTecnica2,Puntajes!$H$6,0))))</f>
        <v/>
      </c>
    </row>
    <row r="39" spans="3:6" ht="13.5" hidden="1" thickBot="1" x14ac:dyDescent="0.25">
      <c r="C39" s="95" t="str">
        <f>+'Capacidad Financiera'!B42</f>
        <v/>
      </c>
      <c r="D39" s="137">
        <f>IF(ISERROR(VLOOKUP(C39,'Capacidad Financiera'!$B$12:$AD$59206,2,0)),"",VLOOKUP(C39,'Capacidad Financiera'!$B$12:$AD$59206,2,0))</f>
        <v>0</v>
      </c>
      <c r="E39" s="195"/>
      <c r="F39" s="214" t="str">
        <f>IF(OR(D39="",E39=""),"",IF(AND(E39&gt;0,E39&lt;=CapTecnica1),Puntajes!$H$4,IF(AND(E39&gt;CapTecnica1,E39&lt;=CapTecnica2),Puntajes!$H$5,IF(E39&gt;CapTecnica2,Puntajes!$H$6,0))))</f>
        <v/>
      </c>
    </row>
    <row r="40" spans="3:6" ht="13.5" hidden="1" thickBot="1" x14ac:dyDescent="0.25">
      <c r="C40" s="95" t="str">
        <f>+'Capacidad Financiera'!B43</f>
        <v/>
      </c>
      <c r="D40" s="137">
        <f>IF(ISERROR(VLOOKUP(C40,'Capacidad Financiera'!$B$12:$AD$59206,2,0)),"",VLOOKUP(C40,'Capacidad Financiera'!$B$12:$AD$59206,2,0))</f>
        <v>0</v>
      </c>
      <c r="E40" s="195"/>
      <c r="F40" s="214" t="str">
        <f>IF(OR(D40="",E40=""),"",IF(AND(E40&gt;0,E40&lt;=CapTecnica1),Puntajes!$H$4,IF(AND(E40&gt;CapTecnica1,E40&lt;=CapTecnica2),Puntajes!$H$5,IF(E40&gt;CapTecnica2,Puntajes!$H$6,0))))</f>
        <v/>
      </c>
    </row>
    <row r="41" spans="3:6" ht="13.5" hidden="1" thickBot="1" x14ac:dyDescent="0.25">
      <c r="C41" s="96" t="str">
        <f>+'Capacidad Financiera'!B44</f>
        <v/>
      </c>
      <c r="D41" s="97">
        <f>IF(ISERROR(VLOOKUP(C41,'Capacidad Financiera'!$B$12:$AD$59206,2,0)),"",VLOOKUP(C41,'Capacidad Financiera'!$B$12:$AD$59206,2,0))</f>
        <v>0</v>
      </c>
      <c r="E41" s="196"/>
      <c r="F41" s="215" t="str">
        <f>IF(OR(D41="",E41=""),"",IF(AND(E41&gt;0,E41&lt;=CapTecnica1),Puntajes!$H$4,IF(AND(E41&gt;CapTecnica1,E41&lt;=CapTecnica2),Puntajes!$H$5,IF(E41&gt;CapTecnica2,Puntajes!$H$6,0))))</f>
        <v/>
      </c>
    </row>
    <row r="42" spans="3:6" x14ac:dyDescent="0.2">
      <c r="C42" s="90">
        <v>4</v>
      </c>
      <c r="D42" s="91" t="str">
        <f>IF(ISERROR(VLOOKUP(C42,'Capacidad Financiera'!$B$12:$AD$59206,2,0)),"",VLOOKUP(C42,'Capacidad Financiera'!$B$12:$AD$59206,2,0))</f>
        <v>CONSORCIO CAFRA 2024</v>
      </c>
      <c r="E42" s="193">
        <v>2</v>
      </c>
      <c r="F42" s="194">
        <v>20</v>
      </c>
    </row>
    <row r="43" spans="3:6" x14ac:dyDescent="0.2">
      <c r="C43" s="95">
        <f>+'Capacidad Financiera'!B46</f>
        <v>4.0999999999999996</v>
      </c>
      <c r="D43" s="137" t="str">
        <f>IF(ISERROR(VLOOKUP(C43,'Capacidad Financiera'!$B$12:$AD$59206,2,0)),"",VLOOKUP(C43,'Capacidad Financiera'!$B$12:$AD$59206,2,0))</f>
        <v>CARRILES DEL ORIENTE</v>
      </c>
      <c r="E43" s="195">
        <v>2</v>
      </c>
      <c r="F43" s="214">
        <f>IF(OR(D43="",E43=""),"",IF(AND(E43&gt;0,E43&lt;=CapTecnica1),Puntajes!$H$4,IF(AND(E43&gt;CapTecnica1,E43&lt;=CapTecnica2),Puntajes!$H$5,IF(E43&gt;CapTecnica2,Puntajes!$H$6,0))))</f>
        <v>20</v>
      </c>
    </row>
    <row r="44" spans="3:6" ht="26.25" thickBot="1" x14ac:dyDescent="0.25">
      <c r="C44" s="96">
        <f>+'Capacidad Financiera'!B47</f>
        <v>4.1999999999999993</v>
      </c>
      <c r="D44" s="97" t="str">
        <f>IF(ISERROR(VLOOKUP(C44,'Capacidad Financiera'!$B$12:$AD$59206,2,0)),"",VLOOKUP(C44,'Capacidad Financiera'!$B$12:$AD$59206,2,0))</f>
        <v>HECTOR FRANCISCO SARMIENTO DURAN</v>
      </c>
      <c r="E44" s="196">
        <v>1</v>
      </c>
      <c r="F44" s="215">
        <f>IF(OR(D44="",E44=""),"",IF(AND(E44&gt;0,E44&lt;=CapTecnica1),Puntajes!$H$4,IF(AND(E44&gt;CapTecnica1,E44&lt;=CapTecnica2),Puntajes!$H$5,IF(E44&gt;CapTecnica2,Puntajes!$H$6,0))))</f>
        <v>20</v>
      </c>
    </row>
    <row r="45" spans="3:6" hidden="1" x14ac:dyDescent="0.2">
      <c r="C45" s="283" t="str">
        <f>+'Capacidad Financiera'!B48</f>
        <v/>
      </c>
      <c r="D45" s="284">
        <f>IF(ISERROR(VLOOKUP(C45,'Capacidad Financiera'!$B$12:$AD$59206,2,0)),"",VLOOKUP(C45,'Capacidad Financiera'!$B$12:$AD$59206,2,0))</f>
        <v>0</v>
      </c>
      <c r="E45" s="289"/>
      <c r="F45" s="288" t="str">
        <f>IF(OR(D45="",E45=""),"",IF(AND(E45&gt;0,E45&lt;=CapTecnica1),Puntajes!$H$4,IF(AND(E45&gt;CapTecnica1,E45&lt;=CapTecnica2),Puntajes!$H$5,IF(E45&gt;CapTecnica2,Puntajes!$H$6,0))))</f>
        <v/>
      </c>
    </row>
    <row r="46" spans="3:6" hidden="1" x14ac:dyDescent="0.2">
      <c r="C46" s="95" t="str">
        <f>+'Capacidad Financiera'!B49</f>
        <v/>
      </c>
      <c r="D46" s="137">
        <f>IF(ISERROR(VLOOKUP(C46,'Capacidad Financiera'!$B$12:$AD$59206,2,0)),"",VLOOKUP(C46,'Capacidad Financiera'!$B$12:$AD$59206,2,0))</f>
        <v>0</v>
      </c>
      <c r="E46" s="195"/>
      <c r="F46" s="214" t="str">
        <f>IF(OR(D46="",E46=""),"",IF(AND(E46&gt;0,E46&lt;=CapTecnica1),Puntajes!$H$4,IF(AND(E46&gt;CapTecnica1,E46&lt;=CapTecnica2),Puntajes!$H$5,IF(E46&gt;CapTecnica2,Puntajes!$H$6,0))))</f>
        <v/>
      </c>
    </row>
    <row r="47" spans="3:6" hidden="1" x14ac:dyDescent="0.2">
      <c r="C47" s="95" t="str">
        <f>+'Capacidad Financiera'!B50</f>
        <v/>
      </c>
      <c r="D47" s="137">
        <f>IF(ISERROR(VLOOKUP(C47,'Capacidad Financiera'!$B$12:$AD$59206,2,0)),"",VLOOKUP(C47,'Capacidad Financiera'!$B$12:$AD$59206,2,0))</f>
        <v>0</v>
      </c>
      <c r="E47" s="195"/>
      <c r="F47" s="214" t="str">
        <f>IF(OR(D47="",E47=""),"",IF(AND(E47&gt;0,E47&lt;=CapTecnica1),Puntajes!$H$4,IF(AND(E47&gt;CapTecnica1,E47&lt;=CapTecnica2),Puntajes!$H$5,IF(E47&gt;CapTecnica2,Puntajes!$H$6,0))))</f>
        <v/>
      </c>
    </row>
    <row r="48" spans="3:6" hidden="1" x14ac:dyDescent="0.2">
      <c r="C48" s="95" t="str">
        <f>+'Capacidad Financiera'!B51</f>
        <v/>
      </c>
      <c r="D48" s="137">
        <f>IF(ISERROR(VLOOKUP(C48,'Capacidad Financiera'!$B$12:$AD$59206,2,0)),"",VLOOKUP(C48,'Capacidad Financiera'!$B$12:$AD$59206,2,0))</f>
        <v>0</v>
      </c>
      <c r="E48" s="195"/>
      <c r="F48" s="214" t="str">
        <f>IF(OR(D48="",E48=""),"",IF(AND(E48&gt;0,E48&lt;=CapTecnica1),Puntajes!$H$4,IF(AND(E48&gt;CapTecnica1,E48&lt;=CapTecnica2),Puntajes!$H$5,IF(E48&gt;CapTecnica2,Puntajes!$H$6,0))))</f>
        <v/>
      </c>
    </row>
    <row r="49" spans="3:6" hidden="1" x14ac:dyDescent="0.2">
      <c r="C49" s="95" t="str">
        <f>+'Capacidad Financiera'!B52</f>
        <v/>
      </c>
      <c r="D49" s="137">
        <f>IF(ISERROR(VLOOKUP(C49,'Capacidad Financiera'!$B$12:$AD$59206,2,0)),"",VLOOKUP(C49,'Capacidad Financiera'!$B$12:$AD$59206,2,0))</f>
        <v>0</v>
      </c>
      <c r="E49" s="195"/>
      <c r="F49" s="214" t="str">
        <f>IF(OR(D49="",E49=""),"",IF(AND(E49&gt;0,E49&lt;=CapTecnica1),Puntajes!$H$4,IF(AND(E49&gt;CapTecnica1,E49&lt;=CapTecnica2),Puntajes!$H$5,IF(E49&gt;CapTecnica2,Puntajes!$H$6,0))))</f>
        <v/>
      </c>
    </row>
    <row r="50" spans="3:6" hidden="1" x14ac:dyDescent="0.2">
      <c r="C50" s="95" t="str">
        <f>+'Capacidad Financiera'!B53</f>
        <v/>
      </c>
      <c r="D50" s="137">
        <f>IF(ISERROR(VLOOKUP(C50,'Capacidad Financiera'!$B$12:$AD$59206,2,0)),"",VLOOKUP(C50,'Capacidad Financiera'!$B$12:$AD$59206,2,0))</f>
        <v>0</v>
      </c>
      <c r="E50" s="195"/>
      <c r="F50" s="214" t="str">
        <f>IF(OR(D50="",E50=""),"",IF(AND(E50&gt;0,E50&lt;=CapTecnica1),Puntajes!$H$4,IF(AND(E50&gt;CapTecnica1,E50&lt;=CapTecnica2),Puntajes!$H$5,IF(E50&gt;CapTecnica2,Puntajes!$H$6,0))))</f>
        <v/>
      </c>
    </row>
    <row r="51" spans="3:6" hidden="1" x14ac:dyDescent="0.2">
      <c r="C51" s="95" t="str">
        <f>+'Capacidad Financiera'!B54</f>
        <v/>
      </c>
      <c r="D51" s="137">
        <f>IF(ISERROR(VLOOKUP(C51,'Capacidad Financiera'!$B$12:$AD$59206,2,0)),"",VLOOKUP(C51,'Capacidad Financiera'!$B$12:$AD$59206,2,0))</f>
        <v>0</v>
      </c>
      <c r="E51" s="195"/>
      <c r="F51" s="214" t="str">
        <f>IF(OR(D51="",E51=""),"",IF(AND(E51&gt;0,E51&lt;=CapTecnica1),Puntajes!$H$4,IF(AND(E51&gt;CapTecnica1,E51&lt;=CapTecnica2),Puntajes!$H$5,IF(E51&gt;CapTecnica2,Puntajes!$H$6,0))))</f>
        <v/>
      </c>
    </row>
    <row r="52" spans="3:6" ht="0.75" customHeight="1" thickBot="1" x14ac:dyDescent="0.25">
      <c r="C52" s="96" t="str">
        <f>+'Capacidad Financiera'!B55</f>
        <v/>
      </c>
      <c r="D52" s="97">
        <f>IF(ISERROR(VLOOKUP(C52,'Capacidad Financiera'!$B$12:$AD$59206,2,0)),"",VLOOKUP(C52,'Capacidad Financiera'!$B$12:$AD$59206,2,0))</f>
        <v>0</v>
      </c>
      <c r="E52" s="196"/>
      <c r="F52" s="215" t="str">
        <f>IF(OR(D52="",E52=""),"",IF(AND(E52&gt;0,E52&lt;=CapTecnica1),Puntajes!$H$4,IF(AND(E52&gt;CapTecnica1,E52&lt;=CapTecnica2),Puntajes!$H$5,IF(E52&gt;CapTecnica2,Puntajes!$H$6,0))))</f>
        <v/>
      </c>
    </row>
  </sheetData>
  <sheetProtection formatCells="0" formatColumns="0" formatRows="0" insertColumns="0" insertRows="0" insertHyperlinks="0" deleteColumns="0" deleteRows="0" sort="0" autoFilter="0" pivotTables="0"/>
  <mergeCells count="6">
    <mergeCell ref="C2:F2"/>
    <mergeCell ref="C3:F3"/>
    <mergeCell ref="C4:F4"/>
    <mergeCell ref="C5:F5"/>
    <mergeCell ref="C7:C8"/>
    <mergeCell ref="D7:D8"/>
  </mergeCells>
  <conditionalFormatting sqref="E6">
    <cfRule type="expression" dxfId="141" priority="258" stopIfTrue="1">
      <formula>IF($B6-INT($B6)&gt;0,TRUE,FALSE)</formula>
    </cfRule>
  </conditionalFormatting>
  <conditionalFormatting sqref="D9:D19 D6 F6">
    <cfRule type="cellIs" dxfId="140" priority="259" stopIfTrue="1" operator="equal">
      <formula>"NO ADMISIBLE"</formula>
    </cfRule>
  </conditionalFormatting>
  <conditionalFormatting sqref="F10:F19">
    <cfRule type="expression" dxfId="139" priority="253" stopIfTrue="1">
      <formula>IF($B2-INT($B2)&gt;0,TRUE,FALSE)</formula>
    </cfRule>
  </conditionalFormatting>
  <conditionalFormatting sqref="E10:E19 E9:F9">
    <cfRule type="expression" dxfId="138" priority="260" stopIfTrue="1">
      <formula>IF(#REF!-INT(#REF!)&gt;0,TRUE,FALSE)</formula>
    </cfRule>
  </conditionalFormatting>
  <conditionalFormatting sqref="D20:D30">
    <cfRule type="cellIs" dxfId="137" priority="8" stopIfTrue="1" operator="equal">
      <formula>"NO ADMISIBLE"</formula>
    </cfRule>
  </conditionalFormatting>
  <conditionalFormatting sqref="F21:F30">
    <cfRule type="expression" dxfId="136" priority="7" stopIfTrue="1">
      <formula>IF($B13-INT($B13)&gt;0,TRUE,FALSE)</formula>
    </cfRule>
  </conditionalFormatting>
  <conditionalFormatting sqref="E21:E30 E20:F20">
    <cfRule type="expression" dxfId="135" priority="9" stopIfTrue="1">
      <formula>IF(#REF!-INT(#REF!)&gt;0,TRUE,FALSE)</formula>
    </cfRule>
  </conditionalFormatting>
  <conditionalFormatting sqref="D31:D41">
    <cfRule type="cellIs" dxfId="134" priority="5" stopIfTrue="1" operator="equal">
      <formula>"NO ADMISIBLE"</formula>
    </cfRule>
  </conditionalFormatting>
  <conditionalFormatting sqref="F32:F41">
    <cfRule type="expression" dxfId="133" priority="4" stopIfTrue="1">
      <formula>IF($B24-INT($B24)&gt;0,TRUE,FALSE)</formula>
    </cfRule>
  </conditionalFormatting>
  <conditionalFormatting sqref="E32:E41 E31:F31">
    <cfRule type="expression" dxfId="132" priority="6" stopIfTrue="1">
      <formula>IF(#REF!-INT(#REF!)&gt;0,TRUE,FALSE)</formula>
    </cfRule>
  </conditionalFormatting>
  <conditionalFormatting sqref="D42:D52">
    <cfRule type="cellIs" dxfId="131" priority="2" stopIfTrue="1" operator="equal">
      <formula>"NO ADMISIBLE"</formula>
    </cfRule>
  </conditionalFormatting>
  <conditionalFormatting sqref="F43:F52">
    <cfRule type="expression" dxfId="130" priority="1" stopIfTrue="1">
      <formula>IF($B35-INT($B35)&gt;0,TRUE,FALSE)</formula>
    </cfRule>
  </conditionalFormatting>
  <conditionalFormatting sqref="E43:E52 E42:F42">
    <cfRule type="expression" dxfId="129" priority="3" stopIfTrue="1">
      <formula>IF(#REF!-INT(#REF!)&gt;0,TRUE,FALSE)</formula>
    </cfRule>
  </conditionalFormatting>
  <dataValidations count="1">
    <dataValidation type="list" allowBlank="1" showInputMessage="1" showErrorMessage="1" sqref="D9:D52 D6" xr:uid="{00000000-0002-0000-0500-000000000000}">
      <formula1>prueba</formula1>
    </dataValidation>
  </dataValidations>
  <pageMargins left="0.74803149606299213" right="0.74803149606299213" top="0.98425196850393704" bottom="0.98425196850393704" header="0" footer="0"/>
  <pageSetup paperSize="9" scale="85"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MacroCT">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C2:M52"/>
  <sheetViews>
    <sheetView topLeftCell="B1" workbookViewId="0">
      <selection activeCell="H20" sqref="H20:H42"/>
    </sheetView>
  </sheetViews>
  <sheetFormatPr baseColWidth="10" defaultRowHeight="12.75" x14ac:dyDescent="0.2"/>
  <cols>
    <col min="1" max="1" width="11.42578125" style="156" customWidth="1"/>
    <col min="2" max="2" width="11.28515625" style="156" customWidth="1"/>
    <col min="3" max="3" width="3.85546875" style="156" customWidth="1"/>
    <col min="4" max="4" width="29.42578125" style="156" customWidth="1"/>
    <col min="5" max="6" width="18.7109375" style="145" customWidth="1"/>
    <col min="7" max="7" width="14.7109375" style="145" bestFit="1" customWidth="1"/>
    <col min="8" max="8" width="42.42578125" style="145" customWidth="1"/>
    <col min="9" max="9" width="11.42578125" style="156"/>
    <col min="10" max="10" width="13.85546875" style="167" customWidth="1"/>
    <col min="11" max="11" width="9.7109375" style="168" customWidth="1"/>
    <col min="12" max="12" width="12.5703125" style="156" customWidth="1"/>
    <col min="13" max="13" width="12.7109375" style="156" customWidth="1"/>
    <col min="14" max="16384" width="11.42578125" style="156"/>
  </cols>
  <sheetData>
    <row r="2" spans="3:13" s="158" customFormat="1" ht="20.25" customHeight="1" x14ac:dyDescent="0.2">
      <c r="C2" s="364" t="s">
        <v>199</v>
      </c>
      <c r="D2" s="364"/>
      <c r="E2" s="364"/>
      <c r="F2" s="364"/>
      <c r="G2" s="364"/>
      <c r="H2" s="364"/>
      <c r="J2" s="159"/>
      <c r="K2" s="160"/>
    </row>
    <row r="3" spans="3:13" s="158" customFormat="1" ht="18" customHeight="1" x14ac:dyDescent="0.2">
      <c r="C3" s="365" t="s">
        <v>213</v>
      </c>
      <c r="D3" s="365"/>
      <c r="E3" s="365"/>
      <c r="F3" s="365"/>
      <c r="G3" s="365"/>
      <c r="H3" s="365"/>
      <c r="J3" s="159"/>
      <c r="K3" s="160"/>
    </row>
    <row r="4" spans="3:13" s="158" customFormat="1" ht="13.5" customHeight="1" x14ac:dyDescent="0.2">
      <c r="C4" s="366" t="str">
        <f>'Capacidad Financiera'!B4</f>
        <v>PROCESO SELECCIÓN ABREVIADA No. SA-MC-DT-SUC-001-2024</v>
      </c>
      <c r="D4" s="366"/>
      <c r="E4" s="366"/>
      <c r="F4" s="366"/>
      <c r="G4" s="366"/>
      <c r="H4" s="366"/>
      <c r="J4" s="159"/>
      <c r="K4" s="160"/>
    </row>
    <row r="5" spans="3:13" s="158" customFormat="1" ht="13.5" customHeight="1" x14ac:dyDescent="0.2">
      <c r="C5" s="366" t="s">
        <v>220</v>
      </c>
      <c r="D5" s="366"/>
      <c r="E5" s="366"/>
      <c r="F5" s="366"/>
      <c r="G5" s="366"/>
      <c r="H5" s="366"/>
      <c r="J5" s="159"/>
      <c r="K5" s="160"/>
    </row>
    <row r="6" spans="3:13" s="158" customFormat="1" ht="14.25" thickBot="1" x14ac:dyDescent="0.25">
      <c r="C6" s="161"/>
      <c r="D6" s="161"/>
      <c r="E6" s="165"/>
      <c r="F6" s="165"/>
      <c r="G6" s="165"/>
      <c r="H6" s="165"/>
      <c r="J6" s="159"/>
      <c r="K6" s="160"/>
    </row>
    <row r="7" spans="3:13" ht="43.5" customHeight="1" x14ac:dyDescent="0.2">
      <c r="C7" s="367" t="s">
        <v>158</v>
      </c>
      <c r="D7" s="369" t="s">
        <v>157</v>
      </c>
      <c r="E7" s="371" t="s">
        <v>221</v>
      </c>
      <c r="F7" s="373" t="s">
        <v>222</v>
      </c>
      <c r="G7" s="373" t="s">
        <v>223</v>
      </c>
      <c r="H7" s="204" t="s">
        <v>220</v>
      </c>
    </row>
    <row r="8" spans="3:13" ht="84.75" customHeight="1" thickBot="1" x14ac:dyDescent="0.25">
      <c r="C8" s="368"/>
      <c r="D8" s="370"/>
      <c r="E8" s="372"/>
      <c r="F8" s="374"/>
      <c r="G8" s="374"/>
      <c r="H8" s="206" t="s">
        <v>224</v>
      </c>
    </row>
    <row r="9" spans="3:13" x14ac:dyDescent="0.2">
      <c r="C9" s="90">
        <f>+'Capacidad Financiera'!B12</f>
        <v>1</v>
      </c>
      <c r="D9" s="91">
        <f>IF(ISERROR(VLOOKUP(C9,'Capacidad Financiera'!$B$12:$AD$59206,2,0)),"",VLOOKUP(C9,'Capacidad Financiera'!$B$12:$AD$59206,2,0))</f>
        <v>0</v>
      </c>
      <c r="E9" s="207" t="str">
        <f>IF(C10="",IF(C9&lt;&gt;"",IF(ISERROR(VLOOKUP(D9,'Capacidad Financiera'!$C$12:$H$22,3,0)),"",VLOOKUP(D9,'Capacidad Financiera'!$C$12:$H$22,3,0))),"")</f>
        <v/>
      </c>
      <c r="F9" s="207" t="str">
        <f>IF(C10="",IF(C9&lt;&gt;"",IF(ISERROR(VLOOKUP(D9,'Capacidad Financiera'!$C$12:$H$22,5,0)),"",VLOOKUP(D9,'Capacidad Financiera'!$C$12:$H$22,5,0))),"")</f>
        <v/>
      </c>
      <c r="G9" s="134" t="str">
        <f>IF(OR(D9="",E9="",F9=""),"",IF(OR(E9=0,F9=0),0,E9/F9))</f>
        <v/>
      </c>
      <c r="H9" s="198" t="str">
        <f>IF(C10="",IF(AND(E9="",F9=""),"",IF(AND(G9&gt;0,G9&lt;=CapFinanciera1),Puntajes!$D$12,IF(AND(G9&gt;CapFinanciera1,G9&lt;=CapFinanciera2),Puntajes!$D$13,IF(AND(G9&gt;CapFinanciera2,G9&lt;=CapFinanciera3),Puntajes!$D$14,IF(AND(G9&gt;CapFinanciera3,G9&lt;=CapFinanciera4),Puntajes!$D$15,IF(G9&gt;CapFinanciera4,Puntajes!$D$16,0)))))),"")</f>
        <v/>
      </c>
      <c r="J9" s="169"/>
      <c r="K9" s="170"/>
      <c r="L9" s="157"/>
      <c r="M9" s="157"/>
    </row>
    <row r="10" spans="3:13" ht="13.5" thickBot="1" x14ac:dyDescent="0.25">
      <c r="C10" s="95">
        <f>+'Capacidad Financiera'!B13</f>
        <v>1.1000000000000001</v>
      </c>
      <c r="D10" s="137" t="str">
        <f>IF(ISERROR(VLOOKUP(C10,'Capacidad Financiera'!$B$12:$AD$59206,2,0)),"",VLOOKUP(C10,'Capacidad Financiera'!$B$12:$AD$59206,2,0))</f>
        <v>CCC DE LA SABANA SAS</v>
      </c>
      <c r="E10" s="208">
        <f>IF(OR(C10="",D10=""),"",IF(ISERROR(VLOOKUP(D10,'Capacidad Financiera'!$C$13:$AD$59206,3,0)),"",VLOOKUP(D10,'Capacidad Financiera'!$C$13:$AD$59206,3,0)))</f>
        <v>311561000</v>
      </c>
      <c r="F10" s="208">
        <f>IF(OR(C10="",D10=""),"",IF(ISERROR(VLOOKUP(D10,'Capacidad Financiera'!$C$13:$AD$59206,5,0)),"",VLOOKUP(D10,'Capacidad Financiera'!$C$13:$AD$59206,5,0)))</f>
        <v>57858000</v>
      </c>
      <c r="G10" s="210">
        <f t="shared" ref="G10:G19" si="0">IF(OR(D10="",E10="",F10=""),"",IF(OR(E10=0,F10=0),0,E10/F10))</f>
        <v>5.3849251616025438</v>
      </c>
      <c r="H10" s="214">
        <f>IF(OR(D10="",E10="",F10=""),"",IF(AND(G10&gt;0,G10&lt;=CapFinanciera1),Puntajes!$D$12,IF(AND(G10&gt;CapFinanciera1,G10&lt;=CapFinanciera2),Puntajes!$D$13,IF(AND(G10&gt;CapFinanciera2,G10&lt;=CapFinanciera3),Puntajes!$D$14,IF(AND(G10&gt;CapFinanciera3,G10&lt;=CapFinanciera4),Puntajes!$D$15,IF(G10&gt;CapFinanciera4,Puntajes!$D$16,0))))))</f>
        <v>40</v>
      </c>
    </row>
    <row r="11" spans="3:13" ht="13.5" hidden="1" thickBot="1" x14ac:dyDescent="0.25">
      <c r="C11" s="95" t="str">
        <f>+'Capacidad Financiera'!B14</f>
        <v/>
      </c>
      <c r="D11" s="137">
        <f>IF(ISERROR(VLOOKUP(C11,'Capacidad Financiera'!$B$12:$AD$59206,2,0)),"",VLOOKUP(C11,'Capacidad Financiera'!$B$12:$AD$59206,2,0))</f>
        <v>0</v>
      </c>
      <c r="E11" s="208" t="str">
        <f>IF(OR(C11="",D11=""),"",IF(ISERROR(VLOOKUP(D11,'Capacidad Financiera'!$C$13:$AD$59206,3,0)),"",VLOOKUP(D11,'Capacidad Financiera'!$C$13:$AD$59206,3,0)))</f>
        <v/>
      </c>
      <c r="F11" s="208" t="str">
        <f>IF(OR(C11="",D11=""),"",IF(ISERROR(VLOOKUP(D11,'Capacidad Financiera'!$C$13:$AD$59206,5,0)),"",VLOOKUP(D11,'Capacidad Financiera'!$C$13:$AD$59206,5,0)))</f>
        <v/>
      </c>
      <c r="G11" s="210" t="str">
        <f t="shared" si="0"/>
        <v/>
      </c>
      <c r="H11" s="214" t="str">
        <f>IF(OR(D11="",E11="",F11=""),"",IF(AND(G11&gt;0,G11&lt;=CapFinanciera1),Puntajes!$D$12,IF(AND(G11&gt;CapFinanciera1,G11&lt;=CapFinanciera2),Puntajes!$D$13,IF(AND(G11&gt;CapFinanciera2,G11&lt;=CapFinanciera3),Puntajes!$D$14,IF(AND(G11&gt;CapFinanciera3,G11&lt;=CapFinanciera4),Puntajes!$D$15,IF(G11&gt;CapFinanciera4,Puntajes!$D$16,0))))))</f>
        <v/>
      </c>
    </row>
    <row r="12" spans="3:13" ht="13.5" hidden="1" thickBot="1" x14ac:dyDescent="0.25">
      <c r="C12" s="95" t="str">
        <f>+'Capacidad Financiera'!B15</f>
        <v/>
      </c>
      <c r="D12" s="137">
        <f>IF(ISERROR(VLOOKUP(C12,'Capacidad Financiera'!$B$12:$AD$59206,2,0)),"",VLOOKUP(C12,'Capacidad Financiera'!$B$12:$AD$59206,2,0))</f>
        <v>0</v>
      </c>
      <c r="E12" s="208" t="str">
        <f>IF(OR(C12="",D12=""),"",IF(ISERROR(VLOOKUP(D12,'Capacidad Financiera'!$C$13:$AD$59206,3,0)),"",VLOOKUP(D12,'Capacidad Financiera'!$C$13:$AD$59206,3,0)))</f>
        <v/>
      </c>
      <c r="F12" s="208" t="str">
        <f>IF(OR(C12="",D12=""),"",IF(ISERROR(VLOOKUP(D12,'Capacidad Financiera'!$C$13:$AD$59206,5,0)),"",VLOOKUP(D12,'Capacidad Financiera'!$C$13:$AD$59206,5,0)))</f>
        <v/>
      </c>
      <c r="G12" s="210" t="str">
        <f t="shared" si="0"/>
        <v/>
      </c>
      <c r="H12" s="214" t="str">
        <f>IF(OR(D12="",E12="",F12=""),"",IF(AND(G12&gt;0,G12&lt;=CapFinanciera1),Puntajes!$D$12,IF(AND(G12&gt;CapFinanciera1,G12&lt;=CapFinanciera2),Puntajes!$D$13,IF(AND(G12&gt;CapFinanciera2,G12&lt;=CapFinanciera3),Puntajes!$D$14,IF(AND(G12&gt;CapFinanciera3,G12&lt;=CapFinanciera4),Puntajes!$D$15,IF(G12&gt;CapFinanciera4,Puntajes!$D$16,0))))))</f>
        <v/>
      </c>
    </row>
    <row r="13" spans="3:13" ht="13.5" hidden="1" thickBot="1" x14ac:dyDescent="0.25">
      <c r="C13" s="95" t="str">
        <f>+'Capacidad Financiera'!B16</f>
        <v/>
      </c>
      <c r="D13" s="137">
        <f>IF(ISERROR(VLOOKUP(C13,'Capacidad Financiera'!$B$12:$AD$59206,2,0)),"",VLOOKUP(C13,'Capacidad Financiera'!$B$12:$AD$59206,2,0))</f>
        <v>0</v>
      </c>
      <c r="E13" s="208" t="str">
        <f>IF(OR(C13="",D13=""),"",IF(ISERROR(VLOOKUP(D13,'Capacidad Financiera'!$C$13:$AD$59206,3,0)),"",VLOOKUP(D13,'Capacidad Financiera'!$C$13:$AD$59206,3,0)))</f>
        <v/>
      </c>
      <c r="F13" s="208" t="str">
        <f>IF(OR(C13="",D13=""),"",IF(ISERROR(VLOOKUP(D13,'Capacidad Financiera'!$C$13:$AD$59206,5,0)),"",VLOOKUP(D13,'Capacidad Financiera'!$C$13:$AD$59206,5,0)))</f>
        <v/>
      </c>
      <c r="G13" s="210" t="str">
        <f t="shared" si="0"/>
        <v/>
      </c>
      <c r="H13" s="214" t="str">
        <f>IF(OR(D13="",E13="",F13=""),"",IF(AND(G13&gt;0,G13&lt;=CapFinanciera1),Puntajes!$D$12,IF(AND(G13&gt;CapFinanciera1,G13&lt;=CapFinanciera2),Puntajes!$D$13,IF(AND(G13&gt;CapFinanciera2,G13&lt;=CapFinanciera3),Puntajes!$D$14,IF(AND(G13&gt;CapFinanciera3,G13&lt;=CapFinanciera4),Puntajes!$D$15,IF(G13&gt;CapFinanciera4,Puntajes!$D$16,0))))))</f>
        <v/>
      </c>
    </row>
    <row r="14" spans="3:13" ht="13.5" hidden="1" thickBot="1" x14ac:dyDescent="0.25">
      <c r="C14" s="95" t="str">
        <f>+'Capacidad Financiera'!B17</f>
        <v/>
      </c>
      <c r="D14" s="137">
        <f>IF(ISERROR(VLOOKUP(C14,'Capacidad Financiera'!$B$12:$AD$59206,2,0)),"",VLOOKUP(C14,'Capacidad Financiera'!$B$12:$AD$59206,2,0))</f>
        <v>0</v>
      </c>
      <c r="E14" s="208" t="str">
        <f>IF(OR(C14="",D14=""),"",IF(ISERROR(VLOOKUP(D14,'Capacidad Financiera'!$C$13:$AD$59206,3,0)),"",VLOOKUP(D14,'Capacidad Financiera'!$C$13:$AD$59206,3,0)))</f>
        <v/>
      </c>
      <c r="F14" s="208" t="str">
        <f>IF(OR(C14="",D14=""),"",IF(ISERROR(VLOOKUP(D14,'Capacidad Financiera'!$C$13:$AD$59206,5,0)),"",VLOOKUP(D14,'Capacidad Financiera'!$C$13:$AD$59206,5,0)))</f>
        <v/>
      </c>
      <c r="G14" s="210" t="str">
        <f t="shared" si="0"/>
        <v/>
      </c>
      <c r="H14" s="214" t="str">
        <f>IF(OR(D14="",E14="",F14=""),"",IF(AND(G14&gt;0,G14&lt;=CapFinanciera1),Puntajes!$D$12,IF(AND(G14&gt;CapFinanciera1,G14&lt;=CapFinanciera2),Puntajes!$D$13,IF(AND(G14&gt;CapFinanciera2,G14&lt;=CapFinanciera3),Puntajes!$D$14,IF(AND(G14&gt;CapFinanciera3,G14&lt;=CapFinanciera4),Puntajes!$D$15,IF(G14&gt;CapFinanciera4,Puntajes!$D$16,0))))))</f>
        <v/>
      </c>
    </row>
    <row r="15" spans="3:13" ht="13.5" hidden="1" thickBot="1" x14ac:dyDescent="0.25">
      <c r="C15" s="95" t="str">
        <f>+'Capacidad Financiera'!B18</f>
        <v/>
      </c>
      <c r="D15" s="137">
        <f>IF(ISERROR(VLOOKUP(C15,'Capacidad Financiera'!$B$12:$AD$59206,2,0)),"",VLOOKUP(C15,'Capacidad Financiera'!$B$12:$AD$59206,2,0))</f>
        <v>0</v>
      </c>
      <c r="E15" s="208" t="str">
        <f>IF(OR(C15="",D15=""),"",IF(ISERROR(VLOOKUP(D15,'Capacidad Financiera'!$C$13:$AD$59206,3,0)),"",VLOOKUP(D15,'Capacidad Financiera'!$C$13:$AD$59206,3,0)))</f>
        <v/>
      </c>
      <c r="F15" s="208" t="str">
        <f>IF(OR(C15="",D15=""),"",IF(ISERROR(VLOOKUP(D15,'Capacidad Financiera'!$C$13:$AD$59206,5,0)),"",VLOOKUP(D15,'Capacidad Financiera'!$C$13:$AD$59206,5,0)))</f>
        <v/>
      </c>
      <c r="G15" s="210" t="str">
        <f t="shared" si="0"/>
        <v/>
      </c>
      <c r="H15" s="214" t="str">
        <f>IF(OR(D15="",E15="",F15=""),"",IF(AND(G15&gt;0,G15&lt;=CapFinanciera1),Puntajes!$D$12,IF(AND(G15&gt;CapFinanciera1,G15&lt;=CapFinanciera2),Puntajes!$D$13,IF(AND(G15&gt;CapFinanciera2,G15&lt;=CapFinanciera3),Puntajes!$D$14,IF(AND(G15&gt;CapFinanciera3,G15&lt;=CapFinanciera4),Puntajes!$D$15,IF(G15&gt;CapFinanciera4,Puntajes!$D$16,0))))))</f>
        <v/>
      </c>
    </row>
    <row r="16" spans="3:13" ht="13.5" hidden="1" thickBot="1" x14ac:dyDescent="0.25">
      <c r="C16" s="95" t="str">
        <f>+'Capacidad Financiera'!B19</f>
        <v/>
      </c>
      <c r="D16" s="137">
        <f>IF(ISERROR(VLOOKUP(C16,'Capacidad Financiera'!$B$12:$AD$59206,2,0)),"",VLOOKUP(C16,'Capacidad Financiera'!$B$12:$AD$59206,2,0))</f>
        <v>0</v>
      </c>
      <c r="E16" s="208" t="str">
        <f>IF(OR(C16="",D16=""),"",IF(ISERROR(VLOOKUP(D16,'Capacidad Financiera'!$C$13:$AD$59206,3,0)),"",VLOOKUP(D16,'Capacidad Financiera'!$C$13:$AD$59206,3,0)))</f>
        <v/>
      </c>
      <c r="F16" s="208" t="str">
        <f>IF(OR(C16="",D16=""),"",IF(ISERROR(VLOOKUP(D16,'Capacidad Financiera'!$C$13:$AD$59206,5,0)),"",VLOOKUP(D16,'Capacidad Financiera'!$C$13:$AD$59206,5,0)))</f>
        <v/>
      </c>
      <c r="G16" s="210" t="str">
        <f t="shared" si="0"/>
        <v/>
      </c>
      <c r="H16" s="214" t="str">
        <f>IF(OR(D16="",E16="",F16=""),"",IF(AND(G16&gt;0,G16&lt;=CapFinanciera1),Puntajes!$D$12,IF(AND(G16&gt;CapFinanciera1,G16&lt;=CapFinanciera2),Puntajes!$D$13,IF(AND(G16&gt;CapFinanciera2,G16&lt;=CapFinanciera3),Puntajes!$D$14,IF(AND(G16&gt;CapFinanciera3,G16&lt;=CapFinanciera4),Puntajes!$D$15,IF(G16&gt;CapFinanciera4,Puntajes!$D$16,0))))))</f>
        <v/>
      </c>
    </row>
    <row r="17" spans="3:8" ht="13.5" hidden="1" thickBot="1" x14ac:dyDescent="0.25">
      <c r="C17" s="95" t="str">
        <f>+'Capacidad Financiera'!B20</f>
        <v/>
      </c>
      <c r="D17" s="137">
        <f>IF(ISERROR(VLOOKUP(C17,'Capacidad Financiera'!$B$12:$AD$59206,2,0)),"",VLOOKUP(C17,'Capacidad Financiera'!$B$12:$AD$59206,2,0))</f>
        <v>0</v>
      </c>
      <c r="E17" s="208" t="str">
        <f>IF(OR(C17="",D17=""),"",IF(ISERROR(VLOOKUP(D17,'Capacidad Financiera'!$C$13:$AD$59206,3,0)),"",VLOOKUP(D17,'Capacidad Financiera'!$C$13:$AD$59206,3,0)))</f>
        <v/>
      </c>
      <c r="F17" s="208" t="str">
        <f>IF(OR(C17="",D17=""),"",IF(ISERROR(VLOOKUP(D17,'Capacidad Financiera'!$C$13:$AD$59206,5,0)),"",VLOOKUP(D17,'Capacidad Financiera'!$C$13:$AD$59206,5,0)))</f>
        <v/>
      </c>
      <c r="G17" s="210" t="str">
        <f t="shared" si="0"/>
        <v/>
      </c>
      <c r="H17" s="214" t="str">
        <f>IF(OR(D17="",E17="",F17=""),"",IF(AND(G17&gt;0,G17&lt;=CapFinanciera1),Puntajes!$D$12,IF(AND(G17&gt;CapFinanciera1,G17&lt;=CapFinanciera2),Puntajes!$D$13,IF(AND(G17&gt;CapFinanciera2,G17&lt;=CapFinanciera3),Puntajes!$D$14,IF(AND(G17&gt;CapFinanciera3,G17&lt;=CapFinanciera4),Puntajes!$D$15,IF(G17&gt;CapFinanciera4,Puntajes!$D$16,0))))))</f>
        <v/>
      </c>
    </row>
    <row r="18" spans="3:8" ht="13.5" hidden="1" thickBot="1" x14ac:dyDescent="0.25">
      <c r="C18" s="95" t="str">
        <f>+'Capacidad Financiera'!B21</f>
        <v/>
      </c>
      <c r="D18" s="137">
        <f>IF(ISERROR(VLOOKUP(C18,'Capacidad Financiera'!$B$12:$AD$59206,2,0)),"",VLOOKUP(C18,'Capacidad Financiera'!$B$12:$AD$59206,2,0))</f>
        <v>0</v>
      </c>
      <c r="E18" s="208" t="str">
        <f>IF(OR(C18="",D18=""),"",IF(ISERROR(VLOOKUP(D18,'Capacidad Financiera'!$C$13:$AD$59206,3,0)),"",VLOOKUP(D18,'Capacidad Financiera'!$C$13:$AD$59206,3,0)))</f>
        <v/>
      </c>
      <c r="F18" s="208" t="str">
        <f>IF(OR(C18="",D18=""),"",IF(ISERROR(VLOOKUP(D18,'Capacidad Financiera'!$C$13:$AD$59206,5,0)),"",VLOOKUP(D18,'Capacidad Financiera'!$C$13:$AD$59206,5,0)))</f>
        <v/>
      </c>
      <c r="G18" s="210" t="str">
        <f t="shared" si="0"/>
        <v/>
      </c>
      <c r="H18" s="214" t="str">
        <f>IF(OR(D18="",E18="",F18=""),"",IF(AND(G18&gt;0,G18&lt;=CapFinanciera1),Puntajes!$D$12,IF(AND(G18&gt;CapFinanciera1,G18&lt;=CapFinanciera2),Puntajes!$D$13,IF(AND(G18&gt;CapFinanciera2,G18&lt;=CapFinanciera3),Puntajes!$D$14,IF(AND(G18&gt;CapFinanciera3,G18&lt;=CapFinanciera4),Puntajes!$D$15,IF(G18&gt;CapFinanciera4,Puntajes!$D$16,0))))))</f>
        <v/>
      </c>
    </row>
    <row r="19" spans="3:8" ht="13.5" hidden="1" thickBot="1" x14ac:dyDescent="0.25">
      <c r="C19" s="96" t="str">
        <f>+'Capacidad Financiera'!B22</f>
        <v/>
      </c>
      <c r="D19" s="97">
        <f>IF(ISERROR(VLOOKUP(C19,'Capacidad Financiera'!$B$12:$AD$59206,2,0)),"",VLOOKUP(C19,'Capacidad Financiera'!$B$12:$AD$59206,2,0))</f>
        <v>0</v>
      </c>
      <c r="E19" s="209" t="str">
        <f>IF(OR(C19="",D19=""),"",IF(ISERROR(VLOOKUP(D19,'Capacidad Financiera'!$C$13:$AD$59206,3,0)),"",VLOOKUP(D19,'Capacidad Financiera'!$C$13:$AD$59206,3,0)))</f>
        <v/>
      </c>
      <c r="F19" s="209" t="str">
        <f>IF(OR(C19="",D19=""),"",IF(ISERROR(VLOOKUP(D19,'Capacidad Financiera'!$C$13:$AD$59206,5,0)),"",VLOOKUP(D19,'Capacidad Financiera'!$C$13:$AD$59206,5,0)))</f>
        <v/>
      </c>
      <c r="G19" s="211" t="str">
        <f t="shared" si="0"/>
        <v/>
      </c>
      <c r="H19" s="215" t="str">
        <f>IF(OR(D19="",E19="",F19=""),"",IF(AND(G19&gt;0,G19&lt;=CapFinanciera1),Puntajes!$D$12,IF(AND(G19&gt;CapFinanciera1,G19&lt;=CapFinanciera2),Puntajes!$D$13,IF(AND(G19&gt;CapFinanciera2,G19&lt;=CapFinanciera3),Puntajes!$D$14,IF(AND(G19&gt;CapFinanciera3,G19&lt;=CapFinanciera4),Puntajes!$D$15,IF(G19&gt;CapFinanciera4,Puntajes!$D$16,0))))))</f>
        <v/>
      </c>
    </row>
    <row r="20" spans="3:8" x14ac:dyDescent="0.2">
      <c r="C20" s="90">
        <v>2</v>
      </c>
      <c r="D20" s="91">
        <f>IF(ISERROR(VLOOKUP(C20,'Capacidad Financiera'!$B$12:$AD$59206,2,0)),"",VLOOKUP(C20,'Capacidad Financiera'!$B$12:$AD$59206,2,0))</f>
        <v>0</v>
      </c>
      <c r="E20" s="207" t="str">
        <f>IF(C21="",IF(C20&lt;&gt;"",IF(ISERROR(VLOOKUP(D20,'Capacidad Financiera'!$C$12:$H$22,3,0)),"",VLOOKUP(D20,'Capacidad Financiera'!$C$12:$H$22,3,0))),"")</f>
        <v/>
      </c>
      <c r="F20" s="207" t="str">
        <f>IF(C21="",IF(C20&lt;&gt;"",IF(ISERROR(VLOOKUP(D20,'Capacidad Financiera'!$C$12:$H$22,5,0)),"",VLOOKUP(D20,'Capacidad Financiera'!$C$12:$H$22,5,0))),"")</f>
        <v/>
      </c>
      <c r="G20" s="134" t="str">
        <f>IF(OR(D20="",E20="",F20=""),"",IF(OR(E20=0,F20=0),0,E20/F20))</f>
        <v/>
      </c>
      <c r="H20" s="198" t="str">
        <f>IF(C21="",IF(AND(E20="",F20=""),"",IF(AND(G20&gt;0,G20&lt;=CapFinanciera1),Puntajes!$D$12,IF(AND(G20&gt;CapFinanciera1,G20&lt;=CapFinanciera2),Puntajes!$D$13,IF(AND(G20&gt;CapFinanciera2,G20&lt;=CapFinanciera3),Puntajes!$D$14,IF(AND(G20&gt;CapFinanciera3,G20&lt;=CapFinanciera4),Puntajes!$D$15,IF(G20&gt;CapFinanciera4,Puntajes!$D$16,0)))))),"")</f>
        <v/>
      </c>
    </row>
    <row r="21" spans="3:8" ht="13.5" thickBot="1" x14ac:dyDescent="0.25">
      <c r="C21" s="95">
        <f>+'Capacidad Financiera'!B24</f>
        <v>2.1</v>
      </c>
      <c r="D21" s="137" t="str">
        <f>IF(ISERROR(VLOOKUP(C21,'Capacidad Financiera'!$B$12:$AD$59206,2,0)),"",VLOOKUP(C21,'Capacidad Financiera'!$B$12:$AD$59206,2,0))</f>
        <v>GAMA INGENIERIA SAS</v>
      </c>
      <c r="E21" s="208">
        <f>IF(OR(C21="",D21=""),"",IF(ISERROR(VLOOKUP(D21,'Capacidad Financiera'!$C$13:$AD$59206,3,0)),"",VLOOKUP(D21,'Capacidad Financiera'!$C$13:$AD$59206,3,0)))</f>
        <v>468559263</v>
      </c>
      <c r="F21" s="208">
        <f>IF(OR(C21="",D21=""),"",IF(ISERROR(VLOOKUP(D21,'Capacidad Financiera'!$C$13:$AD$59206,5,0)),"",VLOOKUP(D21,'Capacidad Financiera'!$C$13:$AD$59206,5,0)))</f>
        <v>5303000</v>
      </c>
      <c r="G21" s="210">
        <f t="shared" ref="G21:G30" si="1">IF(OR(D21="",E21="",F21=""),"",IF(OR(E21=0,F21=0),0,E21/F21))</f>
        <v>88.357394493682818</v>
      </c>
      <c r="H21" s="214">
        <f>IF(OR(D21="",E21="",F21=""),"",IF(AND(G21&gt;0,G21&lt;=CapFinanciera1),Puntajes!$D$12,IF(AND(G21&gt;CapFinanciera1,G21&lt;=CapFinanciera2),Puntajes!$D$13,IF(AND(G21&gt;CapFinanciera2,G21&lt;=CapFinanciera3),Puntajes!$D$14,IF(AND(G21&gt;CapFinanciera3,G21&lt;=CapFinanciera4),Puntajes!$D$15,IF(G21&gt;CapFinanciera4,Puntajes!$D$16,0))))))</f>
        <v>40</v>
      </c>
    </row>
    <row r="22" spans="3:8" ht="13.5" hidden="1" thickBot="1" x14ac:dyDescent="0.25">
      <c r="C22" s="95" t="str">
        <f>+'Capacidad Financiera'!B25</f>
        <v/>
      </c>
      <c r="D22" s="137">
        <f>IF(ISERROR(VLOOKUP(C22,'Capacidad Financiera'!$B$12:$AD$59206,2,0)),"",VLOOKUP(C22,'Capacidad Financiera'!$B$12:$AD$59206,2,0))</f>
        <v>0</v>
      </c>
      <c r="E22" s="208" t="str">
        <f>IF(OR(C22="",D22=""),"",IF(ISERROR(VLOOKUP(D22,'Capacidad Financiera'!$C$13:$AD$59206,3,0)),"",VLOOKUP(D22,'Capacidad Financiera'!$C$13:$AD$59206,3,0)))</f>
        <v/>
      </c>
      <c r="F22" s="208" t="str">
        <f>IF(OR(C22="",D22=""),"",IF(ISERROR(VLOOKUP(D22,'Capacidad Financiera'!$C$13:$AD$59206,5,0)),"",VLOOKUP(D22,'Capacidad Financiera'!$C$13:$AD$59206,5,0)))</f>
        <v/>
      </c>
      <c r="G22" s="210" t="str">
        <f t="shared" si="1"/>
        <v/>
      </c>
      <c r="H22" s="214" t="str">
        <f>IF(OR(D22="",E22="",F22=""),"",IF(AND(G22&gt;0,G22&lt;=CapFinanciera1),Puntajes!$D$12,IF(AND(G22&gt;CapFinanciera1,G22&lt;=CapFinanciera2),Puntajes!$D$13,IF(AND(G22&gt;CapFinanciera2,G22&lt;=CapFinanciera3),Puntajes!$D$14,IF(AND(G22&gt;CapFinanciera3,G22&lt;=CapFinanciera4),Puntajes!$D$15,IF(G22&gt;CapFinanciera4,Puntajes!$D$16,0))))))</f>
        <v/>
      </c>
    </row>
    <row r="23" spans="3:8" ht="13.5" hidden="1" thickBot="1" x14ac:dyDescent="0.25">
      <c r="C23" s="95" t="str">
        <f>+'Capacidad Financiera'!B26</f>
        <v/>
      </c>
      <c r="D23" s="137">
        <f>IF(ISERROR(VLOOKUP(C23,'Capacidad Financiera'!$B$12:$AD$59206,2,0)),"",VLOOKUP(C23,'Capacidad Financiera'!$B$12:$AD$59206,2,0))</f>
        <v>0</v>
      </c>
      <c r="E23" s="208" t="str">
        <f>IF(OR(C23="",D23=""),"",IF(ISERROR(VLOOKUP(D23,'Capacidad Financiera'!$C$13:$AD$59206,3,0)),"",VLOOKUP(D23,'Capacidad Financiera'!$C$13:$AD$59206,3,0)))</f>
        <v/>
      </c>
      <c r="F23" s="208" t="str">
        <f>IF(OR(C23="",D23=""),"",IF(ISERROR(VLOOKUP(D23,'Capacidad Financiera'!$C$13:$AD$59206,5,0)),"",VLOOKUP(D23,'Capacidad Financiera'!$C$13:$AD$59206,5,0)))</f>
        <v/>
      </c>
      <c r="G23" s="210" t="str">
        <f t="shared" si="1"/>
        <v/>
      </c>
      <c r="H23" s="214" t="str">
        <f>IF(OR(D23="",E23="",F23=""),"",IF(AND(G23&gt;0,G23&lt;=CapFinanciera1),Puntajes!$D$12,IF(AND(G23&gt;CapFinanciera1,G23&lt;=CapFinanciera2),Puntajes!$D$13,IF(AND(G23&gt;CapFinanciera2,G23&lt;=CapFinanciera3),Puntajes!$D$14,IF(AND(G23&gt;CapFinanciera3,G23&lt;=CapFinanciera4),Puntajes!$D$15,IF(G23&gt;CapFinanciera4,Puntajes!$D$16,0))))))</f>
        <v/>
      </c>
    </row>
    <row r="24" spans="3:8" ht="13.5" hidden="1" thickBot="1" x14ac:dyDescent="0.25">
      <c r="C24" s="95" t="str">
        <f>+'Capacidad Financiera'!B27</f>
        <v/>
      </c>
      <c r="D24" s="137">
        <f>IF(ISERROR(VLOOKUP(C24,'Capacidad Financiera'!$B$12:$AD$59206,2,0)),"",VLOOKUP(C24,'Capacidad Financiera'!$B$12:$AD$59206,2,0))</f>
        <v>0</v>
      </c>
      <c r="E24" s="208" t="str">
        <f>IF(OR(C24="",D24=""),"",IF(ISERROR(VLOOKUP(D24,'Capacidad Financiera'!$C$13:$AD$59206,3,0)),"",VLOOKUP(D24,'Capacidad Financiera'!$C$13:$AD$59206,3,0)))</f>
        <v/>
      </c>
      <c r="F24" s="208" t="str">
        <f>IF(OR(C24="",D24=""),"",IF(ISERROR(VLOOKUP(D24,'Capacidad Financiera'!$C$13:$AD$59206,5,0)),"",VLOOKUP(D24,'Capacidad Financiera'!$C$13:$AD$59206,5,0)))</f>
        <v/>
      </c>
      <c r="G24" s="210" t="str">
        <f t="shared" si="1"/>
        <v/>
      </c>
      <c r="H24" s="214" t="str">
        <f>IF(OR(D24="",E24="",F24=""),"",IF(AND(G24&gt;0,G24&lt;=CapFinanciera1),Puntajes!$D$12,IF(AND(G24&gt;CapFinanciera1,G24&lt;=CapFinanciera2),Puntajes!$D$13,IF(AND(G24&gt;CapFinanciera2,G24&lt;=CapFinanciera3),Puntajes!$D$14,IF(AND(G24&gt;CapFinanciera3,G24&lt;=CapFinanciera4),Puntajes!$D$15,IF(G24&gt;CapFinanciera4,Puntajes!$D$16,0))))))</f>
        <v/>
      </c>
    </row>
    <row r="25" spans="3:8" ht="13.5" hidden="1" thickBot="1" x14ac:dyDescent="0.25">
      <c r="C25" s="95" t="str">
        <f>+'Capacidad Financiera'!B28</f>
        <v/>
      </c>
      <c r="D25" s="137">
        <f>IF(ISERROR(VLOOKUP(C25,'Capacidad Financiera'!$B$12:$AD$59206,2,0)),"",VLOOKUP(C25,'Capacidad Financiera'!$B$12:$AD$59206,2,0))</f>
        <v>0</v>
      </c>
      <c r="E25" s="208" t="str">
        <f>IF(OR(C25="",D25=""),"",IF(ISERROR(VLOOKUP(D25,'Capacidad Financiera'!$C$13:$AD$59206,3,0)),"",VLOOKUP(D25,'Capacidad Financiera'!$C$13:$AD$59206,3,0)))</f>
        <v/>
      </c>
      <c r="F25" s="208" t="str">
        <f>IF(OR(C25="",D25=""),"",IF(ISERROR(VLOOKUP(D25,'Capacidad Financiera'!$C$13:$AD$59206,5,0)),"",VLOOKUP(D25,'Capacidad Financiera'!$C$13:$AD$59206,5,0)))</f>
        <v/>
      </c>
      <c r="G25" s="210" t="str">
        <f t="shared" si="1"/>
        <v/>
      </c>
      <c r="H25" s="214" t="str">
        <f>IF(OR(D25="",E25="",F25=""),"",IF(AND(G25&gt;0,G25&lt;=CapFinanciera1),Puntajes!$D$12,IF(AND(G25&gt;CapFinanciera1,G25&lt;=CapFinanciera2),Puntajes!$D$13,IF(AND(G25&gt;CapFinanciera2,G25&lt;=CapFinanciera3),Puntajes!$D$14,IF(AND(G25&gt;CapFinanciera3,G25&lt;=CapFinanciera4),Puntajes!$D$15,IF(G25&gt;CapFinanciera4,Puntajes!$D$16,0))))))</f>
        <v/>
      </c>
    </row>
    <row r="26" spans="3:8" ht="13.5" hidden="1" thickBot="1" x14ac:dyDescent="0.25">
      <c r="C26" s="95" t="str">
        <f>+'Capacidad Financiera'!B29</f>
        <v/>
      </c>
      <c r="D26" s="137">
        <f>IF(ISERROR(VLOOKUP(C26,'Capacidad Financiera'!$B$12:$AD$59206,2,0)),"",VLOOKUP(C26,'Capacidad Financiera'!$B$12:$AD$59206,2,0))</f>
        <v>0</v>
      </c>
      <c r="E26" s="208" t="str">
        <f>IF(OR(C26="",D26=""),"",IF(ISERROR(VLOOKUP(D26,'Capacidad Financiera'!$C$13:$AD$59206,3,0)),"",VLOOKUP(D26,'Capacidad Financiera'!$C$13:$AD$59206,3,0)))</f>
        <v/>
      </c>
      <c r="F26" s="208" t="str">
        <f>IF(OR(C26="",D26=""),"",IF(ISERROR(VLOOKUP(D26,'Capacidad Financiera'!$C$13:$AD$59206,5,0)),"",VLOOKUP(D26,'Capacidad Financiera'!$C$13:$AD$59206,5,0)))</f>
        <v/>
      </c>
      <c r="G26" s="210" t="str">
        <f t="shared" si="1"/>
        <v/>
      </c>
      <c r="H26" s="214" t="str">
        <f>IF(OR(D26="",E26="",F26=""),"",IF(AND(G26&gt;0,G26&lt;=CapFinanciera1),Puntajes!$D$12,IF(AND(G26&gt;CapFinanciera1,G26&lt;=CapFinanciera2),Puntajes!$D$13,IF(AND(G26&gt;CapFinanciera2,G26&lt;=CapFinanciera3),Puntajes!$D$14,IF(AND(G26&gt;CapFinanciera3,G26&lt;=CapFinanciera4),Puntajes!$D$15,IF(G26&gt;CapFinanciera4,Puntajes!$D$16,0))))))</f>
        <v/>
      </c>
    </row>
    <row r="27" spans="3:8" ht="13.5" hidden="1" thickBot="1" x14ac:dyDescent="0.25">
      <c r="C27" s="95" t="str">
        <f>+'Capacidad Financiera'!B30</f>
        <v/>
      </c>
      <c r="D27" s="137">
        <f>IF(ISERROR(VLOOKUP(C27,'Capacidad Financiera'!$B$12:$AD$59206,2,0)),"",VLOOKUP(C27,'Capacidad Financiera'!$B$12:$AD$59206,2,0))</f>
        <v>0</v>
      </c>
      <c r="E27" s="208" t="str">
        <f>IF(OR(C27="",D27=""),"",IF(ISERROR(VLOOKUP(D27,'Capacidad Financiera'!$C$13:$AD$59206,3,0)),"",VLOOKUP(D27,'Capacidad Financiera'!$C$13:$AD$59206,3,0)))</f>
        <v/>
      </c>
      <c r="F27" s="208" t="str">
        <f>IF(OR(C27="",D27=""),"",IF(ISERROR(VLOOKUP(D27,'Capacidad Financiera'!$C$13:$AD$59206,5,0)),"",VLOOKUP(D27,'Capacidad Financiera'!$C$13:$AD$59206,5,0)))</f>
        <v/>
      </c>
      <c r="G27" s="210" t="str">
        <f t="shared" si="1"/>
        <v/>
      </c>
      <c r="H27" s="214" t="str">
        <f>IF(OR(D27="",E27="",F27=""),"",IF(AND(G27&gt;0,G27&lt;=CapFinanciera1),Puntajes!$D$12,IF(AND(G27&gt;CapFinanciera1,G27&lt;=CapFinanciera2),Puntajes!$D$13,IF(AND(G27&gt;CapFinanciera2,G27&lt;=CapFinanciera3),Puntajes!$D$14,IF(AND(G27&gt;CapFinanciera3,G27&lt;=CapFinanciera4),Puntajes!$D$15,IF(G27&gt;CapFinanciera4,Puntajes!$D$16,0))))))</f>
        <v/>
      </c>
    </row>
    <row r="28" spans="3:8" ht="13.5" hidden="1" thickBot="1" x14ac:dyDescent="0.25">
      <c r="C28" s="95" t="str">
        <f>+'Capacidad Financiera'!B31</f>
        <v/>
      </c>
      <c r="D28" s="137">
        <f>IF(ISERROR(VLOOKUP(C28,'Capacidad Financiera'!$B$12:$AD$59206,2,0)),"",VLOOKUP(C28,'Capacidad Financiera'!$B$12:$AD$59206,2,0))</f>
        <v>0</v>
      </c>
      <c r="E28" s="208" t="str">
        <f>IF(OR(C28="",D28=""),"",IF(ISERROR(VLOOKUP(D28,'Capacidad Financiera'!$C$13:$AD$59206,3,0)),"",VLOOKUP(D28,'Capacidad Financiera'!$C$13:$AD$59206,3,0)))</f>
        <v/>
      </c>
      <c r="F28" s="208" t="str">
        <f>IF(OR(C28="",D28=""),"",IF(ISERROR(VLOOKUP(D28,'Capacidad Financiera'!$C$13:$AD$59206,5,0)),"",VLOOKUP(D28,'Capacidad Financiera'!$C$13:$AD$59206,5,0)))</f>
        <v/>
      </c>
      <c r="G28" s="210" t="str">
        <f t="shared" si="1"/>
        <v/>
      </c>
      <c r="H28" s="214" t="str">
        <f>IF(OR(D28="",E28="",F28=""),"",IF(AND(G28&gt;0,G28&lt;=CapFinanciera1),Puntajes!$D$12,IF(AND(G28&gt;CapFinanciera1,G28&lt;=CapFinanciera2),Puntajes!$D$13,IF(AND(G28&gt;CapFinanciera2,G28&lt;=CapFinanciera3),Puntajes!$D$14,IF(AND(G28&gt;CapFinanciera3,G28&lt;=CapFinanciera4),Puntajes!$D$15,IF(G28&gt;CapFinanciera4,Puntajes!$D$16,0))))))</f>
        <v/>
      </c>
    </row>
    <row r="29" spans="3:8" ht="13.5" hidden="1" thickBot="1" x14ac:dyDescent="0.25">
      <c r="C29" s="95" t="str">
        <f>+'Capacidad Financiera'!B32</f>
        <v/>
      </c>
      <c r="D29" s="137">
        <f>IF(ISERROR(VLOOKUP(C29,'Capacidad Financiera'!$B$12:$AD$59206,2,0)),"",VLOOKUP(C29,'Capacidad Financiera'!$B$12:$AD$59206,2,0))</f>
        <v>0</v>
      </c>
      <c r="E29" s="208" t="str">
        <f>IF(OR(C29="",D29=""),"",IF(ISERROR(VLOOKUP(D29,'Capacidad Financiera'!$C$13:$AD$59206,3,0)),"",VLOOKUP(D29,'Capacidad Financiera'!$C$13:$AD$59206,3,0)))</f>
        <v/>
      </c>
      <c r="F29" s="208" t="str">
        <f>IF(OR(C29="",D29=""),"",IF(ISERROR(VLOOKUP(D29,'Capacidad Financiera'!$C$13:$AD$59206,5,0)),"",VLOOKUP(D29,'Capacidad Financiera'!$C$13:$AD$59206,5,0)))</f>
        <v/>
      </c>
      <c r="G29" s="210" t="str">
        <f t="shared" si="1"/>
        <v/>
      </c>
      <c r="H29" s="214" t="str">
        <f>IF(OR(D29="",E29="",F29=""),"",IF(AND(G29&gt;0,G29&lt;=CapFinanciera1),Puntajes!$D$12,IF(AND(G29&gt;CapFinanciera1,G29&lt;=CapFinanciera2),Puntajes!$D$13,IF(AND(G29&gt;CapFinanciera2,G29&lt;=CapFinanciera3),Puntajes!$D$14,IF(AND(G29&gt;CapFinanciera3,G29&lt;=CapFinanciera4),Puntajes!$D$15,IF(G29&gt;CapFinanciera4,Puntajes!$D$16,0))))))</f>
        <v/>
      </c>
    </row>
    <row r="30" spans="3:8" ht="13.5" hidden="1" thickBot="1" x14ac:dyDescent="0.25">
      <c r="C30" s="96" t="str">
        <f>+'Capacidad Financiera'!B33</f>
        <v/>
      </c>
      <c r="D30" s="97">
        <f>IF(ISERROR(VLOOKUP(C30,'Capacidad Financiera'!$B$12:$AD$59206,2,0)),"",VLOOKUP(C30,'Capacidad Financiera'!$B$12:$AD$59206,2,0))</f>
        <v>0</v>
      </c>
      <c r="E30" s="209" t="str">
        <f>IF(OR(C30="",D30=""),"",IF(ISERROR(VLOOKUP(D30,'Capacidad Financiera'!$C$13:$AD$59206,3,0)),"",VLOOKUP(D30,'Capacidad Financiera'!$C$13:$AD$59206,3,0)))</f>
        <v/>
      </c>
      <c r="F30" s="209" t="str">
        <f>IF(OR(C30="",D30=""),"",IF(ISERROR(VLOOKUP(D30,'Capacidad Financiera'!$C$13:$AD$59206,5,0)),"",VLOOKUP(D30,'Capacidad Financiera'!$C$13:$AD$59206,5,0)))</f>
        <v/>
      </c>
      <c r="G30" s="211" t="str">
        <f t="shared" si="1"/>
        <v/>
      </c>
      <c r="H30" s="215" t="str">
        <f>IF(OR(D30="",E30="",F30=""),"",IF(AND(G30&gt;0,G30&lt;=CapFinanciera1),Puntajes!$D$12,IF(AND(G30&gt;CapFinanciera1,G30&lt;=CapFinanciera2),Puntajes!$D$13,IF(AND(G30&gt;CapFinanciera2,G30&lt;=CapFinanciera3),Puntajes!$D$14,IF(AND(G30&gt;CapFinanciera3,G30&lt;=CapFinanciera4),Puntajes!$D$15,IF(G30&gt;CapFinanciera4,Puntajes!$D$16,0))))))</f>
        <v/>
      </c>
    </row>
    <row r="31" spans="3:8" x14ac:dyDescent="0.2">
      <c r="C31" s="90">
        <v>3</v>
      </c>
      <c r="D31" s="91">
        <f>IF(ISERROR(VLOOKUP(C31,'Capacidad Financiera'!$B$12:$AD$59206,2,0)),"",VLOOKUP(C31,'Capacidad Financiera'!$B$12:$AD$59206,2,0))</f>
        <v>0</v>
      </c>
      <c r="E31" s="207" t="str">
        <f>IF(C32="",IF(C31&lt;&gt;"",IF(ISERROR(VLOOKUP(D31,'Capacidad Financiera'!$C$12:$H$22,3,0)),"",VLOOKUP(D31,'Capacidad Financiera'!$C$12:$H$22,3,0))),"")</f>
        <v/>
      </c>
      <c r="F31" s="207" t="str">
        <f>IF(C32="",IF(C31&lt;&gt;"",IF(ISERROR(VLOOKUP(D31,'Capacidad Financiera'!$C$12:$H$22,5,0)),"",VLOOKUP(D31,'Capacidad Financiera'!$C$12:$H$22,5,0))),"")</f>
        <v/>
      </c>
      <c r="G31" s="134" t="str">
        <f>IF(OR(D31="",E31="",F31=""),"",IF(OR(E31=0,F31=0),0,E31/F31))</f>
        <v/>
      </c>
      <c r="H31" s="198" t="str">
        <f>IF(C32="",IF(AND(E31="",F31=""),"",IF(AND(G31&gt;0,G31&lt;=CapFinanciera1),Puntajes!$D$12,IF(AND(G31&gt;CapFinanciera1,G31&lt;=CapFinanciera2),Puntajes!$D$13,IF(AND(G31&gt;CapFinanciera2,G31&lt;=CapFinanciera3),Puntajes!$D$14,IF(AND(G31&gt;CapFinanciera3,G31&lt;=CapFinanciera4),Puntajes!$D$15,IF(G31&gt;CapFinanciera4,Puntajes!$D$16,0)))))),"")</f>
        <v/>
      </c>
    </row>
    <row r="32" spans="3:8" ht="13.5" thickBot="1" x14ac:dyDescent="0.25">
      <c r="C32" s="95">
        <f>+'Capacidad Financiera'!B35</f>
        <v>3.1</v>
      </c>
      <c r="D32" s="137" t="str">
        <f>IF(ISERROR(VLOOKUP(C32,'Capacidad Financiera'!$B$12:$AD$59206,2,0)),"",VLOOKUP(C32,'Capacidad Financiera'!$B$12:$AD$59206,2,0))</f>
        <v>RODRIGO MATABANCHOY BOLAÑOS</v>
      </c>
      <c r="E32" s="208">
        <f>IF(OR(C32="",D32=""),"",IF(ISERROR(VLOOKUP(D32,'Capacidad Financiera'!$C$13:$AD$59206,3,0)),"",VLOOKUP(D32,'Capacidad Financiera'!$C$13:$AD$59206,3,0)))</f>
        <v>496035343</v>
      </c>
      <c r="F32" s="208">
        <f>IF(OR(C32="",D32=""),"",IF(ISERROR(VLOOKUP(D32,'Capacidad Financiera'!$C$13:$AD$59206,5,0)),"",VLOOKUP(D32,'Capacidad Financiera'!$C$13:$AD$59206,5,0)))</f>
        <v>148972</v>
      </c>
      <c r="G32" s="210">
        <f t="shared" ref="G32:G41" si="2">IF(OR(D32="",E32="",F32=""),"",IF(OR(E32=0,F32=0),0,E32/F32))</f>
        <v>3329.7219813119245</v>
      </c>
      <c r="H32" s="214">
        <f>IF(OR(D32="",E32="",F32=""),"",IF(AND(G32&gt;0,G32&lt;=CapFinanciera1),Puntajes!$D$12,IF(AND(G32&gt;CapFinanciera1,G32&lt;=CapFinanciera2),Puntajes!$D$13,IF(AND(G32&gt;CapFinanciera2,G32&lt;=CapFinanciera3),Puntajes!$D$14,IF(AND(G32&gt;CapFinanciera3,G32&lt;=CapFinanciera4),Puntajes!$D$15,IF(G32&gt;CapFinanciera4,Puntajes!$D$16,0))))))</f>
        <v>40</v>
      </c>
    </row>
    <row r="33" spans="3:8" ht="13.5" hidden="1" thickBot="1" x14ac:dyDescent="0.25">
      <c r="C33" s="95" t="str">
        <f>+'Capacidad Financiera'!B36</f>
        <v/>
      </c>
      <c r="D33" s="137">
        <f>IF(ISERROR(VLOOKUP(C33,'Capacidad Financiera'!$B$12:$AD$59206,2,0)),"",VLOOKUP(C33,'Capacidad Financiera'!$B$12:$AD$59206,2,0))</f>
        <v>0</v>
      </c>
      <c r="E33" s="208" t="str">
        <f>IF(OR(C33="",D33=""),"",IF(ISERROR(VLOOKUP(D33,'Capacidad Financiera'!$C$13:$AD$59206,3,0)),"",VLOOKUP(D33,'Capacidad Financiera'!$C$13:$AD$59206,3,0)))</f>
        <v/>
      </c>
      <c r="F33" s="208" t="str">
        <f>IF(OR(C33="",D33=""),"",IF(ISERROR(VLOOKUP(D33,'Capacidad Financiera'!$C$13:$AD$59206,5,0)),"",VLOOKUP(D33,'Capacidad Financiera'!$C$13:$AD$59206,5,0)))</f>
        <v/>
      </c>
      <c r="G33" s="210" t="str">
        <f t="shared" si="2"/>
        <v/>
      </c>
      <c r="H33" s="214" t="str">
        <f>IF(OR(D33="",E33="",F33=""),"",IF(AND(G33&gt;0,G33&lt;=CapFinanciera1),Puntajes!$D$12,IF(AND(G33&gt;CapFinanciera1,G33&lt;=CapFinanciera2),Puntajes!$D$13,IF(AND(G33&gt;CapFinanciera2,G33&lt;=CapFinanciera3),Puntajes!$D$14,IF(AND(G33&gt;CapFinanciera3,G33&lt;=CapFinanciera4),Puntajes!$D$15,IF(G33&gt;CapFinanciera4,Puntajes!$D$16,0))))))</f>
        <v/>
      </c>
    </row>
    <row r="34" spans="3:8" ht="13.5" hidden="1" thickBot="1" x14ac:dyDescent="0.25">
      <c r="C34" s="95" t="str">
        <f>+'Capacidad Financiera'!B37</f>
        <v/>
      </c>
      <c r="D34" s="137">
        <f>IF(ISERROR(VLOOKUP(C34,'Capacidad Financiera'!$B$12:$AD$59206,2,0)),"",VLOOKUP(C34,'Capacidad Financiera'!$B$12:$AD$59206,2,0))</f>
        <v>0</v>
      </c>
      <c r="E34" s="208" t="str">
        <f>IF(OR(C34="",D34=""),"",IF(ISERROR(VLOOKUP(D34,'Capacidad Financiera'!$C$13:$AD$59206,3,0)),"",VLOOKUP(D34,'Capacidad Financiera'!$C$13:$AD$59206,3,0)))</f>
        <v/>
      </c>
      <c r="F34" s="208" t="str">
        <f>IF(OR(C34="",D34=""),"",IF(ISERROR(VLOOKUP(D34,'Capacidad Financiera'!$C$13:$AD$59206,5,0)),"",VLOOKUP(D34,'Capacidad Financiera'!$C$13:$AD$59206,5,0)))</f>
        <v/>
      </c>
      <c r="G34" s="210" t="str">
        <f t="shared" si="2"/>
        <v/>
      </c>
      <c r="H34" s="214" t="str">
        <f>IF(OR(D34="",E34="",F34=""),"",IF(AND(G34&gt;0,G34&lt;=CapFinanciera1),Puntajes!$D$12,IF(AND(G34&gt;CapFinanciera1,G34&lt;=CapFinanciera2),Puntajes!$D$13,IF(AND(G34&gt;CapFinanciera2,G34&lt;=CapFinanciera3),Puntajes!$D$14,IF(AND(G34&gt;CapFinanciera3,G34&lt;=CapFinanciera4),Puntajes!$D$15,IF(G34&gt;CapFinanciera4,Puntajes!$D$16,0))))))</f>
        <v/>
      </c>
    </row>
    <row r="35" spans="3:8" ht="13.5" hidden="1" thickBot="1" x14ac:dyDescent="0.25">
      <c r="C35" s="95" t="str">
        <f>+'Capacidad Financiera'!B38</f>
        <v/>
      </c>
      <c r="D35" s="137">
        <f>IF(ISERROR(VLOOKUP(C35,'Capacidad Financiera'!$B$12:$AD$59206,2,0)),"",VLOOKUP(C35,'Capacidad Financiera'!$B$12:$AD$59206,2,0))</f>
        <v>0</v>
      </c>
      <c r="E35" s="208" t="str">
        <f>IF(OR(C35="",D35=""),"",IF(ISERROR(VLOOKUP(D35,'Capacidad Financiera'!$C$13:$AD$59206,3,0)),"",VLOOKUP(D35,'Capacidad Financiera'!$C$13:$AD$59206,3,0)))</f>
        <v/>
      </c>
      <c r="F35" s="208" t="str">
        <f>IF(OR(C35="",D35=""),"",IF(ISERROR(VLOOKUP(D35,'Capacidad Financiera'!$C$13:$AD$59206,5,0)),"",VLOOKUP(D35,'Capacidad Financiera'!$C$13:$AD$59206,5,0)))</f>
        <v/>
      </c>
      <c r="G35" s="210" t="str">
        <f t="shared" si="2"/>
        <v/>
      </c>
      <c r="H35" s="214" t="str">
        <f>IF(OR(D35="",E35="",F35=""),"",IF(AND(G35&gt;0,G35&lt;=CapFinanciera1),Puntajes!$D$12,IF(AND(G35&gt;CapFinanciera1,G35&lt;=CapFinanciera2),Puntajes!$D$13,IF(AND(G35&gt;CapFinanciera2,G35&lt;=CapFinanciera3),Puntajes!$D$14,IF(AND(G35&gt;CapFinanciera3,G35&lt;=CapFinanciera4),Puntajes!$D$15,IF(G35&gt;CapFinanciera4,Puntajes!$D$16,0))))))</f>
        <v/>
      </c>
    </row>
    <row r="36" spans="3:8" ht="13.5" hidden="1" thickBot="1" x14ac:dyDescent="0.25">
      <c r="C36" s="95" t="str">
        <f>+'Capacidad Financiera'!B39</f>
        <v/>
      </c>
      <c r="D36" s="137">
        <f>IF(ISERROR(VLOOKUP(C36,'Capacidad Financiera'!$B$12:$AD$59206,2,0)),"",VLOOKUP(C36,'Capacidad Financiera'!$B$12:$AD$59206,2,0))</f>
        <v>0</v>
      </c>
      <c r="E36" s="208" t="str">
        <f>IF(OR(C36="",D36=""),"",IF(ISERROR(VLOOKUP(D36,'Capacidad Financiera'!$C$13:$AD$59206,3,0)),"",VLOOKUP(D36,'Capacidad Financiera'!$C$13:$AD$59206,3,0)))</f>
        <v/>
      </c>
      <c r="F36" s="208" t="str">
        <f>IF(OR(C36="",D36=""),"",IF(ISERROR(VLOOKUP(D36,'Capacidad Financiera'!$C$13:$AD$59206,5,0)),"",VLOOKUP(D36,'Capacidad Financiera'!$C$13:$AD$59206,5,0)))</f>
        <v/>
      </c>
      <c r="G36" s="210" t="str">
        <f t="shared" si="2"/>
        <v/>
      </c>
      <c r="H36" s="214" t="str">
        <f>IF(OR(D36="",E36="",F36=""),"",IF(AND(G36&gt;0,G36&lt;=CapFinanciera1),Puntajes!$D$12,IF(AND(G36&gt;CapFinanciera1,G36&lt;=CapFinanciera2),Puntajes!$D$13,IF(AND(G36&gt;CapFinanciera2,G36&lt;=CapFinanciera3),Puntajes!$D$14,IF(AND(G36&gt;CapFinanciera3,G36&lt;=CapFinanciera4),Puntajes!$D$15,IF(G36&gt;CapFinanciera4,Puntajes!$D$16,0))))))</f>
        <v/>
      </c>
    </row>
    <row r="37" spans="3:8" ht="13.5" hidden="1" thickBot="1" x14ac:dyDescent="0.25">
      <c r="C37" s="95" t="str">
        <f>+'Capacidad Financiera'!B40</f>
        <v/>
      </c>
      <c r="D37" s="137">
        <f>IF(ISERROR(VLOOKUP(C37,'Capacidad Financiera'!$B$12:$AD$59206,2,0)),"",VLOOKUP(C37,'Capacidad Financiera'!$B$12:$AD$59206,2,0))</f>
        <v>0</v>
      </c>
      <c r="E37" s="208" t="str">
        <f>IF(OR(C37="",D37=""),"",IF(ISERROR(VLOOKUP(D37,'Capacidad Financiera'!$C$13:$AD$59206,3,0)),"",VLOOKUP(D37,'Capacidad Financiera'!$C$13:$AD$59206,3,0)))</f>
        <v/>
      </c>
      <c r="F37" s="208" t="str">
        <f>IF(OR(C37="",D37=""),"",IF(ISERROR(VLOOKUP(D37,'Capacidad Financiera'!$C$13:$AD$59206,5,0)),"",VLOOKUP(D37,'Capacidad Financiera'!$C$13:$AD$59206,5,0)))</f>
        <v/>
      </c>
      <c r="G37" s="210" t="str">
        <f t="shared" si="2"/>
        <v/>
      </c>
      <c r="H37" s="214" t="str">
        <f>IF(OR(D37="",E37="",F37=""),"",IF(AND(G37&gt;0,G37&lt;=CapFinanciera1),Puntajes!$D$12,IF(AND(G37&gt;CapFinanciera1,G37&lt;=CapFinanciera2),Puntajes!$D$13,IF(AND(G37&gt;CapFinanciera2,G37&lt;=CapFinanciera3),Puntajes!$D$14,IF(AND(G37&gt;CapFinanciera3,G37&lt;=CapFinanciera4),Puntajes!$D$15,IF(G37&gt;CapFinanciera4,Puntajes!$D$16,0))))))</f>
        <v/>
      </c>
    </row>
    <row r="38" spans="3:8" ht="13.5" hidden="1" thickBot="1" x14ac:dyDescent="0.25">
      <c r="C38" s="95" t="str">
        <f>+'Capacidad Financiera'!B41</f>
        <v/>
      </c>
      <c r="D38" s="137">
        <f>IF(ISERROR(VLOOKUP(C38,'Capacidad Financiera'!$B$12:$AD$59206,2,0)),"",VLOOKUP(C38,'Capacidad Financiera'!$B$12:$AD$59206,2,0))</f>
        <v>0</v>
      </c>
      <c r="E38" s="208" t="str">
        <f>IF(OR(C38="",D38=""),"",IF(ISERROR(VLOOKUP(D38,'Capacidad Financiera'!$C$13:$AD$59206,3,0)),"",VLOOKUP(D38,'Capacidad Financiera'!$C$13:$AD$59206,3,0)))</f>
        <v/>
      </c>
      <c r="F38" s="208" t="str">
        <f>IF(OR(C38="",D38=""),"",IF(ISERROR(VLOOKUP(D38,'Capacidad Financiera'!$C$13:$AD$59206,5,0)),"",VLOOKUP(D38,'Capacidad Financiera'!$C$13:$AD$59206,5,0)))</f>
        <v/>
      </c>
      <c r="G38" s="210" t="str">
        <f t="shared" si="2"/>
        <v/>
      </c>
      <c r="H38" s="214" t="str">
        <f>IF(OR(D38="",E38="",F38=""),"",IF(AND(G38&gt;0,G38&lt;=CapFinanciera1),Puntajes!$D$12,IF(AND(G38&gt;CapFinanciera1,G38&lt;=CapFinanciera2),Puntajes!$D$13,IF(AND(G38&gt;CapFinanciera2,G38&lt;=CapFinanciera3),Puntajes!$D$14,IF(AND(G38&gt;CapFinanciera3,G38&lt;=CapFinanciera4),Puntajes!$D$15,IF(G38&gt;CapFinanciera4,Puntajes!$D$16,0))))))</f>
        <v/>
      </c>
    </row>
    <row r="39" spans="3:8" ht="13.5" hidden="1" thickBot="1" x14ac:dyDescent="0.25">
      <c r="C39" s="95" t="str">
        <f>+'Capacidad Financiera'!B42</f>
        <v/>
      </c>
      <c r="D39" s="137">
        <f>IF(ISERROR(VLOOKUP(C39,'Capacidad Financiera'!$B$12:$AD$59206,2,0)),"",VLOOKUP(C39,'Capacidad Financiera'!$B$12:$AD$59206,2,0))</f>
        <v>0</v>
      </c>
      <c r="E39" s="208" t="str">
        <f>IF(OR(C39="",D39=""),"",IF(ISERROR(VLOOKUP(D39,'Capacidad Financiera'!$C$13:$AD$59206,3,0)),"",VLOOKUP(D39,'Capacidad Financiera'!$C$13:$AD$59206,3,0)))</f>
        <v/>
      </c>
      <c r="F39" s="208" t="str">
        <f>IF(OR(C39="",D39=""),"",IF(ISERROR(VLOOKUP(D39,'Capacidad Financiera'!$C$13:$AD$59206,5,0)),"",VLOOKUP(D39,'Capacidad Financiera'!$C$13:$AD$59206,5,0)))</f>
        <v/>
      </c>
      <c r="G39" s="210" t="str">
        <f t="shared" si="2"/>
        <v/>
      </c>
      <c r="H39" s="214" t="str">
        <f>IF(OR(D39="",E39="",F39=""),"",IF(AND(G39&gt;0,G39&lt;=CapFinanciera1),Puntajes!$D$12,IF(AND(G39&gt;CapFinanciera1,G39&lt;=CapFinanciera2),Puntajes!$D$13,IF(AND(G39&gt;CapFinanciera2,G39&lt;=CapFinanciera3),Puntajes!$D$14,IF(AND(G39&gt;CapFinanciera3,G39&lt;=CapFinanciera4),Puntajes!$D$15,IF(G39&gt;CapFinanciera4,Puntajes!$D$16,0))))))</f>
        <v/>
      </c>
    </row>
    <row r="40" spans="3:8" ht="13.5" hidden="1" thickBot="1" x14ac:dyDescent="0.25">
      <c r="C40" s="95" t="str">
        <f>+'Capacidad Financiera'!B43</f>
        <v/>
      </c>
      <c r="D40" s="137">
        <f>IF(ISERROR(VLOOKUP(C40,'Capacidad Financiera'!$B$12:$AD$59206,2,0)),"",VLOOKUP(C40,'Capacidad Financiera'!$B$12:$AD$59206,2,0))</f>
        <v>0</v>
      </c>
      <c r="E40" s="208" t="str">
        <f>IF(OR(C40="",D40=""),"",IF(ISERROR(VLOOKUP(D40,'Capacidad Financiera'!$C$13:$AD$59206,3,0)),"",VLOOKUP(D40,'Capacidad Financiera'!$C$13:$AD$59206,3,0)))</f>
        <v/>
      </c>
      <c r="F40" s="208" t="str">
        <f>IF(OR(C40="",D40=""),"",IF(ISERROR(VLOOKUP(D40,'Capacidad Financiera'!$C$13:$AD$59206,5,0)),"",VLOOKUP(D40,'Capacidad Financiera'!$C$13:$AD$59206,5,0)))</f>
        <v/>
      </c>
      <c r="G40" s="210" t="str">
        <f t="shared" si="2"/>
        <v/>
      </c>
      <c r="H40" s="214" t="str">
        <f>IF(OR(D40="",E40="",F40=""),"",IF(AND(G40&gt;0,G40&lt;=CapFinanciera1),Puntajes!$D$12,IF(AND(G40&gt;CapFinanciera1,G40&lt;=CapFinanciera2),Puntajes!$D$13,IF(AND(G40&gt;CapFinanciera2,G40&lt;=CapFinanciera3),Puntajes!$D$14,IF(AND(G40&gt;CapFinanciera3,G40&lt;=CapFinanciera4),Puntajes!$D$15,IF(G40&gt;CapFinanciera4,Puntajes!$D$16,0))))))</f>
        <v/>
      </c>
    </row>
    <row r="41" spans="3:8" ht="13.5" hidden="1" thickBot="1" x14ac:dyDescent="0.25">
      <c r="C41" s="96" t="str">
        <f>+'Capacidad Financiera'!B44</f>
        <v/>
      </c>
      <c r="D41" s="97">
        <f>IF(ISERROR(VLOOKUP(C41,'Capacidad Financiera'!$B$12:$AD$59206,2,0)),"",VLOOKUP(C41,'Capacidad Financiera'!$B$12:$AD$59206,2,0))</f>
        <v>0</v>
      </c>
      <c r="E41" s="209" t="str">
        <f>IF(OR(C41="",D41=""),"",IF(ISERROR(VLOOKUP(D41,'Capacidad Financiera'!$C$13:$AD$59206,3,0)),"",VLOOKUP(D41,'Capacidad Financiera'!$C$13:$AD$59206,3,0)))</f>
        <v/>
      </c>
      <c r="F41" s="209" t="str">
        <f>IF(OR(C41="",D41=""),"",IF(ISERROR(VLOOKUP(D41,'Capacidad Financiera'!$C$13:$AD$59206,5,0)),"",VLOOKUP(D41,'Capacidad Financiera'!$C$13:$AD$59206,5,0)))</f>
        <v/>
      </c>
      <c r="G41" s="211" t="str">
        <f t="shared" si="2"/>
        <v/>
      </c>
      <c r="H41" s="215" t="str">
        <f>IF(OR(D41="",E41="",F41=""),"",IF(AND(G41&gt;0,G41&lt;=CapFinanciera1),Puntajes!$D$12,IF(AND(G41&gt;CapFinanciera1,G41&lt;=CapFinanciera2),Puntajes!$D$13,IF(AND(G41&gt;CapFinanciera2,G41&lt;=CapFinanciera3),Puntajes!$D$14,IF(AND(G41&gt;CapFinanciera3,G41&lt;=CapFinanciera4),Puntajes!$D$15,IF(G41&gt;CapFinanciera4,Puntajes!$D$16,0))))))</f>
        <v/>
      </c>
    </row>
    <row r="42" spans="3:8" x14ac:dyDescent="0.2">
      <c r="C42" s="90">
        <v>4</v>
      </c>
      <c r="D42" s="91" t="str">
        <f>IF(ISERROR(VLOOKUP(C42,'Capacidad Financiera'!$B$12:$AD$59206,2,0)),"",VLOOKUP(C42,'Capacidad Financiera'!$B$12:$AD$59206,2,0))</f>
        <v>CONSORCIO CAFRA 2024</v>
      </c>
      <c r="E42" s="207" t="str">
        <f>IF(C43="",IF(C42&lt;&gt;"",IF(ISERROR(VLOOKUP(D42,'Capacidad Financiera'!$C$12:$H$22,3,0)),"",VLOOKUP(D42,'Capacidad Financiera'!$C$12:$H$22,3,0))),"")</f>
        <v/>
      </c>
      <c r="F42" s="207" t="str">
        <f>IF(C43="",IF(C42&lt;&gt;"",IF(ISERROR(VLOOKUP(D42,'Capacidad Financiera'!$C$12:$H$22,5,0)),"",VLOOKUP(D42,'Capacidad Financiera'!$C$12:$H$22,5,0))),"")</f>
        <v/>
      </c>
      <c r="G42" s="134" t="str">
        <f>IF(OR(D42="",E42="",F42=""),"",IF(OR(E42=0,F42=0),0,E42/F42))</f>
        <v/>
      </c>
      <c r="H42" s="198" t="str">
        <f>IF(C43="",IF(AND(E42="",F42=""),"",IF(AND(G42&gt;0,G42&lt;=CapFinanciera1),Puntajes!$D$12,IF(AND(G42&gt;CapFinanciera1,G42&lt;=CapFinanciera2),Puntajes!$D$13,IF(AND(G42&gt;CapFinanciera2,G42&lt;=CapFinanciera3),Puntajes!$D$14,IF(AND(G42&gt;CapFinanciera3,G42&lt;=CapFinanciera4),Puntajes!$D$15,IF(G42&gt;CapFinanciera4,Puntajes!$D$16,0)))))),"")</f>
        <v/>
      </c>
    </row>
    <row r="43" spans="3:8" x14ac:dyDescent="0.2">
      <c r="C43" s="95">
        <f>+'Capacidad Financiera'!B46</f>
        <v>4.0999999999999996</v>
      </c>
      <c r="D43" s="137" t="str">
        <f>IF(ISERROR(VLOOKUP(C43,'Capacidad Financiera'!$B$12:$AD$59206,2,0)),"",VLOOKUP(C43,'Capacidad Financiera'!$B$12:$AD$59206,2,0))</f>
        <v>CARRILES DEL ORIENTE</v>
      </c>
      <c r="E43" s="208">
        <f>IF(OR(C43="",D43=""),"",IF(ISERROR(VLOOKUP(D43,'Capacidad Financiera'!$C$13:$AD$59206,3,0)),"",VLOOKUP(D43,'Capacidad Financiera'!$C$13:$AD$59206,3,0)))</f>
        <v>10000000</v>
      </c>
      <c r="F43" s="208">
        <f>IF(OR(C43="",D43=""),"",IF(ISERROR(VLOOKUP(D43,'Capacidad Financiera'!$C$13:$AD$59206,5,0)),"",VLOOKUP(D43,'Capacidad Financiera'!$C$13:$AD$59206,5,0)))</f>
        <v>0</v>
      </c>
      <c r="G43" s="210">
        <f t="shared" ref="G43:G52" si="3">IF(OR(D43="",E43="",F43=""),"",IF(OR(E43=0,F43=0),0,E43/F43))</f>
        <v>0</v>
      </c>
      <c r="H43" s="214">
        <f>IF(OR(D43="",E43="",F43=""),"",IF(AND(G43&gt;0,G43&lt;=CapFinanciera1),Puntajes!$D$12,IF(AND(G43&gt;CapFinanciera1,G43&lt;=CapFinanciera2),Puntajes!$D$13,IF(AND(G43&gt;CapFinanciera2,G43&lt;=CapFinanciera3),Puntajes!$D$14,IF(AND(G43&gt;CapFinanciera3,G43&lt;=CapFinanciera4),Puntajes!$D$15,IF(G43&gt;CapFinanciera4,Puntajes!$D$16,0))))))</f>
        <v>0</v>
      </c>
    </row>
    <row r="44" spans="3:8" ht="26.25" thickBot="1" x14ac:dyDescent="0.25">
      <c r="C44" s="96">
        <f>+'Capacidad Financiera'!B47</f>
        <v>4.1999999999999993</v>
      </c>
      <c r="D44" s="97" t="str">
        <f>IF(ISERROR(VLOOKUP(C44,'Capacidad Financiera'!$B$12:$AD$59206,2,0)),"",VLOOKUP(C44,'Capacidad Financiera'!$B$12:$AD$59206,2,0))</f>
        <v>HECTOR FRANCISCO SARMIENTO DURAN</v>
      </c>
      <c r="E44" s="209">
        <f>IF(OR(C44="",D44=""),"",IF(ISERROR(VLOOKUP(D44,'Capacidad Financiera'!$C$13:$AD$59206,3,0)),"",VLOOKUP(D44,'Capacidad Financiera'!$C$13:$AD$59206,3,0)))</f>
        <v>578373672</v>
      </c>
      <c r="F44" s="209">
        <f>IF(OR(C44="",D44=""),"",IF(ISERROR(VLOOKUP(D44,'Capacidad Financiera'!$C$13:$AD$59206,5,0)),"",VLOOKUP(D44,'Capacidad Financiera'!$C$13:$AD$59206,5,0)))</f>
        <v>118536692</v>
      </c>
      <c r="G44" s="211">
        <f t="shared" si="3"/>
        <v>4.8792796748537572</v>
      </c>
      <c r="H44" s="215">
        <f>IF(OR(D44="",E44="",F44=""),"",IF(AND(G44&gt;0,G44&lt;=CapFinanciera1),Puntajes!$D$12,IF(AND(G44&gt;CapFinanciera1,G44&lt;=CapFinanciera2),Puntajes!$D$13,IF(AND(G44&gt;CapFinanciera2,G44&lt;=CapFinanciera3),Puntajes!$D$14,IF(AND(G44&gt;CapFinanciera3,G44&lt;=CapFinanciera4),Puntajes!$D$15,IF(G44&gt;CapFinanciera4,Puntajes!$D$16,0))))))</f>
        <v>40</v>
      </c>
    </row>
    <row r="45" spans="3:8" hidden="1" x14ac:dyDescent="0.2">
      <c r="C45" s="283" t="str">
        <f>+'Capacidad Financiera'!B48</f>
        <v/>
      </c>
      <c r="D45" s="284">
        <f>IF(ISERROR(VLOOKUP(C45,'Capacidad Financiera'!$B$12:$AD$59206,2,0)),"",VLOOKUP(C45,'Capacidad Financiera'!$B$12:$AD$59206,2,0))</f>
        <v>0</v>
      </c>
      <c r="E45" s="290" t="str">
        <f>IF(OR(C45="",D45=""),"",IF(ISERROR(VLOOKUP(D45,'Capacidad Financiera'!$C$13:$AD$59206,3,0)),"",VLOOKUP(D45,'Capacidad Financiera'!$C$13:$AD$59206,3,0)))</f>
        <v/>
      </c>
      <c r="F45" s="290" t="str">
        <f>IF(OR(C45="",D45=""),"",IF(ISERROR(VLOOKUP(D45,'Capacidad Financiera'!$C$13:$AD$59206,5,0)),"",VLOOKUP(D45,'Capacidad Financiera'!$C$13:$AD$59206,5,0)))</f>
        <v/>
      </c>
      <c r="G45" s="287" t="str">
        <f t="shared" si="3"/>
        <v/>
      </c>
      <c r="H45" s="288" t="str">
        <f>IF(OR(D45="",E45="",F45=""),"",IF(AND(G45&gt;0,G45&lt;=CapFinanciera1),Puntajes!$D$12,IF(AND(G45&gt;CapFinanciera1,G45&lt;=CapFinanciera2),Puntajes!$D$13,IF(AND(G45&gt;CapFinanciera2,G45&lt;=CapFinanciera3),Puntajes!$D$14,IF(AND(G45&gt;CapFinanciera3,G45&lt;=CapFinanciera4),Puntajes!$D$15,IF(G45&gt;CapFinanciera4,Puntajes!$D$16,0))))))</f>
        <v/>
      </c>
    </row>
    <row r="46" spans="3:8" hidden="1" x14ac:dyDescent="0.2">
      <c r="C46" s="95" t="str">
        <f>+'Capacidad Financiera'!B49</f>
        <v/>
      </c>
      <c r="D46" s="137">
        <f>IF(ISERROR(VLOOKUP(C46,'Capacidad Financiera'!$B$12:$AD$59206,2,0)),"",VLOOKUP(C46,'Capacidad Financiera'!$B$12:$AD$59206,2,0))</f>
        <v>0</v>
      </c>
      <c r="E46" s="208" t="str">
        <f>IF(OR(C46="",D46=""),"",IF(ISERROR(VLOOKUP(D46,'Capacidad Financiera'!$C$13:$AD$59206,3,0)),"",VLOOKUP(D46,'Capacidad Financiera'!$C$13:$AD$59206,3,0)))</f>
        <v/>
      </c>
      <c r="F46" s="208" t="str">
        <f>IF(OR(C46="",D46=""),"",IF(ISERROR(VLOOKUP(D46,'Capacidad Financiera'!$C$13:$AD$59206,5,0)),"",VLOOKUP(D46,'Capacidad Financiera'!$C$13:$AD$59206,5,0)))</f>
        <v/>
      </c>
      <c r="G46" s="210" t="str">
        <f t="shared" si="3"/>
        <v/>
      </c>
      <c r="H46" s="214" t="str">
        <f>IF(OR(D46="",E46="",F46=""),"",IF(AND(G46&gt;0,G46&lt;=CapFinanciera1),Puntajes!$D$12,IF(AND(G46&gt;CapFinanciera1,G46&lt;=CapFinanciera2),Puntajes!$D$13,IF(AND(G46&gt;CapFinanciera2,G46&lt;=CapFinanciera3),Puntajes!$D$14,IF(AND(G46&gt;CapFinanciera3,G46&lt;=CapFinanciera4),Puntajes!$D$15,IF(G46&gt;CapFinanciera4,Puntajes!$D$16,0))))))</f>
        <v/>
      </c>
    </row>
    <row r="47" spans="3:8" hidden="1" x14ac:dyDescent="0.2">
      <c r="C47" s="95" t="str">
        <f>+'Capacidad Financiera'!B50</f>
        <v/>
      </c>
      <c r="D47" s="137">
        <f>IF(ISERROR(VLOOKUP(C47,'Capacidad Financiera'!$B$12:$AD$59206,2,0)),"",VLOOKUP(C47,'Capacidad Financiera'!$B$12:$AD$59206,2,0))</f>
        <v>0</v>
      </c>
      <c r="E47" s="208" t="str">
        <f>IF(OR(C47="",D47=""),"",IF(ISERROR(VLOOKUP(D47,'Capacidad Financiera'!$C$13:$AD$59206,3,0)),"",VLOOKUP(D47,'Capacidad Financiera'!$C$13:$AD$59206,3,0)))</f>
        <v/>
      </c>
      <c r="F47" s="208" t="str">
        <f>IF(OR(C47="",D47=""),"",IF(ISERROR(VLOOKUP(D47,'Capacidad Financiera'!$C$13:$AD$59206,5,0)),"",VLOOKUP(D47,'Capacidad Financiera'!$C$13:$AD$59206,5,0)))</f>
        <v/>
      </c>
      <c r="G47" s="210" t="str">
        <f t="shared" si="3"/>
        <v/>
      </c>
      <c r="H47" s="214" t="str">
        <f>IF(OR(D47="",E47="",F47=""),"",IF(AND(G47&gt;0,G47&lt;=CapFinanciera1),Puntajes!$D$12,IF(AND(G47&gt;CapFinanciera1,G47&lt;=CapFinanciera2),Puntajes!$D$13,IF(AND(G47&gt;CapFinanciera2,G47&lt;=CapFinanciera3),Puntajes!$D$14,IF(AND(G47&gt;CapFinanciera3,G47&lt;=CapFinanciera4),Puntajes!$D$15,IF(G47&gt;CapFinanciera4,Puntajes!$D$16,0))))))</f>
        <v/>
      </c>
    </row>
    <row r="48" spans="3:8" hidden="1" x14ac:dyDescent="0.2">
      <c r="C48" s="95" t="str">
        <f>+'Capacidad Financiera'!B51</f>
        <v/>
      </c>
      <c r="D48" s="137">
        <f>IF(ISERROR(VLOOKUP(C48,'Capacidad Financiera'!$B$12:$AD$59206,2,0)),"",VLOOKUP(C48,'Capacidad Financiera'!$B$12:$AD$59206,2,0))</f>
        <v>0</v>
      </c>
      <c r="E48" s="208" t="str">
        <f>IF(OR(C48="",D48=""),"",IF(ISERROR(VLOOKUP(D48,'Capacidad Financiera'!$C$13:$AD$59206,3,0)),"",VLOOKUP(D48,'Capacidad Financiera'!$C$13:$AD$59206,3,0)))</f>
        <v/>
      </c>
      <c r="F48" s="208" t="str">
        <f>IF(OR(C48="",D48=""),"",IF(ISERROR(VLOOKUP(D48,'Capacidad Financiera'!$C$13:$AD$59206,5,0)),"",VLOOKUP(D48,'Capacidad Financiera'!$C$13:$AD$59206,5,0)))</f>
        <v/>
      </c>
      <c r="G48" s="210" t="str">
        <f t="shared" si="3"/>
        <v/>
      </c>
      <c r="H48" s="214" t="str">
        <f>IF(OR(D48="",E48="",F48=""),"",IF(AND(G48&gt;0,G48&lt;=CapFinanciera1),Puntajes!$D$12,IF(AND(G48&gt;CapFinanciera1,G48&lt;=CapFinanciera2),Puntajes!$D$13,IF(AND(G48&gt;CapFinanciera2,G48&lt;=CapFinanciera3),Puntajes!$D$14,IF(AND(G48&gt;CapFinanciera3,G48&lt;=CapFinanciera4),Puntajes!$D$15,IF(G48&gt;CapFinanciera4,Puntajes!$D$16,0))))))</f>
        <v/>
      </c>
    </row>
    <row r="49" spans="3:8" hidden="1" x14ac:dyDescent="0.2">
      <c r="C49" s="95" t="str">
        <f>+'Capacidad Financiera'!B52</f>
        <v/>
      </c>
      <c r="D49" s="137">
        <f>IF(ISERROR(VLOOKUP(C49,'Capacidad Financiera'!$B$12:$AD$59206,2,0)),"",VLOOKUP(C49,'Capacidad Financiera'!$B$12:$AD$59206,2,0))</f>
        <v>0</v>
      </c>
      <c r="E49" s="208" t="str">
        <f>IF(OR(C49="",D49=""),"",IF(ISERROR(VLOOKUP(D49,'Capacidad Financiera'!$C$13:$AD$59206,3,0)),"",VLOOKUP(D49,'Capacidad Financiera'!$C$13:$AD$59206,3,0)))</f>
        <v/>
      </c>
      <c r="F49" s="208" t="str">
        <f>IF(OR(C49="",D49=""),"",IF(ISERROR(VLOOKUP(D49,'Capacidad Financiera'!$C$13:$AD$59206,5,0)),"",VLOOKUP(D49,'Capacidad Financiera'!$C$13:$AD$59206,5,0)))</f>
        <v/>
      </c>
      <c r="G49" s="210" t="str">
        <f t="shared" si="3"/>
        <v/>
      </c>
      <c r="H49" s="214" t="str">
        <f>IF(OR(D49="",E49="",F49=""),"",IF(AND(G49&gt;0,G49&lt;=CapFinanciera1),Puntajes!$D$12,IF(AND(G49&gt;CapFinanciera1,G49&lt;=CapFinanciera2),Puntajes!$D$13,IF(AND(G49&gt;CapFinanciera2,G49&lt;=CapFinanciera3),Puntajes!$D$14,IF(AND(G49&gt;CapFinanciera3,G49&lt;=CapFinanciera4),Puntajes!$D$15,IF(G49&gt;CapFinanciera4,Puntajes!$D$16,0))))))</f>
        <v/>
      </c>
    </row>
    <row r="50" spans="3:8" hidden="1" x14ac:dyDescent="0.2">
      <c r="C50" s="95" t="str">
        <f>+'Capacidad Financiera'!B53</f>
        <v/>
      </c>
      <c r="D50" s="137">
        <f>IF(ISERROR(VLOOKUP(C50,'Capacidad Financiera'!$B$12:$AD$59206,2,0)),"",VLOOKUP(C50,'Capacidad Financiera'!$B$12:$AD$59206,2,0))</f>
        <v>0</v>
      </c>
      <c r="E50" s="208" t="str">
        <f>IF(OR(C50="",D50=""),"",IF(ISERROR(VLOOKUP(D50,'Capacidad Financiera'!$C$13:$AD$59206,3,0)),"",VLOOKUP(D50,'Capacidad Financiera'!$C$13:$AD$59206,3,0)))</f>
        <v/>
      </c>
      <c r="F50" s="208" t="str">
        <f>IF(OR(C50="",D50=""),"",IF(ISERROR(VLOOKUP(D50,'Capacidad Financiera'!$C$13:$AD$59206,5,0)),"",VLOOKUP(D50,'Capacidad Financiera'!$C$13:$AD$59206,5,0)))</f>
        <v/>
      </c>
      <c r="G50" s="210" t="str">
        <f t="shared" si="3"/>
        <v/>
      </c>
      <c r="H50" s="214" t="str">
        <f>IF(OR(D50="",E50="",F50=""),"",IF(AND(G50&gt;0,G50&lt;=CapFinanciera1),Puntajes!$D$12,IF(AND(G50&gt;CapFinanciera1,G50&lt;=CapFinanciera2),Puntajes!$D$13,IF(AND(G50&gt;CapFinanciera2,G50&lt;=CapFinanciera3),Puntajes!$D$14,IF(AND(G50&gt;CapFinanciera3,G50&lt;=CapFinanciera4),Puntajes!$D$15,IF(G50&gt;CapFinanciera4,Puntajes!$D$16,0))))))</f>
        <v/>
      </c>
    </row>
    <row r="51" spans="3:8" hidden="1" x14ac:dyDescent="0.2">
      <c r="C51" s="95" t="str">
        <f>+'Capacidad Financiera'!B54</f>
        <v/>
      </c>
      <c r="D51" s="137">
        <f>IF(ISERROR(VLOOKUP(C51,'Capacidad Financiera'!$B$12:$AD$59206,2,0)),"",VLOOKUP(C51,'Capacidad Financiera'!$B$12:$AD$59206,2,0))</f>
        <v>0</v>
      </c>
      <c r="E51" s="208" t="str">
        <f>IF(OR(C51="",D51=""),"",IF(ISERROR(VLOOKUP(D51,'Capacidad Financiera'!$C$13:$AD$59206,3,0)),"",VLOOKUP(D51,'Capacidad Financiera'!$C$13:$AD$59206,3,0)))</f>
        <v/>
      </c>
      <c r="F51" s="208" t="str">
        <f>IF(OR(C51="",D51=""),"",IF(ISERROR(VLOOKUP(D51,'Capacidad Financiera'!$C$13:$AD$59206,5,0)),"",VLOOKUP(D51,'Capacidad Financiera'!$C$13:$AD$59206,5,0)))</f>
        <v/>
      </c>
      <c r="G51" s="210" t="str">
        <f t="shared" si="3"/>
        <v/>
      </c>
      <c r="H51" s="214" t="str">
        <f>IF(OR(D51="",E51="",F51=""),"",IF(AND(G51&gt;0,G51&lt;=CapFinanciera1),Puntajes!$D$12,IF(AND(G51&gt;CapFinanciera1,G51&lt;=CapFinanciera2),Puntajes!$D$13,IF(AND(G51&gt;CapFinanciera2,G51&lt;=CapFinanciera3),Puntajes!$D$14,IF(AND(G51&gt;CapFinanciera3,G51&lt;=CapFinanciera4),Puntajes!$D$15,IF(G51&gt;CapFinanciera4,Puntajes!$D$16,0))))))</f>
        <v/>
      </c>
    </row>
    <row r="52" spans="3:8" ht="12.75" hidden="1" customHeight="1" thickBot="1" x14ac:dyDescent="0.25">
      <c r="C52" s="96" t="str">
        <f>+'Capacidad Financiera'!B55</f>
        <v/>
      </c>
      <c r="D52" s="97">
        <f>IF(ISERROR(VLOOKUP(C52,'Capacidad Financiera'!$B$12:$AD$59206,2,0)),"",VLOOKUP(C52,'Capacidad Financiera'!$B$12:$AD$59206,2,0))</f>
        <v>0</v>
      </c>
      <c r="E52" s="209" t="str">
        <f>IF(OR(C52="",D52=""),"",IF(ISERROR(VLOOKUP(D52,'Capacidad Financiera'!$C$13:$AD$59206,3,0)),"",VLOOKUP(D52,'Capacidad Financiera'!$C$13:$AD$59206,3,0)))</f>
        <v/>
      </c>
      <c r="F52" s="209" t="str">
        <f>IF(OR(C52="",D52=""),"",IF(ISERROR(VLOOKUP(D52,'Capacidad Financiera'!$C$13:$AD$59206,5,0)),"",VLOOKUP(D52,'Capacidad Financiera'!$C$13:$AD$59206,5,0)))</f>
        <v/>
      </c>
      <c r="G52" s="211" t="str">
        <f t="shared" si="3"/>
        <v/>
      </c>
      <c r="H52" s="215" t="str">
        <f>IF(OR(D52="",E52="",F52=""),"",IF(AND(G52&gt;0,G52&lt;=CapFinanciera1),Puntajes!$D$12,IF(AND(G52&gt;CapFinanciera1,G52&lt;=CapFinanciera2),Puntajes!$D$13,IF(AND(G52&gt;CapFinanciera2,G52&lt;=CapFinanciera3),Puntajes!$D$14,IF(AND(G52&gt;CapFinanciera3,G52&lt;=CapFinanciera4),Puntajes!$D$15,IF(G52&gt;CapFinanciera4,Puntajes!$D$16,0))))))</f>
        <v/>
      </c>
    </row>
  </sheetData>
  <sheetProtection formatCells="0" formatColumns="0" formatRows="0" insertColumns="0" insertRows="0" insertHyperlinks="0" deleteColumns="0" deleteRows="0" sort="0" autoFilter="0" pivotTables="0"/>
  <mergeCells count="9">
    <mergeCell ref="E7:E8"/>
    <mergeCell ref="F7:F8"/>
    <mergeCell ref="G7:G8"/>
    <mergeCell ref="C2:H2"/>
    <mergeCell ref="C3:H3"/>
    <mergeCell ref="C4:H4"/>
    <mergeCell ref="C5:H5"/>
    <mergeCell ref="C7:C8"/>
    <mergeCell ref="D7:D8"/>
  </mergeCells>
  <conditionalFormatting sqref="D9:D19 D6:H6">
    <cfRule type="cellIs" dxfId="128" priority="508" stopIfTrue="1" operator="equal">
      <formula>"NO ADMISIBLE"</formula>
    </cfRule>
  </conditionalFormatting>
  <conditionalFormatting sqref="E15:H19">
    <cfRule type="expression" dxfId="127" priority="506" stopIfTrue="1">
      <formula>IF($B8-INT($B8)&gt;0,TRUE,FALSE)</formula>
    </cfRule>
  </conditionalFormatting>
  <conditionalFormatting sqref="E10:H10">
    <cfRule type="expression" dxfId="126" priority="502" stopIfTrue="1">
      <formula>IF($B2-INT($B2)&gt;0,TRUE,FALSE)</formula>
    </cfRule>
  </conditionalFormatting>
  <conditionalFormatting sqref="E9:H9">
    <cfRule type="expression" dxfId="125" priority="509" stopIfTrue="1">
      <formula>IF(#REF!-INT(#REF!)&gt;0,TRUE,FALSE)</formula>
    </cfRule>
  </conditionalFormatting>
  <conditionalFormatting sqref="E11:H13">
    <cfRule type="expression" dxfId="124" priority="3014" stopIfTrue="1">
      <formula>IF($B5-INT($B5)&gt;0,TRUE,FALSE)</formula>
    </cfRule>
  </conditionalFormatting>
  <conditionalFormatting sqref="E14:H14">
    <cfRule type="expression" dxfId="123" priority="3016" stopIfTrue="1">
      <formula>IF(#REF!-INT(#REF!)&gt;0,TRUE,FALSE)</formula>
    </cfRule>
  </conditionalFormatting>
  <conditionalFormatting sqref="D20:D30">
    <cfRule type="cellIs" dxfId="122" priority="15" stopIfTrue="1" operator="equal">
      <formula>"NO ADMISIBLE"</formula>
    </cfRule>
  </conditionalFormatting>
  <conditionalFormatting sqref="E26:H30">
    <cfRule type="expression" dxfId="121" priority="14" stopIfTrue="1">
      <formula>IF($B19-INT($B19)&gt;0,TRUE,FALSE)</formula>
    </cfRule>
  </conditionalFormatting>
  <conditionalFormatting sqref="E21:H21">
    <cfRule type="expression" dxfId="120" priority="13" stopIfTrue="1">
      <formula>IF($B13-INT($B13)&gt;0,TRUE,FALSE)</formula>
    </cfRule>
  </conditionalFormatting>
  <conditionalFormatting sqref="E20:H20">
    <cfRule type="expression" dxfId="119" priority="16" stopIfTrue="1">
      <formula>IF(#REF!-INT(#REF!)&gt;0,TRUE,FALSE)</formula>
    </cfRule>
  </conditionalFormatting>
  <conditionalFormatting sqref="E22:H24">
    <cfRule type="expression" dxfId="118" priority="17" stopIfTrue="1">
      <formula>IF($B16-INT($B16)&gt;0,TRUE,FALSE)</formula>
    </cfRule>
  </conditionalFormatting>
  <conditionalFormatting sqref="E25:H25">
    <cfRule type="expression" dxfId="117" priority="18" stopIfTrue="1">
      <formula>IF(#REF!-INT(#REF!)&gt;0,TRUE,FALSE)</formula>
    </cfRule>
  </conditionalFormatting>
  <conditionalFormatting sqref="D31:D41">
    <cfRule type="cellIs" dxfId="116" priority="9" stopIfTrue="1" operator="equal">
      <formula>"NO ADMISIBLE"</formula>
    </cfRule>
  </conditionalFormatting>
  <conditionalFormatting sqref="E37:H41">
    <cfRule type="expression" dxfId="115" priority="8" stopIfTrue="1">
      <formula>IF($B30-INT($B30)&gt;0,TRUE,FALSE)</formula>
    </cfRule>
  </conditionalFormatting>
  <conditionalFormatting sqref="E32:H32">
    <cfRule type="expression" dxfId="114" priority="7" stopIfTrue="1">
      <formula>IF($B24-INT($B24)&gt;0,TRUE,FALSE)</formula>
    </cfRule>
  </conditionalFormatting>
  <conditionalFormatting sqref="E31:H31">
    <cfRule type="expression" dxfId="113" priority="10" stopIfTrue="1">
      <formula>IF(#REF!-INT(#REF!)&gt;0,TRUE,FALSE)</formula>
    </cfRule>
  </conditionalFormatting>
  <conditionalFormatting sqref="E33:H35">
    <cfRule type="expression" dxfId="112" priority="11" stopIfTrue="1">
      <formula>IF($B27-INT($B27)&gt;0,TRUE,FALSE)</formula>
    </cfRule>
  </conditionalFormatting>
  <conditionalFormatting sqref="E36:H36">
    <cfRule type="expression" dxfId="111" priority="12" stopIfTrue="1">
      <formula>IF(#REF!-INT(#REF!)&gt;0,TRUE,FALSE)</formula>
    </cfRule>
  </conditionalFormatting>
  <conditionalFormatting sqref="D42:D52">
    <cfRule type="cellIs" dxfId="110" priority="3" stopIfTrue="1" operator="equal">
      <formula>"NO ADMISIBLE"</formula>
    </cfRule>
  </conditionalFormatting>
  <conditionalFormatting sqref="E48:H52">
    <cfRule type="expression" dxfId="109" priority="2" stopIfTrue="1">
      <formula>IF($B41-INT($B41)&gt;0,TRUE,FALSE)</formula>
    </cfRule>
  </conditionalFormatting>
  <conditionalFormatting sqref="E43:H43">
    <cfRule type="expression" dxfId="108" priority="1" stopIfTrue="1">
      <formula>IF($B35-INT($B35)&gt;0,TRUE,FALSE)</formula>
    </cfRule>
  </conditionalFormatting>
  <conditionalFormatting sqref="E42:H42">
    <cfRule type="expression" dxfId="107" priority="4" stopIfTrue="1">
      <formula>IF(#REF!-INT(#REF!)&gt;0,TRUE,FALSE)</formula>
    </cfRule>
  </conditionalFormatting>
  <conditionalFormatting sqref="E44:H46">
    <cfRule type="expression" dxfId="106" priority="5" stopIfTrue="1">
      <formula>IF($B38-INT($B38)&gt;0,TRUE,FALSE)</formula>
    </cfRule>
  </conditionalFormatting>
  <conditionalFormatting sqref="E47:H47">
    <cfRule type="expression" dxfId="105" priority="6" stopIfTrue="1">
      <formula>IF(#REF!-INT(#REF!)&gt;0,TRUE,FALSE)</formula>
    </cfRule>
  </conditionalFormatting>
  <dataValidations count="1">
    <dataValidation type="list" allowBlank="1" showInputMessage="1" showErrorMessage="1" sqref="D9:D52 D6" xr:uid="{00000000-0002-0000-0600-000000000000}">
      <formula1>prueba</formula1>
    </dataValidation>
  </dataValidations>
  <pageMargins left="0.74803149606299213" right="0.74803149606299213" top="0.98425196850393704" bottom="0.98425196850393704" header="0" footer="0"/>
  <pageSetup paperSize="9" scale="85" orientation="landscape" r:id="rId1"/>
  <headerFooter alignWithMargins="0"/>
  <ignoredErrors>
    <ignoredError sqref="H20:H42"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MacroCF">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2"/>
  <dimension ref="C2:J52"/>
  <sheetViews>
    <sheetView workbookViewId="0">
      <selection activeCell="F74" sqref="F74:F75"/>
    </sheetView>
  </sheetViews>
  <sheetFormatPr baseColWidth="10" defaultRowHeight="12.75" x14ac:dyDescent="0.2"/>
  <cols>
    <col min="1" max="1" width="11.42578125" style="156" customWidth="1"/>
    <col min="2" max="2" width="11.28515625" style="156" customWidth="1"/>
    <col min="3" max="3" width="3.85546875" style="156" customWidth="1"/>
    <col min="4" max="4" width="34.140625" style="156" customWidth="1"/>
    <col min="5" max="5" width="42" style="145" customWidth="1"/>
    <col min="6" max="6" width="11.42578125" style="156"/>
    <col min="7" max="7" width="13.85546875" style="167" customWidth="1"/>
    <col min="8" max="8" width="9.7109375" style="168" customWidth="1"/>
    <col min="9" max="9" width="12.5703125" style="156" customWidth="1"/>
    <col min="10" max="10" width="12.7109375" style="156" customWidth="1"/>
    <col min="11" max="16384" width="11.42578125" style="156"/>
  </cols>
  <sheetData>
    <row r="2" spans="3:10" s="158" customFormat="1" ht="20.25" customHeight="1" x14ac:dyDescent="0.2">
      <c r="C2" s="364" t="s">
        <v>199</v>
      </c>
      <c r="D2" s="364"/>
      <c r="E2" s="364"/>
      <c r="G2" s="159"/>
      <c r="H2" s="160"/>
    </row>
    <row r="3" spans="3:10" s="158" customFormat="1" ht="18" customHeight="1" x14ac:dyDescent="0.2">
      <c r="C3" s="365" t="s">
        <v>213</v>
      </c>
      <c r="D3" s="365"/>
      <c r="E3" s="365"/>
      <c r="G3" s="159"/>
      <c r="H3" s="160"/>
    </row>
    <row r="4" spans="3:10" s="158" customFormat="1" ht="13.5" customHeight="1" x14ac:dyDescent="0.2">
      <c r="C4" s="366" t="str">
        <f>'Capacidad Financiera'!B4</f>
        <v>PROCESO SELECCIÓN ABREVIADA No. SA-MC-DT-SUC-001-2024</v>
      </c>
      <c r="D4" s="366"/>
      <c r="E4" s="366"/>
      <c r="G4" s="159"/>
      <c r="H4" s="160"/>
    </row>
    <row r="5" spans="3:10" s="158" customFormat="1" ht="13.5" customHeight="1" x14ac:dyDescent="0.2">
      <c r="C5" s="366" t="s">
        <v>225</v>
      </c>
      <c r="D5" s="366"/>
      <c r="E5" s="366"/>
      <c r="G5" s="159"/>
      <c r="H5" s="160"/>
    </row>
    <row r="6" spans="3:10" s="158" customFormat="1" ht="14.25" thickBot="1" x14ac:dyDescent="0.25">
      <c r="C6" s="161"/>
      <c r="D6" s="161"/>
      <c r="E6" s="165"/>
      <c r="G6" s="159"/>
      <c r="H6" s="160"/>
    </row>
    <row r="7" spans="3:10" ht="36" customHeight="1" x14ac:dyDescent="0.2">
      <c r="C7" s="367" t="s">
        <v>158</v>
      </c>
      <c r="D7" s="369" t="s">
        <v>157</v>
      </c>
      <c r="E7" s="375" t="s">
        <v>226</v>
      </c>
    </row>
    <row r="8" spans="3:10" ht="36" customHeight="1" thickBot="1" x14ac:dyDescent="0.25">
      <c r="C8" s="368"/>
      <c r="D8" s="370"/>
      <c r="E8" s="376"/>
    </row>
    <row r="9" spans="3:10" x14ac:dyDescent="0.2">
      <c r="C9" s="90">
        <f>+'Capacidad Financiera'!B12</f>
        <v>1</v>
      </c>
      <c r="D9" s="91">
        <f>IF(ISERROR(VLOOKUP(C9,'Capacidad Financiera'!$B$12:$AD$59206,2,0)),"",VLOOKUP(C9,'Capacidad Financiera'!$B$12:$AD$59206,2,0))</f>
        <v>0</v>
      </c>
      <c r="E9" s="198"/>
      <c r="G9" s="169"/>
      <c r="H9" s="170"/>
      <c r="I9" s="157"/>
      <c r="J9" s="157"/>
    </row>
    <row r="10" spans="3:10" ht="13.5" thickBot="1" x14ac:dyDescent="0.25">
      <c r="C10" s="95">
        <f>+'Capacidad Financiera'!B13</f>
        <v>1.1000000000000001</v>
      </c>
      <c r="D10" s="137" t="str">
        <f>IF(ISERROR(VLOOKUP(C10,'Capacidad Financiera'!$B$12:$AD$59206,2,0)),"",VLOOKUP(C10,'Capacidad Financiera'!$B$12:$AD$59206,2,0))</f>
        <v>CCC DE LA SABANA SAS</v>
      </c>
      <c r="E10" s="199">
        <v>715940911</v>
      </c>
    </row>
    <row r="11" spans="3:10" ht="13.5" hidden="1" thickBot="1" x14ac:dyDescent="0.25">
      <c r="C11" s="95" t="str">
        <f>+'Capacidad Financiera'!B14</f>
        <v/>
      </c>
      <c r="D11" s="137">
        <f>IF(ISERROR(VLOOKUP(C11,'Capacidad Financiera'!$B$12:$AD$59206,2,0)),"",VLOOKUP(C11,'Capacidad Financiera'!$B$12:$AD$59206,2,0))</f>
        <v>0</v>
      </c>
      <c r="E11" s="199"/>
    </row>
    <row r="12" spans="3:10" ht="13.5" hidden="1" thickBot="1" x14ac:dyDescent="0.25">
      <c r="C12" s="95" t="str">
        <f>+'Capacidad Financiera'!B15</f>
        <v/>
      </c>
      <c r="D12" s="137">
        <f>IF(ISERROR(VLOOKUP(C12,'Capacidad Financiera'!$B$12:$AD$59206,2,0)),"",VLOOKUP(C12,'Capacidad Financiera'!$B$12:$AD$59206,2,0))</f>
        <v>0</v>
      </c>
      <c r="E12" s="199"/>
    </row>
    <row r="13" spans="3:10" ht="13.5" hidden="1" thickBot="1" x14ac:dyDescent="0.25">
      <c r="C13" s="95" t="str">
        <f>+'Capacidad Financiera'!B16</f>
        <v/>
      </c>
      <c r="D13" s="137">
        <f>IF(ISERROR(VLOOKUP(C13,'Capacidad Financiera'!$B$12:$AD$59206,2,0)),"",VLOOKUP(C13,'Capacidad Financiera'!$B$12:$AD$59206,2,0))</f>
        <v>0</v>
      </c>
      <c r="E13" s="199"/>
    </row>
    <row r="14" spans="3:10" ht="13.5" hidden="1" thickBot="1" x14ac:dyDescent="0.25">
      <c r="C14" s="95" t="str">
        <f>+'Capacidad Financiera'!B17</f>
        <v/>
      </c>
      <c r="D14" s="137">
        <f>IF(ISERROR(VLOOKUP(C14,'Capacidad Financiera'!$B$12:$AD$59206,2,0)),"",VLOOKUP(C14,'Capacidad Financiera'!$B$12:$AD$59206,2,0))</f>
        <v>0</v>
      </c>
      <c r="E14" s="199"/>
    </row>
    <row r="15" spans="3:10" ht="13.5" hidden="1" thickBot="1" x14ac:dyDescent="0.25">
      <c r="C15" s="95" t="str">
        <f>+'Capacidad Financiera'!B18</f>
        <v/>
      </c>
      <c r="D15" s="137">
        <f>IF(ISERROR(VLOOKUP(C15,'Capacidad Financiera'!$B$12:$AD$59206,2,0)),"",VLOOKUP(C15,'Capacidad Financiera'!$B$12:$AD$59206,2,0))</f>
        <v>0</v>
      </c>
      <c r="E15" s="199"/>
    </row>
    <row r="16" spans="3:10" ht="13.5" hidden="1" thickBot="1" x14ac:dyDescent="0.25">
      <c r="C16" s="95" t="str">
        <f>+'Capacidad Financiera'!B19</f>
        <v/>
      </c>
      <c r="D16" s="137">
        <f>IF(ISERROR(VLOOKUP(C16,'Capacidad Financiera'!$B$12:$AD$59206,2,0)),"",VLOOKUP(C16,'Capacidad Financiera'!$B$12:$AD$59206,2,0))</f>
        <v>0</v>
      </c>
      <c r="E16" s="199"/>
    </row>
    <row r="17" spans="3:5" ht="13.5" hidden="1" thickBot="1" x14ac:dyDescent="0.25">
      <c r="C17" s="95" t="str">
        <f>+'Capacidad Financiera'!B20</f>
        <v/>
      </c>
      <c r="D17" s="137">
        <f>IF(ISERROR(VLOOKUP(C17,'Capacidad Financiera'!$B$12:$AD$59206,2,0)),"",VLOOKUP(C17,'Capacidad Financiera'!$B$12:$AD$59206,2,0))</f>
        <v>0</v>
      </c>
      <c r="E17" s="199"/>
    </row>
    <row r="18" spans="3:5" ht="13.5" hidden="1" thickBot="1" x14ac:dyDescent="0.25">
      <c r="C18" s="95" t="str">
        <f>+'Capacidad Financiera'!B21</f>
        <v/>
      </c>
      <c r="D18" s="137">
        <f>IF(ISERROR(VLOOKUP(C18,'Capacidad Financiera'!$B$12:$AD$59206,2,0)),"",VLOOKUP(C18,'Capacidad Financiera'!$B$12:$AD$59206,2,0))</f>
        <v>0</v>
      </c>
      <c r="E18" s="199"/>
    </row>
    <row r="19" spans="3:5" ht="13.5" hidden="1" thickBot="1" x14ac:dyDescent="0.25">
      <c r="C19" s="96" t="str">
        <f>+'Capacidad Financiera'!B22</f>
        <v/>
      </c>
      <c r="D19" s="97">
        <f>IF(ISERROR(VLOOKUP(C19,'Capacidad Financiera'!$B$12:$AD$59206,2,0)),"",VLOOKUP(C19,'Capacidad Financiera'!$B$12:$AD$59206,2,0))</f>
        <v>0</v>
      </c>
      <c r="E19" s="200"/>
    </row>
    <row r="20" spans="3:5" x14ac:dyDescent="0.2">
      <c r="C20" s="90">
        <v>2</v>
      </c>
      <c r="D20" s="91">
        <f>IF(ISERROR(VLOOKUP(C20,'Capacidad Financiera'!$B$12:$AD$59206,2,0)),"",VLOOKUP(C20,'Capacidad Financiera'!$B$12:$AD$59206,2,0))</f>
        <v>0</v>
      </c>
      <c r="E20" s="198"/>
    </row>
    <row r="21" spans="3:5" ht="13.5" thickBot="1" x14ac:dyDescent="0.25">
      <c r="C21" s="95">
        <f>+'Capacidad Financiera'!B24</f>
        <v>2.1</v>
      </c>
      <c r="D21" s="137" t="str">
        <f>IF(ISERROR(VLOOKUP(C21,'Capacidad Financiera'!$B$12:$AD$59206,2,0)),"",VLOOKUP(C21,'Capacidad Financiera'!$B$12:$AD$59206,2,0))</f>
        <v>GAMA INGENIERIA SAS</v>
      </c>
      <c r="E21" s="199">
        <v>0</v>
      </c>
    </row>
    <row r="22" spans="3:5" ht="13.5" hidden="1" thickBot="1" x14ac:dyDescent="0.25">
      <c r="C22" s="95" t="str">
        <f>+'Capacidad Financiera'!B25</f>
        <v/>
      </c>
      <c r="D22" s="137">
        <f>IF(ISERROR(VLOOKUP(C22,'Capacidad Financiera'!$B$12:$AD$59206,2,0)),"",VLOOKUP(C22,'Capacidad Financiera'!$B$12:$AD$59206,2,0))</f>
        <v>0</v>
      </c>
      <c r="E22" s="199"/>
    </row>
    <row r="23" spans="3:5" ht="13.5" hidden="1" thickBot="1" x14ac:dyDescent="0.25">
      <c r="C23" s="95" t="str">
        <f>+'Capacidad Financiera'!B26</f>
        <v/>
      </c>
      <c r="D23" s="137">
        <f>IF(ISERROR(VLOOKUP(C23,'Capacidad Financiera'!$B$12:$AD$59206,2,0)),"",VLOOKUP(C23,'Capacidad Financiera'!$B$12:$AD$59206,2,0))</f>
        <v>0</v>
      </c>
      <c r="E23" s="199"/>
    </row>
    <row r="24" spans="3:5" ht="13.5" hidden="1" thickBot="1" x14ac:dyDescent="0.25">
      <c r="C24" s="95" t="str">
        <f>+'Capacidad Financiera'!B27</f>
        <v/>
      </c>
      <c r="D24" s="137">
        <f>IF(ISERROR(VLOOKUP(C24,'Capacidad Financiera'!$B$12:$AD$59206,2,0)),"",VLOOKUP(C24,'Capacidad Financiera'!$B$12:$AD$59206,2,0))</f>
        <v>0</v>
      </c>
      <c r="E24" s="199"/>
    </row>
    <row r="25" spans="3:5" ht="13.5" hidden="1" thickBot="1" x14ac:dyDescent="0.25">
      <c r="C25" s="95" t="str">
        <f>+'Capacidad Financiera'!B28</f>
        <v/>
      </c>
      <c r="D25" s="137">
        <f>IF(ISERROR(VLOOKUP(C25,'Capacidad Financiera'!$B$12:$AD$59206,2,0)),"",VLOOKUP(C25,'Capacidad Financiera'!$B$12:$AD$59206,2,0))</f>
        <v>0</v>
      </c>
      <c r="E25" s="199"/>
    </row>
    <row r="26" spans="3:5" ht="13.5" hidden="1" thickBot="1" x14ac:dyDescent="0.25">
      <c r="C26" s="95" t="str">
        <f>+'Capacidad Financiera'!B29</f>
        <v/>
      </c>
      <c r="D26" s="137">
        <f>IF(ISERROR(VLOOKUP(C26,'Capacidad Financiera'!$B$12:$AD$59206,2,0)),"",VLOOKUP(C26,'Capacidad Financiera'!$B$12:$AD$59206,2,0))</f>
        <v>0</v>
      </c>
      <c r="E26" s="199"/>
    </row>
    <row r="27" spans="3:5" ht="13.5" hidden="1" thickBot="1" x14ac:dyDescent="0.25">
      <c r="C27" s="95" t="str">
        <f>+'Capacidad Financiera'!B30</f>
        <v/>
      </c>
      <c r="D27" s="137">
        <f>IF(ISERROR(VLOOKUP(C27,'Capacidad Financiera'!$B$12:$AD$59206,2,0)),"",VLOOKUP(C27,'Capacidad Financiera'!$B$12:$AD$59206,2,0))</f>
        <v>0</v>
      </c>
      <c r="E27" s="199"/>
    </row>
    <row r="28" spans="3:5" ht="13.5" hidden="1" thickBot="1" x14ac:dyDescent="0.25">
      <c r="C28" s="95" t="str">
        <f>+'Capacidad Financiera'!B31</f>
        <v/>
      </c>
      <c r="D28" s="137">
        <f>IF(ISERROR(VLOOKUP(C28,'Capacidad Financiera'!$B$12:$AD$59206,2,0)),"",VLOOKUP(C28,'Capacidad Financiera'!$B$12:$AD$59206,2,0))</f>
        <v>0</v>
      </c>
      <c r="E28" s="199"/>
    </row>
    <row r="29" spans="3:5" ht="13.5" hidden="1" thickBot="1" x14ac:dyDescent="0.25">
      <c r="C29" s="95" t="str">
        <f>+'Capacidad Financiera'!B32</f>
        <v/>
      </c>
      <c r="D29" s="137">
        <f>IF(ISERROR(VLOOKUP(C29,'Capacidad Financiera'!$B$12:$AD$59206,2,0)),"",VLOOKUP(C29,'Capacidad Financiera'!$B$12:$AD$59206,2,0))</f>
        <v>0</v>
      </c>
      <c r="E29" s="199"/>
    </row>
    <row r="30" spans="3:5" ht="13.5" hidden="1" thickBot="1" x14ac:dyDescent="0.25">
      <c r="C30" s="96" t="str">
        <f>+'Capacidad Financiera'!B33</f>
        <v/>
      </c>
      <c r="D30" s="97">
        <f>IF(ISERROR(VLOOKUP(C30,'Capacidad Financiera'!$B$12:$AD$59206,2,0)),"",VLOOKUP(C30,'Capacidad Financiera'!$B$12:$AD$59206,2,0))</f>
        <v>0</v>
      </c>
      <c r="E30" s="200"/>
    </row>
    <row r="31" spans="3:5" x14ac:dyDescent="0.2">
      <c r="C31" s="90">
        <v>3</v>
      </c>
      <c r="D31" s="91">
        <f>IF(ISERROR(VLOOKUP(C31,'Capacidad Financiera'!$B$12:$AD$59206,2,0)),"",VLOOKUP(C31,'Capacidad Financiera'!$B$12:$AD$59206,2,0))</f>
        <v>0</v>
      </c>
      <c r="E31" s="198"/>
    </row>
    <row r="32" spans="3:5" ht="13.5" thickBot="1" x14ac:dyDescent="0.25">
      <c r="C32" s="95">
        <f>+'Capacidad Financiera'!B35</f>
        <v>3.1</v>
      </c>
      <c r="D32" s="137" t="str">
        <f>IF(ISERROR(VLOOKUP(C32,'Capacidad Financiera'!$B$12:$AD$59206,2,0)),"",VLOOKUP(C32,'Capacidad Financiera'!$B$12:$AD$59206,2,0))</f>
        <v>RODRIGO MATABANCHOY BOLAÑOS</v>
      </c>
      <c r="E32" s="199">
        <v>209218953</v>
      </c>
    </row>
    <row r="33" spans="3:5" ht="13.5" hidden="1" thickBot="1" x14ac:dyDescent="0.25">
      <c r="C33" s="95" t="str">
        <f>+'Capacidad Financiera'!B36</f>
        <v/>
      </c>
      <c r="D33" s="137">
        <f>IF(ISERROR(VLOOKUP(C33,'Capacidad Financiera'!$B$12:$AD$59206,2,0)),"",VLOOKUP(C33,'Capacidad Financiera'!$B$12:$AD$59206,2,0))</f>
        <v>0</v>
      </c>
      <c r="E33" s="199"/>
    </row>
    <row r="34" spans="3:5" ht="13.5" hidden="1" thickBot="1" x14ac:dyDescent="0.25">
      <c r="C34" s="95" t="str">
        <f>+'Capacidad Financiera'!B37</f>
        <v/>
      </c>
      <c r="D34" s="137">
        <f>IF(ISERROR(VLOOKUP(C34,'Capacidad Financiera'!$B$12:$AD$59206,2,0)),"",VLOOKUP(C34,'Capacidad Financiera'!$B$12:$AD$59206,2,0))</f>
        <v>0</v>
      </c>
      <c r="E34" s="199"/>
    </row>
    <row r="35" spans="3:5" ht="13.5" hidden="1" thickBot="1" x14ac:dyDescent="0.25">
      <c r="C35" s="95" t="str">
        <f>+'Capacidad Financiera'!B38</f>
        <v/>
      </c>
      <c r="D35" s="137">
        <f>IF(ISERROR(VLOOKUP(C35,'Capacidad Financiera'!$B$12:$AD$59206,2,0)),"",VLOOKUP(C35,'Capacidad Financiera'!$B$12:$AD$59206,2,0))</f>
        <v>0</v>
      </c>
      <c r="E35" s="199"/>
    </row>
    <row r="36" spans="3:5" ht="13.5" hidden="1" thickBot="1" x14ac:dyDescent="0.25">
      <c r="C36" s="95" t="str">
        <f>+'Capacidad Financiera'!B39</f>
        <v/>
      </c>
      <c r="D36" s="137">
        <f>IF(ISERROR(VLOOKUP(C36,'Capacidad Financiera'!$B$12:$AD$59206,2,0)),"",VLOOKUP(C36,'Capacidad Financiera'!$B$12:$AD$59206,2,0))</f>
        <v>0</v>
      </c>
      <c r="E36" s="199"/>
    </row>
    <row r="37" spans="3:5" ht="13.5" hidden="1" thickBot="1" x14ac:dyDescent="0.25">
      <c r="C37" s="95" t="str">
        <f>+'Capacidad Financiera'!B40</f>
        <v/>
      </c>
      <c r="D37" s="137">
        <f>IF(ISERROR(VLOOKUP(C37,'Capacidad Financiera'!$B$12:$AD$59206,2,0)),"",VLOOKUP(C37,'Capacidad Financiera'!$B$12:$AD$59206,2,0))</f>
        <v>0</v>
      </c>
      <c r="E37" s="199"/>
    </row>
    <row r="38" spans="3:5" ht="13.5" hidden="1" thickBot="1" x14ac:dyDescent="0.25">
      <c r="C38" s="95" t="str">
        <f>+'Capacidad Financiera'!B41</f>
        <v/>
      </c>
      <c r="D38" s="137">
        <f>IF(ISERROR(VLOOKUP(C38,'Capacidad Financiera'!$B$12:$AD$59206,2,0)),"",VLOOKUP(C38,'Capacidad Financiera'!$B$12:$AD$59206,2,0))</f>
        <v>0</v>
      </c>
      <c r="E38" s="199"/>
    </row>
    <row r="39" spans="3:5" ht="13.5" hidden="1" thickBot="1" x14ac:dyDescent="0.25">
      <c r="C39" s="95" t="str">
        <f>+'Capacidad Financiera'!B42</f>
        <v/>
      </c>
      <c r="D39" s="137">
        <f>IF(ISERROR(VLOOKUP(C39,'Capacidad Financiera'!$B$12:$AD$59206,2,0)),"",VLOOKUP(C39,'Capacidad Financiera'!$B$12:$AD$59206,2,0))</f>
        <v>0</v>
      </c>
      <c r="E39" s="199"/>
    </row>
    <row r="40" spans="3:5" ht="13.5" hidden="1" thickBot="1" x14ac:dyDescent="0.25">
      <c r="C40" s="95" t="str">
        <f>+'Capacidad Financiera'!B43</f>
        <v/>
      </c>
      <c r="D40" s="137">
        <f>IF(ISERROR(VLOOKUP(C40,'Capacidad Financiera'!$B$12:$AD$59206,2,0)),"",VLOOKUP(C40,'Capacidad Financiera'!$B$12:$AD$59206,2,0))</f>
        <v>0</v>
      </c>
      <c r="E40" s="199"/>
    </row>
    <row r="41" spans="3:5" ht="13.5" hidden="1" thickBot="1" x14ac:dyDescent="0.25">
      <c r="C41" s="96" t="str">
        <f>+'Capacidad Financiera'!B44</f>
        <v/>
      </c>
      <c r="D41" s="97">
        <f>IF(ISERROR(VLOOKUP(C41,'Capacidad Financiera'!$B$12:$AD$59206,2,0)),"",VLOOKUP(C41,'Capacidad Financiera'!$B$12:$AD$59206,2,0))</f>
        <v>0</v>
      </c>
      <c r="E41" s="200"/>
    </row>
    <row r="42" spans="3:5" x14ac:dyDescent="0.2">
      <c r="C42" s="90">
        <v>4</v>
      </c>
      <c r="D42" s="91" t="str">
        <f>IF(ISERROR(VLOOKUP(C42,'Capacidad Financiera'!$B$12:$AD$59206,2,0)),"",VLOOKUP(C42,'Capacidad Financiera'!$B$12:$AD$59206,2,0))</f>
        <v>CONSORCIO CAFRA 2024</v>
      </c>
      <c r="E42" s="198"/>
    </row>
    <row r="43" spans="3:5" x14ac:dyDescent="0.2">
      <c r="C43" s="95">
        <f>+'Capacidad Financiera'!B46</f>
        <v>4.0999999999999996</v>
      </c>
      <c r="D43" s="137" t="str">
        <f>IF(ISERROR(VLOOKUP(C43,'Capacidad Financiera'!$B$12:$AD$59206,2,0)),"",VLOOKUP(C43,'Capacidad Financiera'!$B$12:$AD$59206,2,0))</f>
        <v>CARRILES DEL ORIENTE</v>
      </c>
      <c r="E43" s="199">
        <v>0</v>
      </c>
    </row>
    <row r="44" spans="3:5" ht="13.5" thickBot="1" x14ac:dyDescent="0.25">
      <c r="C44" s="96">
        <f>+'Capacidad Financiera'!B47</f>
        <v>4.1999999999999993</v>
      </c>
      <c r="D44" s="97" t="str">
        <f>IF(ISERROR(VLOOKUP(C44,'Capacidad Financiera'!$B$12:$AD$59206,2,0)),"",VLOOKUP(C44,'Capacidad Financiera'!$B$12:$AD$59206,2,0))</f>
        <v>HECTOR FRANCISCO SARMIENTO DURAN</v>
      </c>
      <c r="E44" s="200">
        <v>0</v>
      </c>
    </row>
    <row r="45" spans="3:5" hidden="1" x14ac:dyDescent="0.2">
      <c r="C45" s="283" t="str">
        <f>+'Capacidad Financiera'!B48</f>
        <v/>
      </c>
      <c r="D45" s="284">
        <f>IF(ISERROR(VLOOKUP(C45,'Capacidad Financiera'!$B$12:$AD$59206,2,0)),"",VLOOKUP(C45,'Capacidad Financiera'!$B$12:$AD$59206,2,0))</f>
        <v>0</v>
      </c>
      <c r="E45" s="291"/>
    </row>
    <row r="46" spans="3:5" hidden="1" x14ac:dyDescent="0.2">
      <c r="C46" s="95" t="str">
        <f>+'Capacidad Financiera'!B49</f>
        <v/>
      </c>
      <c r="D46" s="137">
        <f>IF(ISERROR(VLOOKUP(C46,'Capacidad Financiera'!$B$12:$AD$59206,2,0)),"",VLOOKUP(C46,'Capacidad Financiera'!$B$12:$AD$59206,2,0))</f>
        <v>0</v>
      </c>
      <c r="E46" s="199"/>
    </row>
    <row r="47" spans="3:5" hidden="1" x14ac:dyDescent="0.2">
      <c r="C47" s="95" t="str">
        <f>+'Capacidad Financiera'!B50</f>
        <v/>
      </c>
      <c r="D47" s="137">
        <f>IF(ISERROR(VLOOKUP(C47,'Capacidad Financiera'!$B$12:$AD$59206,2,0)),"",VLOOKUP(C47,'Capacidad Financiera'!$B$12:$AD$59206,2,0))</f>
        <v>0</v>
      </c>
      <c r="E47" s="199"/>
    </row>
    <row r="48" spans="3:5" hidden="1" x14ac:dyDescent="0.2">
      <c r="C48" s="95" t="str">
        <f>+'Capacidad Financiera'!B51</f>
        <v/>
      </c>
      <c r="D48" s="137">
        <f>IF(ISERROR(VLOOKUP(C48,'Capacidad Financiera'!$B$12:$AD$59206,2,0)),"",VLOOKUP(C48,'Capacidad Financiera'!$B$12:$AD$59206,2,0))</f>
        <v>0</v>
      </c>
      <c r="E48" s="199"/>
    </row>
    <row r="49" spans="3:5" hidden="1" x14ac:dyDescent="0.2">
      <c r="C49" s="95" t="str">
        <f>+'Capacidad Financiera'!B52</f>
        <v/>
      </c>
      <c r="D49" s="137">
        <f>IF(ISERROR(VLOOKUP(C49,'Capacidad Financiera'!$B$12:$AD$59206,2,0)),"",VLOOKUP(C49,'Capacidad Financiera'!$B$12:$AD$59206,2,0))</f>
        <v>0</v>
      </c>
      <c r="E49" s="199"/>
    </row>
    <row r="50" spans="3:5" hidden="1" x14ac:dyDescent="0.2">
      <c r="C50" s="95" t="str">
        <f>+'Capacidad Financiera'!B53</f>
        <v/>
      </c>
      <c r="D50" s="137">
        <f>IF(ISERROR(VLOOKUP(C50,'Capacidad Financiera'!$B$12:$AD$59206,2,0)),"",VLOOKUP(C50,'Capacidad Financiera'!$B$12:$AD$59206,2,0))</f>
        <v>0</v>
      </c>
      <c r="E50" s="199"/>
    </row>
    <row r="51" spans="3:5" hidden="1" x14ac:dyDescent="0.2">
      <c r="C51" s="95" t="str">
        <f>+'Capacidad Financiera'!B54</f>
        <v/>
      </c>
      <c r="D51" s="137">
        <f>IF(ISERROR(VLOOKUP(C51,'Capacidad Financiera'!$B$12:$AD$59206,2,0)),"",VLOOKUP(C51,'Capacidad Financiera'!$B$12:$AD$59206,2,0))</f>
        <v>0</v>
      </c>
      <c r="E51" s="199"/>
    </row>
    <row r="52" spans="3:5" ht="13.5" hidden="1" thickBot="1" x14ac:dyDescent="0.25">
      <c r="C52" s="96" t="str">
        <f>+'Capacidad Financiera'!B55</f>
        <v/>
      </c>
      <c r="D52" s="97">
        <f>IF(ISERROR(VLOOKUP(C52,'Capacidad Financiera'!$B$12:$AD$59206,2,0)),"",VLOOKUP(C52,'Capacidad Financiera'!$B$12:$AD$59206,2,0))</f>
        <v>0</v>
      </c>
      <c r="E52" s="200"/>
    </row>
  </sheetData>
  <sheetProtection formatCells="0" formatColumns="0" formatRows="0" insertColumns="0" insertRows="0" insertHyperlinks="0" deleteColumns="0" deleteRows="0" sort="0" autoFilter="0" pivotTables="0"/>
  <mergeCells count="7">
    <mergeCell ref="E7:E8"/>
    <mergeCell ref="C2:E2"/>
    <mergeCell ref="C3:E3"/>
    <mergeCell ref="C4:E4"/>
    <mergeCell ref="C5:E5"/>
    <mergeCell ref="C7:C8"/>
    <mergeCell ref="D7:D8"/>
  </mergeCells>
  <conditionalFormatting sqref="D9:D19 D6:E6">
    <cfRule type="cellIs" dxfId="104" priority="512" stopIfTrue="1" operator="equal">
      <formula>"NO ADMISIBLE"</formula>
    </cfRule>
  </conditionalFormatting>
  <conditionalFormatting sqref="E15:E19">
    <cfRule type="expression" dxfId="103" priority="510" stopIfTrue="1">
      <formula>IF($B8-INT($B8)&gt;0,TRUE,FALSE)</formula>
    </cfRule>
  </conditionalFormatting>
  <conditionalFormatting sqref="E10">
    <cfRule type="expression" dxfId="102" priority="506" stopIfTrue="1">
      <formula>IF($B2-INT($B2)&gt;0,TRUE,FALSE)</formula>
    </cfRule>
  </conditionalFormatting>
  <conditionalFormatting sqref="E9">
    <cfRule type="expression" dxfId="101" priority="513" stopIfTrue="1">
      <formula>IF(#REF!-INT(#REF!)&gt;0,TRUE,FALSE)</formula>
    </cfRule>
  </conditionalFormatting>
  <conditionalFormatting sqref="E11:E13">
    <cfRule type="expression" dxfId="100" priority="3021" stopIfTrue="1">
      <formula>IF($B5-INT($B5)&gt;0,TRUE,FALSE)</formula>
    </cfRule>
  </conditionalFormatting>
  <conditionalFormatting sqref="E14">
    <cfRule type="expression" dxfId="99" priority="3023" stopIfTrue="1">
      <formula>IF(#REF!-INT(#REF!)&gt;0,TRUE,FALSE)</formula>
    </cfRule>
  </conditionalFormatting>
  <conditionalFormatting sqref="D20:D30">
    <cfRule type="cellIs" dxfId="98" priority="15" stopIfTrue="1" operator="equal">
      <formula>"NO ADMISIBLE"</formula>
    </cfRule>
  </conditionalFormatting>
  <conditionalFormatting sqref="E26:E30">
    <cfRule type="expression" dxfId="97" priority="14" stopIfTrue="1">
      <formula>IF($B19-INT($B19)&gt;0,TRUE,FALSE)</formula>
    </cfRule>
  </conditionalFormatting>
  <conditionalFormatting sqref="E21">
    <cfRule type="expression" dxfId="96" priority="13" stopIfTrue="1">
      <formula>IF($B13-INT($B13)&gt;0,TRUE,FALSE)</formula>
    </cfRule>
  </conditionalFormatting>
  <conditionalFormatting sqref="E20">
    <cfRule type="expression" dxfId="95" priority="16" stopIfTrue="1">
      <formula>IF(#REF!-INT(#REF!)&gt;0,TRUE,FALSE)</formula>
    </cfRule>
  </conditionalFormatting>
  <conditionalFormatting sqref="E22:E24">
    <cfRule type="expression" dxfId="94" priority="17" stopIfTrue="1">
      <formula>IF($B16-INT($B16)&gt;0,TRUE,FALSE)</formula>
    </cfRule>
  </conditionalFormatting>
  <conditionalFormatting sqref="E25">
    <cfRule type="expression" dxfId="93" priority="18" stopIfTrue="1">
      <formula>IF(#REF!-INT(#REF!)&gt;0,TRUE,FALSE)</formula>
    </cfRule>
  </conditionalFormatting>
  <conditionalFormatting sqref="D31:D41">
    <cfRule type="cellIs" dxfId="92" priority="9" stopIfTrue="1" operator="equal">
      <formula>"NO ADMISIBLE"</formula>
    </cfRule>
  </conditionalFormatting>
  <conditionalFormatting sqref="E37:E41">
    <cfRule type="expression" dxfId="91" priority="8" stopIfTrue="1">
      <formula>IF($B30-INT($B30)&gt;0,TRUE,FALSE)</formula>
    </cfRule>
  </conditionalFormatting>
  <conditionalFormatting sqref="E32">
    <cfRule type="expression" dxfId="90" priority="7" stopIfTrue="1">
      <formula>IF($B24-INT($B24)&gt;0,TRUE,FALSE)</formula>
    </cfRule>
  </conditionalFormatting>
  <conditionalFormatting sqref="E31">
    <cfRule type="expression" dxfId="89" priority="10" stopIfTrue="1">
      <formula>IF(#REF!-INT(#REF!)&gt;0,TRUE,FALSE)</formula>
    </cfRule>
  </conditionalFormatting>
  <conditionalFormatting sqref="E33:E35">
    <cfRule type="expression" dxfId="88" priority="11" stopIfTrue="1">
      <formula>IF($B27-INT($B27)&gt;0,TRUE,FALSE)</formula>
    </cfRule>
  </conditionalFormatting>
  <conditionalFormatting sqref="E36">
    <cfRule type="expression" dxfId="87" priority="12" stopIfTrue="1">
      <formula>IF(#REF!-INT(#REF!)&gt;0,TRUE,FALSE)</formula>
    </cfRule>
  </conditionalFormatting>
  <conditionalFormatting sqref="D42:D52">
    <cfRule type="cellIs" dxfId="86" priority="3" stopIfTrue="1" operator="equal">
      <formula>"NO ADMISIBLE"</formula>
    </cfRule>
  </conditionalFormatting>
  <conditionalFormatting sqref="E48:E52">
    <cfRule type="expression" dxfId="85" priority="2" stopIfTrue="1">
      <formula>IF($B41-INT($B41)&gt;0,TRUE,FALSE)</formula>
    </cfRule>
  </conditionalFormatting>
  <conditionalFormatting sqref="E43">
    <cfRule type="expression" dxfId="84" priority="1" stopIfTrue="1">
      <formula>IF($B35-INT($B35)&gt;0,TRUE,FALSE)</formula>
    </cfRule>
  </conditionalFormatting>
  <conditionalFormatting sqref="E42">
    <cfRule type="expression" dxfId="83" priority="4" stopIfTrue="1">
      <formula>IF(#REF!-INT(#REF!)&gt;0,TRUE,FALSE)</formula>
    </cfRule>
  </conditionalFormatting>
  <conditionalFormatting sqref="E44:E46">
    <cfRule type="expression" dxfId="82" priority="5" stopIfTrue="1">
      <formula>IF($B38-INT($B38)&gt;0,TRUE,FALSE)</formula>
    </cfRule>
  </conditionalFormatting>
  <conditionalFormatting sqref="E47">
    <cfRule type="expression" dxfId="81" priority="6" stopIfTrue="1">
      <formula>IF(#REF!-INT(#REF!)&gt;0,TRUE,FALSE)</formula>
    </cfRule>
  </conditionalFormatting>
  <dataValidations count="1">
    <dataValidation type="list" allowBlank="1" showInputMessage="1" showErrorMessage="1" sqref="D9:D52 D6" xr:uid="{00000000-0002-0000-0700-000000000000}">
      <formula1>prueba</formula1>
    </dataValidation>
  </dataValidations>
  <pageMargins left="0.74803149606299213" right="0.74803149606299213" top="0.98425196850393704" bottom="0.98425196850393704" header="0" footer="0"/>
  <pageSetup paperSize="9" scale="9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2769" r:id="rId4" name="Button 1">
              <controlPr defaultSize="0" print="0" autoFill="0" autoPict="0" macro="[0]!MacroSaldoContratos">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C2:J52"/>
  <sheetViews>
    <sheetView workbookViewId="0">
      <selection activeCell="E53" sqref="E53"/>
    </sheetView>
  </sheetViews>
  <sheetFormatPr baseColWidth="10" defaultRowHeight="12.75" x14ac:dyDescent="0.2"/>
  <cols>
    <col min="1" max="1" width="11.42578125" style="156" customWidth="1"/>
    <col min="2" max="2" width="11.28515625" style="156" customWidth="1"/>
    <col min="3" max="3" width="3.85546875" style="156" customWidth="1"/>
    <col min="4" max="4" width="35.140625" style="156" customWidth="1"/>
    <col min="5" max="5" width="68.140625" style="145" customWidth="1"/>
    <col min="6" max="6" width="11.42578125" style="156"/>
    <col min="7" max="7" width="13.85546875" style="167" customWidth="1"/>
    <col min="8" max="8" width="9.7109375" style="168" customWidth="1"/>
    <col min="9" max="9" width="12.5703125" style="156" customWidth="1"/>
    <col min="10" max="10" width="12.7109375" style="156" customWidth="1"/>
    <col min="11" max="16384" width="11.42578125" style="156"/>
  </cols>
  <sheetData>
    <row r="2" spans="3:10" s="158" customFormat="1" ht="20.25" customHeight="1" x14ac:dyDescent="0.2">
      <c r="C2" s="364" t="s">
        <v>199</v>
      </c>
      <c r="D2" s="364"/>
      <c r="E2" s="364"/>
      <c r="G2" s="159"/>
      <c r="H2" s="160"/>
    </row>
    <row r="3" spans="3:10" s="158" customFormat="1" ht="18" customHeight="1" x14ac:dyDescent="0.2">
      <c r="C3" s="365" t="s">
        <v>213</v>
      </c>
      <c r="D3" s="365"/>
      <c r="E3" s="365"/>
      <c r="G3" s="159"/>
      <c r="H3" s="160"/>
    </row>
    <row r="4" spans="3:10" s="158" customFormat="1" ht="13.5" customHeight="1" x14ac:dyDescent="0.2">
      <c r="C4" s="366" t="str">
        <f>'Capacidad Financiera'!B4</f>
        <v>PROCESO SELECCIÓN ABREVIADA No. SA-MC-DT-SUC-001-2024</v>
      </c>
      <c r="D4" s="366"/>
      <c r="E4" s="366"/>
      <c r="G4" s="159"/>
      <c r="H4" s="160"/>
    </row>
    <row r="5" spans="3:10" s="158" customFormat="1" ht="13.5" customHeight="1" x14ac:dyDescent="0.2">
      <c r="C5" s="366" t="s">
        <v>227</v>
      </c>
      <c r="D5" s="366"/>
      <c r="E5" s="366"/>
      <c r="G5" s="159"/>
      <c r="H5" s="160"/>
    </row>
    <row r="6" spans="3:10" s="158" customFormat="1" ht="14.25" thickBot="1" x14ac:dyDescent="0.25">
      <c r="C6" s="161"/>
      <c r="D6" s="161"/>
      <c r="E6" s="165"/>
      <c r="G6" s="159"/>
      <c r="H6" s="160"/>
    </row>
    <row r="7" spans="3:10" ht="23.25" customHeight="1" x14ac:dyDescent="0.2">
      <c r="C7" s="367" t="s">
        <v>158</v>
      </c>
      <c r="D7" s="369" t="s">
        <v>157</v>
      </c>
      <c r="E7" s="204" t="s">
        <v>228</v>
      </c>
    </row>
    <row r="8" spans="3:10" ht="66" customHeight="1" thickBot="1" x14ac:dyDescent="0.25">
      <c r="C8" s="368"/>
      <c r="D8" s="370"/>
      <c r="E8" s="206" t="s">
        <v>232</v>
      </c>
    </row>
    <row r="9" spans="3:10" x14ac:dyDescent="0.2">
      <c r="C9" s="90">
        <f>+'Capacidad Financiera'!B12</f>
        <v>1</v>
      </c>
      <c r="D9" s="91">
        <f>IF(ISERROR(VLOOKUP(C9,'Capacidad Financiera'!$B$12:$AD$59206,2,0)),"",VLOOKUP(C9,'Capacidad Financiera'!$B$12:$AD$59206,2,0))</f>
        <v>0</v>
      </c>
      <c r="E9" s="198"/>
      <c r="G9" s="169"/>
      <c r="H9" s="170"/>
      <c r="I9" s="157"/>
      <c r="J9" s="157"/>
    </row>
    <row r="10" spans="3:10" ht="13.5" thickBot="1" x14ac:dyDescent="0.25">
      <c r="C10" s="95">
        <f>+'Capacidad Financiera'!B13</f>
        <v>1.1000000000000001</v>
      </c>
      <c r="D10" s="137" t="str">
        <f>IF(ISERROR(VLOOKUP(C10,'Capacidad Financiera'!$B$12:$AD$59206,2,0)),"",VLOOKUP(C10,'Capacidad Financiera'!$B$12:$AD$59206,2,0))</f>
        <v>CCC DE LA SABANA SAS</v>
      </c>
      <c r="E10" s="220">
        <v>2554350200</v>
      </c>
    </row>
    <row r="11" spans="3:10" ht="13.5" hidden="1" thickBot="1" x14ac:dyDescent="0.25">
      <c r="C11" s="95" t="str">
        <f>+'Capacidad Financiera'!B14</f>
        <v/>
      </c>
      <c r="D11" s="137">
        <f>IF(ISERROR(VLOOKUP(C11,'Capacidad Financiera'!$B$12:$AD$59206,2,0)),"",VLOOKUP(C11,'Capacidad Financiera'!$B$12:$AD$59206,2,0))</f>
        <v>0</v>
      </c>
      <c r="E11" s="220"/>
    </row>
    <row r="12" spans="3:10" ht="13.5" hidden="1" thickBot="1" x14ac:dyDescent="0.25">
      <c r="C12" s="95" t="str">
        <f>+'Capacidad Financiera'!B15</f>
        <v/>
      </c>
      <c r="D12" s="137">
        <f>IF(ISERROR(VLOOKUP(C12,'Capacidad Financiera'!$B$12:$AD$59206,2,0)),"",VLOOKUP(C12,'Capacidad Financiera'!$B$12:$AD$59206,2,0))</f>
        <v>0</v>
      </c>
      <c r="E12" s="220"/>
    </row>
    <row r="13" spans="3:10" ht="13.5" hidden="1" thickBot="1" x14ac:dyDescent="0.25">
      <c r="C13" s="95" t="str">
        <f>+'Capacidad Financiera'!B16</f>
        <v/>
      </c>
      <c r="D13" s="137">
        <f>IF(ISERROR(VLOOKUP(C13,'Capacidad Financiera'!$B$12:$AD$59206,2,0)),"",VLOOKUP(C13,'Capacidad Financiera'!$B$12:$AD$59206,2,0))</f>
        <v>0</v>
      </c>
      <c r="E13" s="220"/>
    </row>
    <row r="14" spans="3:10" ht="13.5" hidden="1" thickBot="1" x14ac:dyDescent="0.25">
      <c r="C14" s="95" t="str">
        <f>+'Capacidad Financiera'!B17</f>
        <v/>
      </c>
      <c r="D14" s="137">
        <f>IF(ISERROR(VLOOKUP(C14,'Capacidad Financiera'!$B$12:$AD$59206,2,0)),"",VLOOKUP(C14,'Capacidad Financiera'!$B$12:$AD$59206,2,0))</f>
        <v>0</v>
      </c>
      <c r="E14" s="220"/>
    </row>
    <row r="15" spans="3:10" ht="13.5" hidden="1" thickBot="1" x14ac:dyDescent="0.25">
      <c r="C15" s="95" t="str">
        <f>+'Capacidad Financiera'!B18</f>
        <v/>
      </c>
      <c r="D15" s="137">
        <f>IF(ISERROR(VLOOKUP(C15,'Capacidad Financiera'!$B$12:$AD$59206,2,0)),"",VLOOKUP(C15,'Capacidad Financiera'!$B$12:$AD$59206,2,0))</f>
        <v>0</v>
      </c>
      <c r="E15" s="220"/>
    </row>
    <row r="16" spans="3:10" ht="13.5" hidden="1" thickBot="1" x14ac:dyDescent="0.25">
      <c r="C16" s="95" t="str">
        <f>+'Capacidad Financiera'!B19</f>
        <v/>
      </c>
      <c r="D16" s="137">
        <f>IF(ISERROR(VLOOKUP(C16,'Capacidad Financiera'!$B$12:$AD$59206,2,0)),"",VLOOKUP(C16,'Capacidad Financiera'!$B$12:$AD$59206,2,0))</f>
        <v>0</v>
      </c>
      <c r="E16" s="220"/>
    </row>
    <row r="17" spans="3:5" ht="13.5" hidden="1" thickBot="1" x14ac:dyDescent="0.25">
      <c r="C17" s="95" t="str">
        <f>+'Capacidad Financiera'!B20</f>
        <v/>
      </c>
      <c r="D17" s="137">
        <f>IF(ISERROR(VLOOKUP(C17,'Capacidad Financiera'!$B$12:$AD$59206,2,0)),"",VLOOKUP(C17,'Capacidad Financiera'!$B$12:$AD$59206,2,0))</f>
        <v>0</v>
      </c>
      <c r="E17" s="220"/>
    </row>
    <row r="18" spans="3:5" ht="13.5" hidden="1" thickBot="1" x14ac:dyDescent="0.25">
      <c r="C18" s="95" t="str">
        <f>+'Capacidad Financiera'!B21</f>
        <v/>
      </c>
      <c r="D18" s="137">
        <f>IF(ISERROR(VLOOKUP(C18,'Capacidad Financiera'!$B$12:$AD$59206,2,0)),"",VLOOKUP(C18,'Capacidad Financiera'!$B$12:$AD$59206,2,0))</f>
        <v>0</v>
      </c>
      <c r="E18" s="220"/>
    </row>
    <row r="19" spans="3:5" ht="13.5" hidden="1" thickBot="1" x14ac:dyDescent="0.25">
      <c r="C19" s="96" t="str">
        <f>+'Capacidad Financiera'!B22</f>
        <v/>
      </c>
      <c r="D19" s="97">
        <f>IF(ISERROR(VLOOKUP(C19,'Capacidad Financiera'!$B$12:$AD$59206,2,0)),"",VLOOKUP(C19,'Capacidad Financiera'!$B$12:$AD$59206,2,0))</f>
        <v>0</v>
      </c>
      <c r="E19" s="221"/>
    </row>
    <row r="20" spans="3:5" x14ac:dyDescent="0.2">
      <c r="C20" s="90">
        <v>2</v>
      </c>
      <c r="D20" s="91">
        <f>IF(ISERROR(VLOOKUP(C20,'Capacidad Financiera'!$B$12:$AD$59206,2,0)),"",VLOOKUP(C20,'Capacidad Financiera'!$B$12:$AD$59206,2,0))</f>
        <v>0</v>
      </c>
      <c r="E20" s="198"/>
    </row>
    <row r="21" spans="3:5" ht="13.5" thickBot="1" x14ac:dyDescent="0.25">
      <c r="C21" s="95">
        <f>+'Capacidad Financiera'!B24</f>
        <v>2.1</v>
      </c>
      <c r="D21" s="137" t="str">
        <f>IF(ISERROR(VLOOKUP(C21,'Capacidad Financiera'!$B$12:$AD$59206,2,0)),"",VLOOKUP(C21,'Capacidad Financiera'!$B$12:$AD$59206,2,0))</f>
        <v>GAMA INGENIERIA SAS</v>
      </c>
      <c r="E21" s="220">
        <v>0</v>
      </c>
    </row>
    <row r="22" spans="3:5" ht="13.5" hidden="1" thickBot="1" x14ac:dyDescent="0.25">
      <c r="C22" s="95" t="str">
        <f>+'Capacidad Financiera'!B25</f>
        <v/>
      </c>
      <c r="D22" s="137">
        <f>IF(ISERROR(VLOOKUP(C22,'Capacidad Financiera'!$B$12:$AD$59206,2,0)),"",VLOOKUP(C22,'Capacidad Financiera'!$B$12:$AD$59206,2,0))</f>
        <v>0</v>
      </c>
      <c r="E22" s="220"/>
    </row>
    <row r="23" spans="3:5" ht="13.5" hidden="1" thickBot="1" x14ac:dyDescent="0.25">
      <c r="C23" s="95" t="str">
        <f>+'Capacidad Financiera'!B26</f>
        <v/>
      </c>
      <c r="D23" s="137">
        <f>IF(ISERROR(VLOOKUP(C23,'Capacidad Financiera'!$B$12:$AD$59206,2,0)),"",VLOOKUP(C23,'Capacidad Financiera'!$B$12:$AD$59206,2,0))</f>
        <v>0</v>
      </c>
      <c r="E23" s="220"/>
    </row>
    <row r="24" spans="3:5" ht="13.5" hidden="1" thickBot="1" x14ac:dyDescent="0.25">
      <c r="C24" s="95" t="str">
        <f>+'Capacidad Financiera'!B27</f>
        <v/>
      </c>
      <c r="D24" s="137">
        <f>IF(ISERROR(VLOOKUP(C24,'Capacidad Financiera'!$B$12:$AD$59206,2,0)),"",VLOOKUP(C24,'Capacidad Financiera'!$B$12:$AD$59206,2,0))</f>
        <v>0</v>
      </c>
      <c r="E24" s="220"/>
    </row>
    <row r="25" spans="3:5" ht="13.5" hidden="1" thickBot="1" x14ac:dyDescent="0.25">
      <c r="C25" s="95" t="str">
        <f>+'Capacidad Financiera'!B28</f>
        <v/>
      </c>
      <c r="D25" s="137">
        <f>IF(ISERROR(VLOOKUP(C25,'Capacidad Financiera'!$B$12:$AD$59206,2,0)),"",VLOOKUP(C25,'Capacidad Financiera'!$B$12:$AD$59206,2,0))</f>
        <v>0</v>
      </c>
      <c r="E25" s="220"/>
    </row>
    <row r="26" spans="3:5" ht="13.5" hidden="1" thickBot="1" x14ac:dyDescent="0.25">
      <c r="C26" s="95" t="str">
        <f>+'Capacidad Financiera'!B29</f>
        <v/>
      </c>
      <c r="D26" s="137">
        <f>IF(ISERROR(VLOOKUP(C26,'Capacidad Financiera'!$B$12:$AD$59206,2,0)),"",VLOOKUP(C26,'Capacidad Financiera'!$B$12:$AD$59206,2,0))</f>
        <v>0</v>
      </c>
      <c r="E26" s="220"/>
    </row>
    <row r="27" spans="3:5" ht="13.5" hidden="1" thickBot="1" x14ac:dyDescent="0.25">
      <c r="C27" s="95" t="str">
        <f>+'Capacidad Financiera'!B30</f>
        <v/>
      </c>
      <c r="D27" s="137">
        <f>IF(ISERROR(VLOOKUP(C27,'Capacidad Financiera'!$B$12:$AD$59206,2,0)),"",VLOOKUP(C27,'Capacidad Financiera'!$B$12:$AD$59206,2,0))</f>
        <v>0</v>
      </c>
      <c r="E27" s="220"/>
    </row>
    <row r="28" spans="3:5" ht="13.5" hidden="1" thickBot="1" x14ac:dyDescent="0.25">
      <c r="C28" s="95" t="str">
        <f>+'Capacidad Financiera'!B31</f>
        <v/>
      </c>
      <c r="D28" s="137">
        <f>IF(ISERROR(VLOOKUP(C28,'Capacidad Financiera'!$B$12:$AD$59206,2,0)),"",VLOOKUP(C28,'Capacidad Financiera'!$B$12:$AD$59206,2,0))</f>
        <v>0</v>
      </c>
      <c r="E28" s="220"/>
    </row>
    <row r="29" spans="3:5" ht="13.5" hidden="1" thickBot="1" x14ac:dyDescent="0.25">
      <c r="C29" s="95" t="str">
        <f>+'Capacidad Financiera'!B32</f>
        <v/>
      </c>
      <c r="D29" s="137">
        <f>IF(ISERROR(VLOOKUP(C29,'Capacidad Financiera'!$B$12:$AD$59206,2,0)),"",VLOOKUP(C29,'Capacidad Financiera'!$B$12:$AD$59206,2,0))</f>
        <v>0</v>
      </c>
      <c r="E29" s="220"/>
    </row>
    <row r="30" spans="3:5" ht="13.5" hidden="1" thickBot="1" x14ac:dyDescent="0.25">
      <c r="C30" s="96" t="str">
        <f>+'Capacidad Financiera'!B33</f>
        <v/>
      </c>
      <c r="D30" s="97">
        <f>IF(ISERROR(VLOOKUP(C30,'Capacidad Financiera'!$B$12:$AD$59206,2,0)),"",VLOOKUP(C30,'Capacidad Financiera'!$B$12:$AD$59206,2,0))</f>
        <v>0</v>
      </c>
      <c r="E30" s="221"/>
    </row>
    <row r="31" spans="3:5" x14ac:dyDescent="0.2">
      <c r="C31" s="90">
        <v>3</v>
      </c>
      <c r="D31" s="91">
        <f>IF(ISERROR(VLOOKUP(C31,'Capacidad Financiera'!$B$12:$AD$59206,2,0)),"",VLOOKUP(C31,'Capacidad Financiera'!$B$12:$AD$59206,2,0))</f>
        <v>0</v>
      </c>
      <c r="E31" s="198"/>
    </row>
    <row r="32" spans="3:5" ht="13.5" thickBot="1" x14ac:dyDescent="0.25">
      <c r="C32" s="95">
        <f>+'Capacidad Financiera'!B35</f>
        <v>3.1</v>
      </c>
      <c r="D32" s="137" t="str">
        <f>IF(ISERROR(VLOOKUP(C32,'Capacidad Financiera'!$B$12:$AD$59206,2,0)),"",VLOOKUP(C32,'Capacidad Financiera'!$B$12:$AD$59206,2,0))</f>
        <v>RODRIGO MATABANCHOY BOLAÑOS</v>
      </c>
      <c r="E32" s="253">
        <v>0</v>
      </c>
    </row>
    <row r="33" spans="3:5" ht="13.5" hidden="1" thickBot="1" x14ac:dyDescent="0.25">
      <c r="C33" s="95" t="str">
        <f>+'Capacidad Financiera'!B36</f>
        <v/>
      </c>
      <c r="D33" s="137">
        <f>IF(ISERROR(VLOOKUP(C33,'Capacidad Financiera'!$B$12:$AD$59206,2,0)),"",VLOOKUP(C33,'Capacidad Financiera'!$B$12:$AD$59206,2,0))</f>
        <v>0</v>
      </c>
      <c r="E33" s="220"/>
    </row>
    <row r="34" spans="3:5" ht="13.5" hidden="1" thickBot="1" x14ac:dyDescent="0.25">
      <c r="C34" s="95" t="str">
        <f>+'Capacidad Financiera'!B37</f>
        <v/>
      </c>
      <c r="D34" s="137">
        <f>IF(ISERROR(VLOOKUP(C34,'Capacidad Financiera'!$B$12:$AD$59206,2,0)),"",VLOOKUP(C34,'Capacidad Financiera'!$B$12:$AD$59206,2,0))</f>
        <v>0</v>
      </c>
      <c r="E34" s="220"/>
    </row>
    <row r="35" spans="3:5" ht="13.5" hidden="1" thickBot="1" x14ac:dyDescent="0.25">
      <c r="C35" s="95" t="str">
        <f>+'Capacidad Financiera'!B38</f>
        <v/>
      </c>
      <c r="D35" s="137">
        <f>IF(ISERROR(VLOOKUP(C35,'Capacidad Financiera'!$B$12:$AD$59206,2,0)),"",VLOOKUP(C35,'Capacidad Financiera'!$B$12:$AD$59206,2,0))</f>
        <v>0</v>
      </c>
      <c r="E35" s="220"/>
    </row>
    <row r="36" spans="3:5" ht="13.5" hidden="1" thickBot="1" x14ac:dyDescent="0.25">
      <c r="C36" s="95" t="str">
        <f>+'Capacidad Financiera'!B39</f>
        <v/>
      </c>
      <c r="D36" s="137">
        <f>IF(ISERROR(VLOOKUP(C36,'Capacidad Financiera'!$B$12:$AD$59206,2,0)),"",VLOOKUP(C36,'Capacidad Financiera'!$B$12:$AD$59206,2,0))</f>
        <v>0</v>
      </c>
      <c r="E36" s="220"/>
    </row>
    <row r="37" spans="3:5" ht="13.5" hidden="1" thickBot="1" x14ac:dyDescent="0.25">
      <c r="C37" s="95" t="str">
        <f>+'Capacidad Financiera'!B40</f>
        <v/>
      </c>
      <c r="D37" s="137">
        <f>IF(ISERROR(VLOOKUP(C37,'Capacidad Financiera'!$B$12:$AD$59206,2,0)),"",VLOOKUP(C37,'Capacidad Financiera'!$B$12:$AD$59206,2,0))</f>
        <v>0</v>
      </c>
      <c r="E37" s="220"/>
    </row>
    <row r="38" spans="3:5" ht="13.5" hidden="1" thickBot="1" x14ac:dyDescent="0.25">
      <c r="C38" s="95" t="str">
        <f>+'Capacidad Financiera'!B41</f>
        <v/>
      </c>
      <c r="D38" s="137">
        <f>IF(ISERROR(VLOOKUP(C38,'Capacidad Financiera'!$B$12:$AD$59206,2,0)),"",VLOOKUP(C38,'Capacidad Financiera'!$B$12:$AD$59206,2,0))</f>
        <v>0</v>
      </c>
      <c r="E38" s="220"/>
    </row>
    <row r="39" spans="3:5" ht="13.5" hidden="1" thickBot="1" x14ac:dyDescent="0.25">
      <c r="C39" s="95" t="str">
        <f>+'Capacidad Financiera'!B42</f>
        <v/>
      </c>
      <c r="D39" s="137">
        <f>IF(ISERROR(VLOOKUP(C39,'Capacidad Financiera'!$B$12:$AD$59206,2,0)),"",VLOOKUP(C39,'Capacidad Financiera'!$B$12:$AD$59206,2,0))</f>
        <v>0</v>
      </c>
      <c r="E39" s="220"/>
    </row>
    <row r="40" spans="3:5" ht="13.5" hidden="1" thickBot="1" x14ac:dyDescent="0.25">
      <c r="C40" s="95" t="str">
        <f>+'Capacidad Financiera'!B43</f>
        <v/>
      </c>
      <c r="D40" s="137">
        <f>IF(ISERROR(VLOOKUP(C40,'Capacidad Financiera'!$B$12:$AD$59206,2,0)),"",VLOOKUP(C40,'Capacidad Financiera'!$B$12:$AD$59206,2,0))</f>
        <v>0</v>
      </c>
      <c r="E40" s="220"/>
    </row>
    <row r="41" spans="3:5" ht="13.5" hidden="1" thickBot="1" x14ac:dyDescent="0.25">
      <c r="C41" s="96" t="str">
        <f>+'Capacidad Financiera'!B44</f>
        <v/>
      </c>
      <c r="D41" s="97">
        <f>IF(ISERROR(VLOOKUP(C41,'Capacidad Financiera'!$B$12:$AD$59206,2,0)),"",VLOOKUP(C41,'Capacidad Financiera'!$B$12:$AD$59206,2,0))</f>
        <v>0</v>
      </c>
      <c r="E41" s="221"/>
    </row>
    <row r="42" spans="3:5" x14ac:dyDescent="0.2">
      <c r="C42" s="90">
        <v>4</v>
      </c>
      <c r="D42" s="91" t="str">
        <f>IF(ISERROR(VLOOKUP(C42,'Capacidad Financiera'!$B$12:$AD$59206,2,0)),"",VLOOKUP(C42,'Capacidad Financiera'!$B$12:$AD$59206,2,0))</f>
        <v>CONSORCIO CAFRA 2024</v>
      </c>
      <c r="E42" s="198"/>
    </row>
    <row r="43" spans="3:5" x14ac:dyDescent="0.2">
      <c r="C43" s="95">
        <f>+'Capacidad Financiera'!B46</f>
        <v>4.0999999999999996</v>
      </c>
      <c r="D43" s="137" t="str">
        <f>IF(ISERROR(VLOOKUP(C43,'Capacidad Financiera'!$B$12:$AD$59206,2,0)),"",VLOOKUP(C43,'Capacidad Financiera'!$B$12:$AD$59206,2,0))</f>
        <v>CARRILES DEL ORIENTE</v>
      </c>
      <c r="E43" s="220">
        <v>0</v>
      </c>
    </row>
    <row r="44" spans="3:5" ht="13.5" thickBot="1" x14ac:dyDescent="0.25">
      <c r="C44" s="96">
        <f>+'Capacidad Financiera'!B47</f>
        <v>4.1999999999999993</v>
      </c>
      <c r="D44" s="97" t="str">
        <f>IF(ISERROR(VLOOKUP(C44,'Capacidad Financiera'!$B$12:$AD$59206,2,0)),"",VLOOKUP(C44,'Capacidad Financiera'!$B$12:$AD$59206,2,0))</f>
        <v>HECTOR FRANCISCO SARMIENTO DURAN</v>
      </c>
      <c r="E44" s="221">
        <v>0</v>
      </c>
    </row>
    <row r="45" spans="3:5" hidden="1" x14ac:dyDescent="0.2">
      <c r="C45" s="283" t="str">
        <f>+'Capacidad Financiera'!B48</f>
        <v/>
      </c>
      <c r="D45" s="284">
        <f>IF(ISERROR(VLOOKUP(C45,'Capacidad Financiera'!$B$12:$AD$59206,2,0)),"",VLOOKUP(C45,'Capacidad Financiera'!$B$12:$AD$59206,2,0))</f>
        <v>0</v>
      </c>
      <c r="E45" s="292"/>
    </row>
    <row r="46" spans="3:5" hidden="1" x14ac:dyDescent="0.2">
      <c r="C46" s="95" t="str">
        <f>+'Capacidad Financiera'!B49</f>
        <v/>
      </c>
      <c r="D46" s="137">
        <f>IF(ISERROR(VLOOKUP(C46,'Capacidad Financiera'!$B$12:$AD$59206,2,0)),"",VLOOKUP(C46,'Capacidad Financiera'!$B$12:$AD$59206,2,0))</f>
        <v>0</v>
      </c>
      <c r="E46" s="220"/>
    </row>
    <row r="47" spans="3:5" hidden="1" x14ac:dyDescent="0.2">
      <c r="C47" s="95" t="str">
        <f>+'Capacidad Financiera'!B50</f>
        <v/>
      </c>
      <c r="D47" s="137">
        <f>IF(ISERROR(VLOOKUP(C47,'Capacidad Financiera'!$B$12:$AD$59206,2,0)),"",VLOOKUP(C47,'Capacidad Financiera'!$B$12:$AD$59206,2,0))</f>
        <v>0</v>
      </c>
      <c r="E47" s="220"/>
    </row>
    <row r="48" spans="3:5" hidden="1" x14ac:dyDescent="0.2">
      <c r="C48" s="95" t="str">
        <f>+'Capacidad Financiera'!B51</f>
        <v/>
      </c>
      <c r="D48" s="137">
        <f>IF(ISERROR(VLOOKUP(C48,'Capacidad Financiera'!$B$12:$AD$59206,2,0)),"",VLOOKUP(C48,'Capacidad Financiera'!$B$12:$AD$59206,2,0))</f>
        <v>0</v>
      </c>
      <c r="E48" s="220"/>
    </row>
    <row r="49" spans="3:5" hidden="1" x14ac:dyDescent="0.2">
      <c r="C49" s="95" t="str">
        <f>+'Capacidad Financiera'!B52</f>
        <v/>
      </c>
      <c r="D49" s="137">
        <f>IF(ISERROR(VLOOKUP(C49,'Capacidad Financiera'!$B$12:$AD$59206,2,0)),"",VLOOKUP(C49,'Capacidad Financiera'!$B$12:$AD$59206,2,0))</f>
        <v>0</v>
      </c>
      <c r="E49" s="220"/>
    </row>
    <row r="50" spans="3:5" hidden="1" x14ac:dyDescent="0.2">
      <c r="C50" s="95" t="str">
        <f>+'Capacidad Financiera'!B53</f>
        <v/>
      </c>
      <c r="D50" s="137">
        <f>IF(ISERROR(VLOOKUP(C50,'Capacidad Financiera'!$B$12:$AD$59206,2,0)),"",VLOOKUP(C50,'Capacidad Financiera'!$B$12:$AD$59206,2,0))</f>
        <v>0</v>
      </c>
      <c r="E50" s="220"/>
    </row>
    <row r="51" spans="3:5" hidden="1" x14ac:dyDescent="0.2">
      <c r="C51" s="95" t="str">
        <f>+'Capacidad Financiera'!B54</f>
        <v/>
      </c>
      <c r="D51" s="137">
        <f>IF(ISERROR(VLOOKUP(C51,'Capacidad Financiera'!$B$12:$AD$59206,2,0)),"",VLOOKUP(C51,'Capacidad Financiera'!$B$12:$AD$59206,2,0))</f>
        <v>0</v>
      </c>
      <c r="E51" s="220"/>
    </row>
    <row r="52" spans="3:5" ht="13.5" hidden="1" thickBot="1" x14ac:dyDescent="0.25">
      <c r="C52" s="96" t="str">
        <f>+'Capacidad Financiera'!B55</f>
        <v/>
      </c>
      <c r="D52" s="97">
        <f>IF(ISERROR(VLOOKUP(C52,'Capacidad Financiera'!$B$12:$AD$59206,2,0)),"",VLOOKUP(C52,'Capacidad Financiera'!$B$12:$AD$59206,2,0))</f>
        <v>0</v>
      </c>
      <c r="E52" s="221"/>
    </row>
  </sheetData>
  <sheetProtection formatCells="0" formatColumns="0" formatRows="0" insertColumns="0" insertRows="0" insertHyperlinks="0" deleteColumns="0" deleteRows="0" sort="0" autoFilter="0" pivotTables="0"/>
  <mergeCells count="6">
    <mergeCell ref="C2:E2"/>
    <mergeCell ref="C3:E3"/>
    <mergeCell ref="C4:E4"/>
    <mergeCell ref="C5:E5"/>
    <mergeCell ref="C7:C8"/>
    <mergeCell ref="D7:D8"/>
  </mergeCells>
  <conditionalFormatting sqref="D9:D19 D6:E6">
    <cfRule type="cellIs" dxfId="80" priority="354" stopIfTrue="1" operator="equal">
      <formula>"NO ADMISIBLE"</formula>
    </cfRule>
  </conditionalFormatting>
  <conditionalFormatting sqref="E10">
    <cfRule type="expression" dxfId="79" priority="348" stopIfTrue="1">
      <formula>IF($B2-INT($B2)&gt;0,TRUE,FALSE)</formula>
    </cfRule>
  </conditionalFormatting>
  <conditionalFormatting sqref="E9">
    <cfRule type="expression" dxfId="78" priority="355" stopIfTrue="1">
      <formula>IF(#REF!-INT(#REF!)&gt;0,TRUE,FALSE)</formula>
    </cfRule>
  </conditionalFormatting>
  <conditionalFormatting sqref="E11:E19">
    <cfRule type="expression" dxfId="77" priority="338" stopIfTrue="1">
      <formula>IF($B3-INT($B3)&gt;0,TRUE,FALSE)</formula>
    </cfRule>
  </conditionalFormatting>
  <conditionalFormatting sqref="D20:D30">
    <cfRule type="cellIs" dxfId="76" priority="11" stopIfTrue="1" operator="equal">
      <formula>"NO ADMISIBLE"</formula>
    </cfRule>
  </conditionalFormatting>
  <conditionalFormatting sqref="E21">
    <cfRule type="expression" dxfId="75" priority="10" stopIfTrue="1">
      <formula>IF($B13-INT($B13)&gt;0,TRUE,FALSE)</formula>
    </cfRule>
  </conditionalFormatting>
  <conditionalFormatting sqref="E20">
    <cfRule type="expression" dxfId="74" priority="12" stopIfTrue="1">
      <formula>IF(#REF!-INT(#REF!)&gt;0,TRUE,FALSE)</formula>
    </cfRule>
  </conditionalFormatting>
  <conditionalFormatting sqref="E22:E30">
    <cfRule type="expression" dxfId="73" priority="9" stopIfTrue="1">
      <formula>IF($B14-INT($B14)&gt;0,TRUE,FALSE)</formula>
    </cfRule>
  </conditionalFormatting>
  <conditionalFormatting sqref="D31:D41">
    <cfRule type="cellIs" dxfId="72" priority="7" stopIfTrue="1" operator="equal">
      <formula>"NO ADMISIBLE"</formula>
    </cfRule>
  </conditionalFormatting>
  <conditionalFormatting sqref="E32">
    <cfRule type="expression" dxfId="71" priority="6" stopIfTrue="1">
      <formula>IF($B24-INT($B24)&gt;0,TRUE,FALSE)</formula>
    </cfRule>
  </conditionalFormatting>
  <conditionalFormatting sqref="E31">
    <cfRule type="expression" dxfId="70" priority="8" stopIfTrue="1">
      <formula>IF(#REF!-INT(#REF!)&gt;0,TRUE,FALSE)</formula>
    </cfRule>
  </conditionalFormatting>
  <conditionalFormatting sqref="E33:E41">
    <cfRule type="expression" dxfId="69" priority="5" stopIfTrue="1">
      <formula>IF($B25-INT($B25)&gt;0,TRUE,FALSE)</formula>
    </cfRule>
  </conditionalFormatting>
  <conditionalFormatting sqref="D42:D52">
    <cfRule type="cellIs" dxfId="68" priority="3" stopIfTrue="1" operator="equal">
      <formula>"NO ADMISIBLE"</formula>
    </cfRule>
  </conditionalFormatting>
  <conditionalFormatting sqref="E43">
    <cfRule type="expression" dxfId="67" priority="2" stopIfTrue="1">
      <formula>IF($B35-INT($B35)&gt;0,TRUE,FALSE)</formula>
    </cfRule>
  </conditionalFormatting>
  <conditionalFormatting sqref="E42">
    <cfRule type="expression" dxfId="66" priority="4" stopIfTrue="1">
      <formula>IF(#REF!-INT(#REF!)&gt;0,TRUE,FALSE)</formula>
    </cfRule>
  </conditionalFormatting>
  <conditionalFormatting sqref="E44:E52">
    <cfRule type="expression" dxfId="65" priority="1" stopIfTrue="1">
      <formula>IF($B36-INT($B36)&gt;0,TRUE,FALSE)</formula>
    </cfRule>
  </conditionalFormatting>
  <dataValidations count="1">
    <dataValidation type="list" allowBlank="1" showInputMessage="1" showErrorMessage="1" sqref="D9:D52 D6" xr:uid="{00000000-0002-0000-0800-000000000000}">
      <formula1>prueba</formula1>
    </dataValidation>
  </dataValidations>
  <pageMargins left="0.74803149606299213" right="0.74803149606299213" top="0.98425196850393704" bottom="0.98425196850393704" header="0" footer="0"/>
  <pageSetup paperSize="9" scale="9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MacroCapOrganizacion">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7"/>
  <dimension ref="C2:X58"/>
  <sheetViews>
    <sheetView tabSelected="1" workbookViewId="0">
      <selection activeCell="C63" sqref="C63"/>
    </sheetView>
  </sheetViews>
  <sheetFormatPr baseColWidth="10" defaultRowHeight="12.75" x14ac:dyDescent="0.2"/>
  <cols>
    <col min="1" max="1" width="11.42578125" style="156" customWidth="1"/>
    <col min="2" max="2" width="11.28515625" style="156" customWidth="1"/>
    <col min="3" max="3" width="3.85546875" style="156" customWidth="1"/>
    <col min="4" max="4" width="29.42578125" style="156" customWidth="1"/>
    <col min="5" max="5" width="11.5703125" style="156" customWidth="1"/>
    <col min="6" max="6" width="3.85546875" style="156" customWidth="1"/>
    <col min="7" max="7" width="17" style="156" customWidth="1"/>
    <col min="8" max="8" width="15.5703125" style="156" customWidth="1"/>
    <col min="9" max="9" width="3.7109375" style="156" customWidth="1"/>
    <col min="10" max="10" width="29" style="156" customWidth="1"/>
    <col min="11" max="11" width="16.5703125" style="145" customWidth="1"/>
    <col min="12" max="12" width="14.5703125" style="145" customWidth="1"/>
    <col min="13" max="13" width="8.85546875" style="145" hidden="1" customWidth="1"/>
    <col min="14" max="14" width="14.5703125" style="145" hidden="1" customWidth="1"/>
    <col min="15" max="15" width="13.140625" style="145" customWidth="1"/>
    <col min="16" max="16" width="13.85546875" style="145" bestFit="1" customWidth="1"/>
    <col min="17" max="17" width="20.7109375" style="145" customWidth="1"/>
    <col min="18" max="18" width="26.42578125" style="145" customWidth="1"/>
    <col min="19" max="19" width="29.42578125" style="156" customWidth="1"/>
    <col min="20" max="20" width="11.42578125" style="156"/>
    <col min="21" max="21" width="13.85546875" style="167" customWidth="1"/>
    <col min="22" max="22" width="9.7109375" style="168" customWidth="1"/>
    <col min="23" max="23" width="12.5703125" style="156" customWidth="1"/>
    <col min="24" max="24" width="12.7109375" style="156" customWidth="1"/>
    <col min="25" max="16384" width="11.42578125" style="156"/>
  </cols>
  <sheetData>
    <row r="2" spans="3:24" s="158" customFormat="1" ht="20.25" customHeight="1" x14ac:dyDescent="0.2">
      <c r="C2" s="364" t="s">
        <v>199</v>
      </c>
      <c r="D2" s="364"/>
      <c r="E2" s="364"/>
      <c r="F2" s="364"/>
      <c r="G2" s="364"/>
      <c r="H2" s="364"/>
      <c r="I2" s="364"/>
      <c r="J2" s="364"/>
      <c r="K2" s="364"/>
      <c r="L2" s="364"/>
      <c r="M2" s="364"/>
      <c r="N2" s="364"/>
      <c r="O2" s="364"/>
      <c r="P2" s="364"/>
      <c r="Q2" s="364"/>
      <c r="R2" s="364"/>
      <c r="S2" s="364"/>
      <c r="U2" s="159"/>
      <c r="V2" s="160"/>
    </row>
    <row r="3" spans="3:24" s="158" customFormat="1" ht="18" customHeight="1" x14ac:dyDescent="0.2">
      <c r="C3" s="365" t="s">
        <v>213</v>
      </c>
      <c r="D3" s="365"/>
      <c r="E3" s="365"/>
      <c r="F3" s="365"/>
      <c r="G3" s="365"/>
      <c r="H3" s="365"/>
      <c r="I3" s="365"/>
      <c r="J3" s="365"/>
      <c r="K3" s="365"/>
      <c r="L3" s="365"/>
      <c r="M3" s="365"/>
      <c r="N3" s="365"/>
      <c r="O3" s="365"/>
      <c r="P3" s="365"/>
      <c r="Q3" s="365"/>
      <c r="R3" s="365"/>
      <c r="S3" s="365"/>
      <c r="U3" s="159"/>
      <c r="V3" s="160"/>
    </row>
    <row r="4" spans="3:24" s="158" customFormat="1" ht="13.5" customHeight="1" x14ac:dyDescent="0.2">
      <c r="C4" s="366" t="str">
        <f>'Capacidad Financiera'!B4</f>
        <v>PROCESO SELECCIÓN ABREVIADA No. SA-MC-DT-SUC-001-2024</v>
      </c>
      <c r="D4" s="366"/>
      <c r="E4" s="366"/>
      <c r="F4" s="366"/>
      <c r="G4" s="366"/>
      <c r="H4" s="366"/>
      <c r="I4" s="366"/>
      <c r="J4" s="366"/>
      <c r="K4" s="366"/>
      <c r="L4" s="366"/>
      <c r="M4" s="366"/>
      <c r="N4" s="366"/>
      <c r="O4" s="366"/>
      <c r="P4" s="366"/>
      <c r="Q4" s="366"/>
      <c r="R4" s="366"/>
      <c r="S4" s="366"/>
      <c r="U4" s="159"/>
      <c r="V4" s="160"/>
    </row>
    <row r="5" spans="3:24" s="158" customFormat="1" ht="13.5" customHeight="1" x14ac:dyDescent="0.2">
      <c r="C5" s="366" t="s">
        <v>200</v>
      </c>
      <c r="D5" s="366"/>
      <c r="E5" s="366"/>
      <c r="F5" s="366"/>
      <c r="G5" s="366"/>
      <c r="H5" s="366"/>
      <c r="I5" s="366"/>
      <c r="J5" s="366"/>
      <c r="K5" s="366"/>
      <c r="L5" s="366"/>
      <c r="M5" s="366"/>
      <c r="N5" s="366"/>
      <c r="O5" s="366"/>
      <c r="P5" s="366"/>
      <c r="Q5" s="366"/>
      <c r="R5" s="366"/>
      <c r="S5" s="366"/>
      <c r="U5" s="159"/>
      <c r="V5" s="160"/>
    </row>
    <row r="6" spans="3:24" s="158" customFormat="1" ht="14.25" thickBot="1" x14ac:dyDescent="0.25">
      <c r="C6" s="161"/>
      <c r="D6" s="161"/>
      <c r="E6" s="162"/>
      <c r="F6" s="162"/>
      <c r="G6" s="163"/>
      <c r="H6" s="163"/>
      <c r="I6" s="163"/>
      <c r="J6" s="164"/>
      <c r="L6" s="165"/>
      <c r="M6" s="165"/>
      <c r="N6" s="165"/>
      <c r="O6" s="165"/>
      <c r="P6" s="165"/>
      <c r="Q6" s="165"/>
      <c r="R6" s="165"/>
      <c r="S6" s="166"/>
      <c r="U6" s="159"/>
      <c r="V6" s="160"/>
    </row>
    <row r="7" spans="3:24" ht="54" customHeight="1" x14ac:dyDescent="0.2">
      <c r="C7" s="377" t="s">
        <v>158</v>
      </c>
      <c r="D7" s="380" t="s">
        <v>157</v>
      </c>
      <c r="E7" s="86" t="s">
        <v>204</v>
      </c>
      <c r="F7" s="385" t="s">
        <v>163</v>
      </c>
      <c r="G7" s="86" t="s">
        <v>190</v>
      </c>
      <c r="H7" s="86" t="s">
        <v>191</v>
      </c>
      <c r="I7" s="388" t="s">
        <v>1</v>
      </c>
      <c r="J7" s="132" t="s">
        <v>192</v>
      </c>
      <c r="K7" s="86" t="s">
        <v>193</v>
      </c>
      <c r="L7" s="86" t="s">
        <v>194</v>
      </c>
      <c r="M7" s="347" t="s">
        <v>170</v>
      </c>
      <c r="N7" s="355" t="s">
        <v>171</v>
      </c>
      <c r="O7" s="86" t="s">
        <v>209</v>
      </c>
      <c r="P7" s="87" t="s">
        <v>195</v>
      </c>
      <c r="Q7" s="133" t="s">
        <v>230</v>
      </c>
      <c r="R7" s="136" t="s">
        <v>196</v>
      </c>
      <c r="S7" s="222" t="s">
        <v>231</v>
      </c>
    </row>
    <row r="8" spans="3:24" x14ac:dyDescent="0.2">
      <c r="C8" s="378"/>
      <c r="D8" s="381"/>
      <c r="E8" s="383" t="s">
        <v>2</v>
      </c>
      <c r="F8" s="386"/>
      <c r="G8" s="383" t="s">
        <v>3</v>
      </c>
      <c r="H8" s="383" t="s">
        <v>3</v>
      </c>
      <c r="I8" s="389"/>
      <c r="J8" s="393" t="s">
        <v>198</v>
      </c>
      <c r="K8" s="395" t="s">
        <v>229</v>
      </c>
      <c r="L8" s="395" t="s">
        <v>206</v>
      </c>
      <c r="M8" s="348"/>
      <c r="N8" s="329"/>
      <c r="O8" s="395" t="s">
        <v>206</v>
      </c>
      <c r="P8" s="395" t="s">
        <v>206</v>
      </c>
      <c r="Q8" s="395" t="s">
        <v>229</v>
      </c>
      <c r="R8" s="393" t="s">
        <v>197</v>
      </c>
      <c r="S8" s="391" t="s">
        <v>178</v>
      </c>
    </row>
    <row r="9" spans="3:24" ht="51" customHeight="1" thickBot="1" x14ac:dyDescent="0.25">
      <c r="C9" s="379"/>
      <c r="D9" s="382"/>
      <c r="E9" s="384"/>
      <c r="F9" s="387"/>
      <c r="G9" s="384"/>
      <c r="H9" s="384"/>
      <c r="I9" s="390"/>
      <c r="J9" s="394"/>
      <c r="K9" s="396"/>
      <c r="L9" s="396"/>
      <c r="M9" s="349"/>
      <c r="N9" s="356"/>
      <c r="O9" s="396"/>
      <c r="P9" s="396"/>
      <c r="Q9" s="396"/>
      <c r="R9" s="394"/>
      <c r="S9" s="392"/>
    </row>
    <row r="10" spans="3:24" x14ac:dyDescent="0.2">
      <c r="C10" s="90">
        <f>+'Capacidad Financiera'!B12</f>
        <v>1</v>
      </c>
      <c r="D10" s="91">
        <f>IF(ISERROR(VLOOKUP(C10,'Capacidad Financiera'!$B$12:$AD$59206,2,0)),"",VLOOKUP(C10,'Capacidad Financiera'!$B$12:$AD$59206,2,0))</f>
        <v>0</v>
      </c>
      <c r="E10" s="92">
        <f>IF(ISERROR(VLOOKUP(C10,'Capacidad Financiera'!$B$12:$AD$59206,3,0)),"",VLOOKUP(C10,'Capacidad Financiera'!$B$12:$AD$59206,3,0))</f>
        <v>1</v>
      </c>
      <c r="F10" s="94">
        <f>'Capacidad Financiera'!N12</f>
        <v>1</v>
      </c>
      <c r="G10" s="93">
        <f>IF(ISERROR(VLOOKUP(F10,POA!$A$2:$D$16,2,0)),"",VLOOKUP(F10,POA!$A$2:$D$16,2,0))</f>
        <v>765000000</v>
      </c>
      <c r="H10" s="93">
        <f>IF(ISERROR(VLOOKUP(F10,POA!$A$2:$D$16,3,0)),"",VLOOKUP(F10,POA!$A$2:$D$16,4,0))</f>
        <v>229500000</v>
      </c>
      <c r="I10" s="94">
        <f>IF(ISERROR(VLOOKUP(F10,POA!$A$2:$D$2,3,0)),"",VLOOKUP(F10,POA!$A$2:$D$2,3,0))</f>
        <v>4</v>
      </c>
      <c r="J10" s="91">
        <f>IF(I10="","",IF(I10&lt;12,(G10-H10),IF(I10&gt;=12,(((G10-H10)/I10)*12),"")))</f>
        <v>535500000</v>
      </c>
      <c r="K10" s="94"/>
      <c r="L10" s="91"/>
      <c r="M10" s="91"/>
      <c r="N10" s="91">
        <f>+SUM(N11:N20)</f>
        <v>0</v>
      </c>
      <c r="O10" s="94" t="str">
        <f>IF(ISERROR(VLOOKUP(K10,POA!$A$2:$C$2,3,0)),"",VLOOKUP(K10,POA!$A$2:$C$2,3,0))</f>
        <v/>
      </c>
      <c r="P10" s="91" t="str">
        <f t="shared" ref="P10" si="0">IF(ISERROR(+L10/O10),"",(L10/O10))</f>
        <v/>
      </c>
      <c r="Q10" s="134"/>
      <c r="R10" s="134">
        <f>SUM(R11:R20)</f>
        <v>3881889449</v>
      </c>
      <c r="S10" s="230" t="str">
        <f>+IF(OR(R10=0,F10=""),"",IF(R10&gt;=J10,"HABIL","NO HABIL"))</f>
        <v>HABIL</v>
      </c>
      <c r="U10" s="169"/>
      <c r="V10" s="170"/>
      <c r="W10" s="157"/>
      <c r="X10" s="157"/>
    </row>
    <row r="11" spans="3:24" ht="13.5" thickBot="1" x14ac:dyDescent="0.25">
      <c r="C11" s="95">
        <f>+'Capacidad Financiera'!B13</f>
        <v>1.1000000000000001</v>
      </c>
      <c r="D11" s="137" t="str">
        <f>IF(ISERROR(VLOOKUP(C11,'Capacidad Financiera'!$B$12:$AD$59206,2,0)),"",VLOOKUP(C11,'Capacidad Financiera'!$B$12:$AD$59206,2,0))</f>
        <v>CCC DE LA SABANA SAS</v>
      </c>
      <c r="E11" s="197">
        <f>IF(ISERROR(VLOOKUP(C11,'Capacidad Financiera'!$B$12:$AD$59206,3,0)),"",VLOOKUP(C11,'Capacidad Financiera'!$B$12:$AD$59206,3,0))</f>
        <v>1</v>
      </c>
      <c r="F11" s="139">
        <f>'Capacidad Financiera'!N13</f>
        <v>0</v>
      </c>
      <c r="G11" s="177" t="str">
        <f>IF(ISERROR(VLOOKUP(F11,POA!$A$2:$D$16,2,0)),"",VLOOKUP(F11,POA!$A$2:$D$16,2,0))</f>
        <v/>
      </c>
      <c r="H11" s="177" t="str">
        <f>IF(ISERROR(VLOOKUP(F11,POA!$A$2:$D$16,3,0)),"",VLOOKUP(F11,POA!$A$2:$D$16,4,0))</f>
        <v/>
      </c>
      <c r="I11" s="139" t="str">
        <f>IF(ISERROR(VLOOKUP(F11,POA!$A$2:$D$2,3,0)),"",VLOOKUP(F11,POA!$A$2:$D$2,3,0))</f>
        <v/>
      </c>
      <c r="J11" s="138" t="str">
        <f>IF(I11="","",IF(I11&lt;12,(G11-H11),IF(I11&gt;=12,(((G11-H11)/I11)*12),"")))</f>
        <v/>
      </c>
      <c r="K11" s="218">
        <f>IF(IF(ISERROR(VLOOKUP(C11,'Cap Organización'!$C$10:$I$1048576,3,0)),"",VLOOKUP(C11,'Cap Organización'!$C$10:$I$1048576,3,0))=0,"",IF(ISERROR(VLOOKUP(C11,'Cap Organización'!$C$10:$I$1048576,3,0)),"",VLOOKUP(C11,'Cap Organización'!$C$10:$I$1048576,3,0)))</f>
        <v>2554350200</v>
      </c>
      <c r="L11" s="208">
        <f>IF(ISERROR(VLOOKUP(C11,'Puntaje Exp'!$C$10:$J$1048576,8,0)),"",VLOOKUP(C11,'Puntaje Exp'!$C$10:$J$1048576,8,0))</f>
        <v>120</v>
      </c>
      <c r="M11" s="208">
        <f>+'Capacidad Financiera'!P13</f>
        <v>0</v>
      </c>
      <c r="N11" s="208" t="str">
        <f>IF(ISERROR(VLOOKUP(M11,POA!$A$2:$F$16,6,0)),"",VLOOKUP(M11,POA!$A$2:$F$16,6,0))</f>
        <v/>
      </c>
      <c r="O11" s="208">
        <f>IF(ISERROR(VLOOKUP(C11,'Puntaje CT'!$C$10:$I$1048576,4,0)),"",VLOOKUP(C11,'Puntaje CT'!$C$10:$I$1048576,4,0))</f>
        <v>20</v>
      </c>
      <c r="P11" s="208">
        <f>IF(ISERROR(VLOOKUP(C11,'Puntaje CF'!$C$10:$I$1048576,6,0)),"",VLOOKUP(C11,'Puntaje CF'!$C$10:$I$1048576,6,0))</f>
        <v>40</v>
      </c>
      <c r="Q11" s="218">
        <f>IF(IF(ISERROR(VLOOKUP(C11,'Saldo CtosEjecución'!$C$10:$I$1048576,3,0)),"",VLOOKUP(C11,'Saldo CtosEjecución'!$C$10:$I$1048576,3,0))=0,"",IF(ISERROR(VLOOKUP(C11,'Saldo CtosEjecución'!$C$10:$I$1048576,3,0)),"",VLOOKUP(C11,'Saldo CtosEjecución'!$C$10:$I$1048576,3,0)))</f>
        <v>715940911</v>
      </c>
      <c r="R11" s="135">
        <f>IF(OR(K11="",L11="",O11="",P11="",Q11=""),"",(K11*((L11+O11+P11)/100))-Q11)</f>
        <v>3881889449</v>
      </c>
      <c r="S11" s="228"/>
    </row>
    <row r="12" spans="3:24" ht="13.5" hidden="1" thickBot="1" x14ac:dyDescent="0.25">
      <c r="C12" s="95" t="str">
        <f>+'Capacidad Financiera'!B14</f>
        <v/>
      </c>
      <c r="D12" s="137">
        <f>IF(ISERROR(VLOOKUP(C12,'Capacidad Financiera'!$B$12:$AD$59206,2,0)),"",VLOOKUP(C12,'Capacidad Financiera'!$B$12:$AD$59206,2,0))</f>
        <v>0</v>
      </c>
      <c r="E12" s="197">
        <f>IF(ISERROR(VLOOKUP(C12,'Capacidad Financiera'!$B$12:$AD$59206,3,0)),"",VLOOKUP(C12,'Capacidad Financiera'!$B$12:$AD$59206,3,0))</f>
        <v>0</v>
      </c>
      <c r="F12" s="139">
        <f>'Capacidad Financiera'!N14</f>
        <v>0</v>
      </c>
      <c r="G12" s="177" t="str">
        <f>IF(ISERROR(VLOOKUP(F12,POA!$A$2:$D$16,2,0)),"",VLOOKUP(F12,POA!$A$2:$D$16,2,0))</f>
        <v/>
      </c>
      <c r="H12" s="177" t="str">
        <f>IF(ISERROR(VLOOKUP(F12,POA!$A$2:$D$16,3,0)),"",VLOOKUP(F12,POA!$A$2:$D$16,4,0))</f>
        <v/>
      </c>
      <c r="I12" s="139" t="str">
        <f>IF(ISERROR(VLOOKUP(F12,POA!$A$2:$D$2,3,0)),"",VLOOKUP(F12,POA!$A$2:$D$2,3,0))</f>
        <v/>
      </c>
      <c r="J12" s="138" t="str">
        <f>IF(I12="","",IF(I12&lt;12,(G12-H12),IF(I12&gt;=12,(((G12-H12)/I12)*12),"")))</f>
        <v/>
      </c>
      <c r="K12" s="218" t="str">
        <f>IF(IF(ISERROR(VLOOKUP(C12,'Cap Organización'!$C$10:$I$1048576,3,0)),"",VLOOKUP(C12,'Cap Organización'!$C$10:$I$1048576,3,0))=0,"",IF(ISERROR(VLOOKUP(C12,'Cap Organización'!$C$10:$I$1048576,3,0)),"",VLOOKUP(C12,'Cap Organización'!$C$10:$I$1048576,3,0)))</f>
        <v/>
      </c>
      <c r="L12" s="208" t="str">
        <f>IF(ISERROR(VLOOKUP(C12,'Puntaje Exp'!$C$10:$J$1048576,8,0)),"",VLOOKUP(C12,'Puntaje Exp'!$C$10:$J$1048576,8,0))</f>
        <v/>
      </c>
      <c r="M12" s="299">
        <f>+'Capacidad Financiera'!P14</f>
        <v>0</v>
      </c>
      <c r="N12" s="299" t="str">
        <f>IF(ISERROR(VLOOKUP(M12,POA!$A$2:$F$16,6,0)),"",VLOOKUP(M12,POA!$A$2:$F$16,6,0))</f>
        <v/>
      </c>
      <c r="O12" s="208" t="str">
        <f>IF(ISERROR(VLOOKUP(C12,'Puntaje CT'!$C$10:$I$1048576,4,0)),"",VLOOKUP(C12,'Puntaje CT'!$C$10:$I$1048576,4,0))</f>
        <v/>
      </c>
      <c r="P12" s="208" t="str">
        <f>IF(ISERROR(VLOOKUP(C12,'Puntaje CF'!$C$10:$I$1048576,6,0)),"",VLOOKUP(C12,'Puntaje CF'!$C$10:$I$1048576,6,0))</f>
        <v/>
      </c>
      <c r="Q12" s="218" t="str">
        <f>IF(IF(ISERROR(VLOOKUP(C12,'Saldo CtosEjecución'!$C$10:$I$1048576,3,0)),"",VLOOKUP(C12,'Saldo CtosEjecución'!$C$10:$I$1048576,3,0))=0,"",IF(ISERROR(VLOOKUP(C12,'Saldo CtosEjecución'!$C$10:$I$1048576,3,0)),"",VLOOKUP(C12,'Saldo CtosEjecución'!$C$10:$I$1048576,3,0)))</f>
        <v/>
      </c>
      <c r="R12" s="135" t="str">
        <f>IF(OR(K12="",L12="",O12="",P12="",Q12=""),"",(K12*((L12+O12+P12)/100))-Q12)</f>
        <v/>
      </c>
      <c r="S12" s="228"/>
    </row>
    <row r="13" spans="3:24" ht="13.5" hidden="1" thickBot="1" x14ac:dyDescent="0.25">
      <c r="C13" s="95" t="str">
        <f>+'Capacidad Financiera'!B15</f>
        <v/>
      </c>
      <c r="D13" s="137">
        <f>IF(ISERROR(VLOOKUP(C13,'Capacidad Financiera'!$B$12:$AD$59206,2,0)),"",VLOOKUP(C13,'Capacidad Financiera'!$B$12:$AD$59206,2,0))</f>
        <v>0</v>
      </c>
      <c r="E13" s="197">
        <f>IF(ISERROR(VLOOKUP(C13,'Capacidad Financiera'!$B$12:$AD$59206,3,0)),"",VLOOKUP(C13,'Capacidad Financiera'!$B$12:$AD$59206,3,0))</f>
        <v>0</v>
      </c>
      <c r="F13" s="139">
        <f>'Capacidad Financiera'!N15</f>
        <v>0</v>
      </c>
      <c r="G13" s="177" t="str">
        <f>IF(ISERROR(VLOOKUP(F13,POA!$A$2:$D$16,2,0)),"",VLOOKUP(F13,POA!$A$2:$D$16,2,0))</f>
        <v/>
      </c>
      <c r="H13" s="177" t="str">
        <f>IF(ISERROR(VLOOKUP(F13,POA!$A$2:$D$16,3,0)),"",VLOOKUP(F13,POA!$A$2:$D$16,4,0))</f>
        <v/>
      </c>
      <c r="I13" s="139" t="str">
        <f>IF(ISERROR(VLOOKUP(F13,POA!$A$2:$D$2,3,0)),"",VLOOKUP(F13,POA!$A$2:$D$2,3,0))</f>
        <v/>
      </c>
      <c r="J13" s="138" t="str">
        <f>IF(I13="","",IF(I13&lt;12,(G13-H13),IF(I13&gt;=12,(((G13-H13)/I13)*12),"")))</f>
        <v/>
      </c>
      <c r="K13" s="218" t="str">
        <f>IF(IF(ISERROR(VLOOKUP(C13,'Cap Organización'!$C$10:$I$1048576,3,0)),"",VLOOKUP(C13,'Cap Organización'!$C$10:$I$1048576,3,0))=0,"",IF(ISERROR(VLOOKUP(C13,'Cap Organización'!$C$10:$I$1048576,3,0)),"",VLOOKUP(C13,'Cap Organización'!$C$10:$I$1048576,3,0)))</f>
        <v/>
      </c>
      <c r="L13" s="208" t="str">
        <f>IF(ISERROR(VLOOKUP(C13,'Puntaje Exp'!$C$10:$J$1048576,8,0)),"",VLOOKUP(C13,'Puntaje Exp'!$C$10:$J$1048576,8,0))</f>
        <v/>
      </c>
      <c r="M13" s="299">
        <f>+'Capacidad Financiera'!P15</f>
        <v>0</v>
      </c>
      <c r="N13" s="299" t="str">
        <f>IF(ISERROR(VLOOKUP(M13,POA!$A$2:$F$16,6,0)),"",VLOOKUP(M13,POA!$A$2:$F$16,6,0))</f>
        <v/>
      </c>
      <c r="O13" s="208" t="str">
        <f>IF(ISERROR(VLOOKUP(C13,'Puntaje CT'!$C$10:$I$1048576,4,0)),"",VLOOKUP(C13,'Puntaje CT'!$C$10:$I$1048576,4,0))</f>
        <v/>
      </c>
      <c r="P13" s="208" t="str">
        <f>IF(ISERROR(VLOOKUP(C13,'Puntaje CF'!$C$10:$I$1048576,6,0)),"",VLOOKUP(C13,'Puntaje CF'!$C$10:$I$1048576,6,0))</f>
        <v/>
      </c>
      <c r="Q13" s="218" t="str">
        <f>IF(IF(ISERROR(VLOOKUP(C13,'Saldo CtosEjecución'!$C$10:$I$1048576,3,0)),"",VLOOKUP(C13,'Saldo CtosEjecución'!$C$10:$I$1048576,3,0))=0,"",IF(ISERROR(VLOOKUP(C13,'Saldo CtosEjecución'!$C$10:$I$1048576,3,0)),"",VLOOKUP(C13,'Saldo CtosEjecución'!$C$10:$I$1048576,3,0)))</f>
        <v/>
      </c>
      <c r="R13" s="135" t="str">
        <f t="shared" ref="R13:R20" si="1">IF(OR(K13="",L13="",O13="",P13="",Q13=""),"",(K13*((L13+O13+P13)/100))-Q13)</f>
        <v/>
      </c>
      <c r="S13" s="228"/>
    </row>
    <row r="14" spans="3:24" ht="13.5" hidden="1" thickBot="1" x14ac:dyDescent="0.25">
      <c r="C14" s="95" t="str">
        <f>+'Capacidad Financiera'!B16</f>
        <v/>
      </c>
      <c r="D14" s="137">
        <f>IF(ISERROR(VLOOKUP(C14,'Capacidad Financiera'!$B$12:$AD$59206,2,0)),"",VLOOKUP(C14,'Capacidad Financiera'!$B$12:$AD$59206,2,0))</f>
        <v>0</v>
      </c>
      <c r="E14" s="197">
        <f>IF(ISERROR(VLOOKUP(C14,'Capacidad Financiera'!$B$12:$AD$59206,3,0)),"",VLOOKUP(C14,'Capacidad Financiera'!$B$12:$AD$59206,3,0))</f>
        <v>0</v>
      </c>
      <c r="F14" s="139">
        <f>'Capacidad Financiera'!N16</f>
        <v>0</v>
      </c>
      <c r="G14" s="177" t="str">
        <f>IF(ISERROR(VLOOKUP(F14,POA!$A$2:$D$16,2,0)),"",VLOOKUP(F14,POA!$A$2:$D$16,2,0))</f>
        <v/>
      </c>
      <c r="H14" s="177" t="str">
        <f>IF(ISERROR(VLOOKUP(F14,POA!$A$2:$D$16,3,0)),"",VLOOKUP(F14,POA!$A$2:$D$16,4,0))</f>
        <v/>
      </c>
      <c r="I14" s="139" t="str">
        <f>IF(ISERROR(VLOOKUP(F14,POA!$A$2:$D$2,3,0)),"",VLOOKUP(F14,POA!$A$2:$D$2,3,0))</f>
        <v/>
      </c>
      <c r="J14" s="138" t="str">
        <f t="shared" ref="J14:J20" si="2">IF(I14="","",IF(I14&lt;12,(G14-H14),IF(I14&gt;=12,(((G14-H14)/I14)*12),"")))</f>
        <v/>
      </c>
      <c r="K14" s="218" t="str">
        <f>IF(IF(ISERROR(VLOOKUP(C14,'Cap Organización'!$C$10:$I$1048576,3,0)),"",VLOOKUP(C14,'Cap Organización'!$C$10:$I$1048576,3,0))=0,"",IF(ISERROR(VLOOKUP(C14,'Cap Organización'!$C$10:$I$1048576,3,0)),"",VLOOKUP(C14,'Cap Organización'!$C$10:$I$1048576,3,0)))</f>
        <v/>
      </c>
      <c r="L14" s="208" t="str">
        <f>IF(ISERROR(VLOOKUP(C14,'Puntaje Exp'!$C$10:$J$1048576,8,0)),"",VLOOKUP(C14,'Puntaje Exp'!$C$10:$J$1048576,8,0))</f>
        <v/>
      </c>
      <c r="M14" s="299">
        <f>+'Capacidad Financiera'!P16</f>
        <v>0</v>
      </c>
      <c r="N14" s="299" t="str">
        <f>IF(ISERROR(VLOOKUP(M14,POA!$A$2:$F$16,6,0)),"",VLOOKUP(M14,POA!$A$2:$F$16,6,0))</f>
        <v/>
      </c>
      <c r="O14" s="208" t="str">
        <f>IF(ISERROR(VLOOKUP(C14,'Puntaje CT'!$C$10:$I$1048576,4,0)),"",VLOOKUP(C14,'Puntaje CT'!$C$10:$I$1048576,4,0))</f>
        <v/>
      </c>
      <c r="P14" s="208" t="str">
        <f>IF(ISERROR(VLOOKUP(C14,'Puntaje CF'!$C$10:$I$1048576,6,0)),"",VLOOKUP(C14,'Puntaje CF'!$C$10:$I$1048576,6,0))</f>
        <v/>
      </c>
      <c r="Q14" s="218" t="str">
        <f>IF(IF(ISERROR(VLOOKUP(C14,'Saldo CtosEjecución'!$C$10:$I$1048576,3,0)),"",VLOOKUP(C14,'Saldo CtosEjecución'!$C$10:$I$1048576,3,0))=0,"",IF(ISERROR(VLOOKUP(C14,'Saldo CtosEjecución'!$C$10:$I$1048576,3,0)),"",VLOOKUP(C14,'Saldo CtosEjecución'!$C$10:$I$1048576,3,0)))</f>
        <v/>
      </c>
      <c r="R14" s="135" t="str">
        <f t="shared" si="1"/>
        <v/>
      </c>
      <c r="S14" s="228"/>
    </row>
    <row r="15" spans="3:24" ht="13.5" hidden="1" thickBot="1" x14ac:dyDescent="0.25">
      <c r="C15" s="95" t="str">
        <f>+'Capacidad Financiera'!B17</f>
        <v/>
      </c>
      <c r="D15" s="137">
        <f>IF(ISERROR(VLOOKUP(C15,'Capacidad Financiera'!$B$12:$AD$59206,2,0)),"",VLOOKUP(C15,'Capacidad Financiera'!$B$12:$AD$59206,2,0))</f>
        <v>0</v>
      </c>
      <c r="E15" s="197">
        <f>IF(ISERROR(VLOOKUP(C15,'Capacidad Financiera'!$B$12:$AD$59206,3,0)),"",VLOOKUP(C15,'Capacidad Financiera'!$B$12:$AD$59206,3,0))</f>
        <v>0</v>
      </c>
      <c r="F15" s="139">
        <f>'Capacidad Financiera'!N17</f>
        <v>0</v>
      </c>
      <c r="G15" s="177" t="str">
        <f>IF(ISERROR(VLOOKUP(F15,POA!$A$2:$D$16,2,0)),"",VLOOKUP(F15,POA!$A$2:$D$16,2,0))</f>
        <v/>
      </c>
      <c r="H15" s="177" t="str">
        <f>IF(ISERROR(VLOOKUP(F15,POA!$A$2:$D$16,3,0)),"",VLOOKUP(F15,POA!$A$2:$D$16,4,0))</f>
        <v/>
      </c>
      <c r="I15" s="139" t="str">
        <f>IF(ISERROR(VLOOKUP(F15,POA!$A$2:$D$2,3,0)),"",VLOOKUP(F15,POA!$A$2:$D$2,3,0))</f>
        <v/>
      </c>
      <c r="J15" s="138" t="str">
        <f t="shared" si="2"/>
        <v/>
      </c>
      <c r="K15" s="218" t="str">
        <f>IF(IF(ISERROR(VLOOKUP(C15,'Cap Organización'!$C$10:$I$1048576,3,0)),"",VLOOKUP(C15,'Cap Organización'!$C$10:$I$1048576,3,0))=0,"",IF(ISERROR(VLOOKUP(C15,'Cap Organización'!$C$10:$I$1048576,3,0)),"",VLOOKUP(C15,'Cap Organización'!$C$10:$I$1048576,3,0)))</f>
        <v/>
      </c>
      <c r="L15" s="208" t="str">
        <f>IF(ISERROR(VLOOKUP(C15,'Puntaje Exp'!$C$10:$J$1048576,8,0)),"",VLOOKUP(C15,'Puntaje Exp'!$C$10:$J$1048576,8,0))</f>
        <v/>
      </c>
      <c r="M15" s="299">
        <f>+'Capacidad Financiera'!P17</f>
        <v>0</v>
      </c>
      <c r="N15" s="299" t="str">
        <f>IF(ISERROR(VLOOKUP(M15,POA!$A$2:$F$16,6,0)),"",VLOOKUP(M15,POA!$A$2:$F$16,6,0))</f>
        <v/>
      </c>
      <c r="O15" s="208" t="str">
        <f>IF(ISERROR(VLOOKUP(C15,'Puntaje CT'!$C$10:$I$1048576,4,0)),"",VLOOKUP(C15,'Puntaje CT'!$C$10:$I$1048576,4,0))</f>
        <v/>
      </c>
      <c r="P15" s="208" t="str">
        <f>IF(ISERROR(VLOOKUP(C15,'Puntaje CF'!$C$10:$I$1048576,6,0)),"",VLOOKUP(C15,'Puntaje CF'!$C$10:$I$1048576,6,0))</f>
        <v/>
      </c>
      <c r="Q15" s="218" t="str">
        <f>IF(IF(ISERROR(VLOOKUP(C15,'Saldo CtosEjecución'!$C$10:$I$1048576,3,0)),"",VLOOKUP(C15,'Saldo CtosEjecución'!$C$10:$I$1048576,3,0))=0,"",IF(ISERROR(VLOOKUP(C15,'Saldo CtosEjecución'!$C$10:$I$1048576,3,0)),"",VLOOKUP(C15,'Saldo CtosEjecución'!$C$10:$I$1048576,3,0)))</f>
        <v/>
      </c>
      <c r="R15" s="135" t="str">
        <f t="shared" si="1"/>
        <v/>
      </c>
      <c r="S15" s="228"/>
    </row>
    <row r="16" spans="3:24" ht="13.5" hidden="1" thickBot="1" x14ac:dyDescent="0.25">
      <c r="C16" s="95" t="str">
        <f>+'Capacidad Financiera'!B18</f>
        <v/>
      </c>
      <c r="D16" s="137">
        <f>IF(ISERROR(VLOOKUP(C16,'Capacidad Financiera'!$B$12:$AD$59206,2,0)),"",VLOOKUP(C16,'Capacidad Financiera'!$B$12:$AD$59206,2,0))</f>
        <v>0</v>
      </c>
      <c r="E16" s="197">
        <f>IF(ISERROR(VLOOKUP(C16,'Capacidad Financiera'!$B$12:$AD$59206,3,0)),"",VLOOKUP(C16,'Capacidad Financiera'!$B$12:$AD$59206,3,0))</f>
        <v>0</v>
      </c>
      <c r="F16" s="139">
        <f>'Capacidad Financiera'!N18</f>
        <v>0</v>
      </c>
      <c r="G16" s="177" t="str">
        <f>IF(ISERROR(VLOOKUP(F16,POA!$A$2:$D$16,2,0)),"",VLOOKUP(F16,POA!$A$2:$D$16,2,0))</f>
        <v/>
      </c>
      <c r="H16" s="177" t="str">
        <f>IF(ISERROR(VLOOKUP(F16,POA!$A$2:$D$16,3,0)),"",VLOOKUP(F16,POA!$A$2:$D$16,4,0))</f>
        <v/>
      </c>
      <c r="I16" s="139" t="str">
        <f>IF(ISERROR(VLOOKUP(F16,POA!$A$2:$D$2,3,0)),"",VLOOKUP(F16,POA!$A$2:$D$2,3,0))</f>
        <v/>
      </c>
      <c r="J16" s="138" t="str">
        <f t="shared" si="2"/>
        <v/>
      </c>
      <c r="K16" s="218" t="str">
        <f>IF(IF(ISERROR(VLOOKUP(C16,'Cap Organización'!$C$10:$I$1048576,3,0)),"",VLOOKUP(C16,'Cap Organización'!$C$10:$I$1048576,3,0))=0,"",IF(ISERROR(VLOOKUP(C16,'Cap Organización'!$C$10:$I$1048576,3,0)),"",VLOOKUP(C16,'Cap Organización'!$C$10:$I$1048576,3,0)))</f>
        <v/>
      </c>
      <c r="L16" s="208" t="str">
        <f>IF(ISERROR(VLOOKUP(C16,'Puntaje Exp'!$C$10:$J$1048576,8,0)),"",VLOOKUP(C16,'Puntaje Exp'!$C$10:$J$1048576,8,0))</f>
        <v/>
      </c>
      <c r="M16" s="299">
        <f>+'Capacidad Financiera'!P18</f>
        <v>0</v>
      </c>
      <c r="N16" s="299" t="str">
        <f>IF(ISERROR(VLOOKUP(M16,POA!$A$2:$F$16,6,0)),"",VLOOKUP(M16,POA!$A$2:$F$16,6,0))</f>
        <v/>
      </c>
      <c r="O16" s="208" t="str">
        <f>IF(ISERROR(VLOOKUP(C16,'Puntaje CT'!$C$10:$I$1048576,4,0)),"",VLOOKUP(C16,'Puntaje CT'!$C$10:$I$1048576,4,0))</f>
        <v/>
      </c>
      <c r="P16" s="208" t="str">
        <f>IF(ISERROR(VLOOKUP(C16,'Puntaje CF'!$C$10:$I$1048576,6,0)),"",VLOOKUP(C16,'Puntaje CF'!$C$10:$I$1048576,6,0))</f>
        <v/>
      </c>
      <c r="Q16" s="218" t="str">
        <f>IF(IF(ISERROR(VLOOKUP(C16,'Saldo CtosEjecución'!$C$10:$I$1048576,3,0)),"",VLOOKUP(C16,'Saldo CtosEjecución'!$C$10:$I$1048576,3,0))=0,"",IF(ISERROR(VLOOKUP(C16,'Saldo CtosEjecución'!$C$10:$I$1048576,3,0)),"",VLOOKUP(C16,'Saldo CtosEjecución'!$C$10:$I$1048576,3,0)))</f>
        <v/>
      </c>
      <c r="R16" s="135" t="str">
        <f t="shared" si="1"/>
        <v/>
      </c>
      <c r="S16" s="228"/>
    </row>
    <row r="17" spans="3:19" ht="13.5" hidden="1" thickBot="1" x14ac:dyDescent="0.25">
      <c r="C17" s="95" t="str">
        <f>+'Capacidad Financiera'!B19</f>
        <v/>
      </c>
      <c r="D17" s="137">
        <f>IF(ISERROR(VLOOKUP(C17,'Capacidad Financiera'!$B$12:$AD$59206,2,0)),"",VLOOKUP(C17,'Capacidad Financiera'!$B$12:$AD$59206,2,0))</f>
        <v>0</v>
      </c>
      <c r="E17" s="197">
        <f>IF(ISERROR(VLOOKUP(C17,'Capacidad Financiera'!$B$12:$AD$59206,3,0)),"",VLOOKUP(C17,'Capacidad Financiera'!$B$12:$AD$59206,3,0))</f>
        <v>0</v>
      </c>
      <c r="F17" s="139">
        <f>'Capacidad Financiera'!N19</f>
        <v>0</v>
      </c>
      <c r="G17" s="177" t="str">
        <f>IF(ISERROR(VLOOKUP(F17,POA!$A$2:$D$16,2,0)),"",VLOOKUP(F17,POA!$A$2:$D$16,2,0))</f>
        <v/>
      </c>
      <c r="H17" s="177" t="str">
        <f>IF(ISERROR(VLOOKUP(F17,POA!$A$2:$D$16,3,0)),"",VLOOKUP(F17,POA!$A$2:$D$16,4,0))</f>
        <v/>
      </c>
      <c r="I17" s="139" t="str">
        <f>IF(ISERROR(VLOOKUP(F17,POA!$A$2:$D$2,3,0)),"",VLOOKUP(F17,POA!$A$2:$D$2,3,0))</f>
        <v/>
      </c>
      <c r="J17" s="138" t="str">
        <f t="shared" si="2"/>
        <v/>
      </c>
      <c r="K17" s="218" t="str">
        <f>IF(IF(ISERROR(VLOOKUP(C17,'Cap Organización'!$C$10:$I$1048576,3,0)),"",VLOOKUP(C17,'Cap Organización'!$C$10:$I$1048576,3,0))=0,"",IF(ISERROR(VLOOKUP(C17,'Cap Organización'!$C$10:$I$1048576,3,0)),"",VLOOKUP(C17,'Cap Organización'!$C$10:$I$1048576,3,0)))</f>
        <v/>
      </c>
      <c r="L17" s="208" t="str">
        <f>IF(ISERROR(VLOOKUP(C17,'Puntaje Exp'!$C$10:$J$1048576,8,0)),"",VLOOKUP(C17,'Puntaje Exp'!$C$10:$J$1048576,8,0))</f>
        <v/>
      </c>
      <c r="M17" s="299">
        <f>+'Capacidad Financiera'!P19</f>
        <v>0</v>
      </c>
      <c r="N17" s="299" t="str">
        <f>IF(ISERROR(VLOOKUP(M17,POA!$A$2:$F$16,6,0)),"",VLOOKUP(M17,POA!$A$2:$F$16,6,0))</f>
        <v/>
      </c>
      <c r="O17" s="208" t="str">
        <f>IF(ISERROR(VLOOKUP(C17,'Puntaje CT'!$C$10:$I$1048576,4,0)),"",VLOOKUP(C17,'Puntaje CT'!$C$10:$I$1048576,4,0))</f>
        <v/>
      </c>
      <c r="P17" s="208" t="str">
        <f>IF(ISERROR(VLOOKUP(C17,'Puntaje CF'!$C$10:$I$1048576,6,0)),"",VLOOKUP(C17,'Puntaje CF'!$C$10:$I$1048576,6,0))</f>
        <v/>
      </c>
      <c r="Q17" s="218" t="str">
        <f>IF(IF(ISERROR(VLOOKUP(C17,'Saldo CtosEjecución'!$C$10:$I$1048576,3,0)),"",VLOOKUP(C17,'Saldo CtosEjecución'!$C$10:$I$1048576,3,0))=0,"",IF(ISERROR(VLOOKUP(C17,'Saldo CtosEjecución'!$C$10:$I$1048576,3,0)),"",VLOOKUP(C17,'Saldo CtosEjecución'!$C$10:$I$1048576,3,0)))</f>
        <v/>
      </c>
      <c r="R17" s="135" t="str">
        <f t="shared" si="1"/>
        <v/>
      </c>
      <c r="S17" s="228"/>
    </row>
    <row r="18" spans="3:19" ht="13.5" hidden="1" thickBot="1" x14ac:dyDescent="0.25">
      <c r="C18" s="95" t="str">
        <f>+'Capacidad Financiera'!B20</f>
        <v/>
      </c>
      <c r="D18" s="137">
        <f>IF(ISERROR(VLOOKUP(C18,'Capacidad Financiera'!$B$12:$AD$59206,2,0)),"",VLOOKUP(C18,'Capacidad Financiera'!$B$12:$AD$59206,2,0))</f>
        <v>0</v>
      </c>
      <c r="E18" s="197">
        <f>IF(ISERROR(VLOOKUP(C18,'Capacidad Financiera'!$B$12:$AD$59206,3,0)),"",VLOOKUP(C18,'Capacidad Financiera'!$B$12:$AD$59206,3,0))</f>
        <v>0</v>
      </c>
      <c r="F18" s="139">
        <f>'Capacidad Financiera'!N20</f>
        <v>0</v>
      </c>
      <c r="G18" s="177" t="str">
        <f>IF(ISERROR(VLOOKUP(F18,POA!$A$2:$D$16,2,0)),"",VLOOKUP(F18,POA!$A$2:$D$16,2,0))</f>
        <v/>
      </c>
      <c r="H18" s="177" t="str">
        <f>IF(ISERROR(VLOOKUP(F18,POA!$A$2:$D$16,3,0)),"",VLOOKUP(F18,POA!$A$2:$D$16,4,0))</f>
        <v/>
      </c>
      <c r="I18" s="139" t="str">
        <f>IF(ISERROR(VLOOKUP(F18,POA!$A$2:$D$2,3,0)),"",VLOOKUP(F18,POA!$A$2:$D$2,3,0))</f>
        <v/>
      </c>
      <c r="J18" s="138" t="str">
        <f t="shared" si="2"/>
        <v/>
      </c>
      <c r="K18" s="218" t="str">
        <f>IF(IF(ISERROR(VLOOKUP(C18,'Cap Organización'!$C$10:$I$1048576,3,0)),"",VLOOKUP(C18,'Cap Organización'!$C$10:$I$1048576,3,0))=0,"",IF(ISERROR(VLOOKUP(C18,'Cap Organización'!$C$10:$I$1048576,3,0)),"",VLOOKUP(C18,'Cap Organización'!$C$10:$I$1048576,3,0)))</f>
        <v/>
      </c>
      <c r="L18" s="208" t="str">
        <f>IF(ISERROR(VLOOKUP(C18,'Puntaje Exp'!$C$10:$J$1048576,8,0)),"",VLOOKUP(C18,'Puntaje Exp'!$C$10:$J$1048576,8,0))</f>
        <v/>
      </c>
      <c r="M18" s="299">
        <f>+'Capacidad Financiera'!P20</f>
        <v>0</v>
      </c>
      <c r="N18" s="299" t="str">
        <f>IF(ISERROR(VLOOKUP(M18,POA!$A$2:$F$16,6,0)),"",VLOOKUP(M18,POA!$A$2:$F$16,6,0))</f>
        <v/>
      </c>
      <c r="O18" s="208" t="str">
        <f>IF(ISERROR(VLOOKUP(C18,'Puntaje CT'!$C$10:$I$1048576,4,0)),"",VLOOKUP(C18,'Puntaje CT'!$C$10:$I$1048576,4,0))</f>
        <v/>
      </c>
      <c r="P18" s="208" t="str">
        <f>IF(ISERROR(VLOOKUP(C18,'Puntaje CF'!$C$10:$I$1048576,6,0)),"",VLOOKUP(C18,'Puntaje CF'!$C$10:$I$1048576,6,0))</f>
        <v/>
      </c>
      <c r="Q18" s="218" t="str">
        <f>IF(IF(ISERROR(VLOOKUP(C18,'Saldo CtosEjecución'!$C$10:$I$1048576,3,0)),"",VLOOKUP(C18,'Saldo CtosEjecución'!$C$10:$I$1048576,3,0))=0,"",IF(ISERROR(VLOOKUP(C18,'Saldo CtosEjecución'!$C$10:$I$1048576,3,0)),"",VLOOKUP(C18,'Saldo CtosEjecución'!$C$10:$I$1048576,3,0)))</f>
        <v/>
      </c>
      <c r="R18" s="135" t="str">
        <f t="shared" si="1"/>
        <v/>
      </c>
      <c r="S18" s="228"/>
    </row>
    <row r="19" spans="3:19" ht="13.5" hidden="1" thickBot="1" x14ac:dyDescent="0.25">
      <c r="C19" s="95" t="str">
        <f>+'Capacidad Financiera'!B21</f>
        <v/>
      </c>
      <c r="D19" s="137">
        <f>IF(ISERROR(VLOOKUP(C19,'Capacidad Financiera'!$B$12:$AD$59206,2,0)),"",VLOOKUP(C19,'Capacidad Financiera'!$B$12:$AD$59206,2,0))</f>
        <v>0</v>
      </c>
      <c r="E19" s="197">
        <f>IF(ISERROR(VLOOKUP(C19,'Capacidad Financiera'!$B$12:$AD$59206,3,0)),"",VLOOKUP(C19,'Capacidad Financiera'!$B$12:$AD$59206,3,0))</f>
        <v>0</v>
      </c>
      <c r="F19" s="139">
        <f>'Capacidad Financiera'!N21</f>
        <v>0</v>
      </c>
      <c r="G19" s="177" t="str">
        <f>IF(ISERROR(VLOOKUP(F19,POA!$A$2:$D$16,2,0)),"",VLOOKUP(F19,POA!$A$2:$D$16,2,0))</f>
        <v/>
      </c>
      <c r="H19" s="177" t="str">
        <f>IF(ISERROR(VLOOKUP(F19,POA!$A$2:$D$16,3,0)),"",VLOOKUP(F19,POA!$A$2:$D$16,4,0))</f>
        <v/>
      </c>
      <c r="I19" s="139" t="str">
        <f>IF(ISERROR(VLOOKUP(F19,POA!$A$2:$D$2,3,0)),"",VLOOKUP(F19,POA!$A$2:$D$2,3,0))</f>
        <v/>
      </c>
      <c r="J19" s="138" t="str">
        <f t="shared" si="2"/>
        <v/>
      </c>
      <c r="K19" s="218" t="str">
        <f>IF(IF(ISERROR(VLOOKUP(C19,'Cap Organización'!$C$10:$I$1048576,3,0)),"",VLOOKUP(C19,'Cap Organización'!$C$10:$I$1048576,3,0))=0,"",IF(ISERROR(VLOOKUP(C19,'Cap Organización'!$C$10:$I$1048576,3,0)),"",VLOOKUP(C19,'Cap Organización'!$C$10:$I$1048576,3,0)))</f>
        <v/>
      </c>
      <c r="L19" s="208" t="str">
        <f>IF(ISERROR(VLOOKUP(C19,'Puntaje Exp'!$C$10:$J$1048576,8,0)),"",VLOOKUP(C19,'Puntaje Exp'!$C$10:$J$1048576,8,0))</f>
        <v/>
      </c>
      <c r="M19" s="299">
        <f>+'Capacidad Financiera'!P21</f>
        <v>0</v>
      </c>
      <c r="N19" s="299" t="str">
        <f>IF(ISERROR(VLOOKUP(M19,POA!$A$2:$F$16,6,0)),"",VLOOKUP(M19,POA!$A$2:$F$16,6,0))</f>
        <v/>
      </c>
      <c r="O19" s="208" t="str">
        <f>IF(ISERROR(VLOOKUP(C19,'Puntaje CT'!$C$10:$I$1048576,4,0)),"",VLOOKUP(C19,'Puntaje CT'!$C$10:$I$1048576,4,0))</f>
        <v/>
      </c>
      <c r="P19" s="208" t="str">
        <f>IF(ISERROR(VLOOKUP(C19,'Puntaje CF'!$C$10:$I$1048576,6,0)),"",VLOOKUP(C19,'Puntaje CF'!$C$10:$I$1048576,6,0))</f>
        <v/>
      </c>
      <c r="Q19" s="218" t="str">
        <f>IF(IF(ISERROR(VLOOKUP(C19,'Saldo CtosEjecución'!$C$10:$I$1048576,3,0)),"",VLOOKUP(C19,'Saldo CtosEjecución'!$C$10:$I$1048576,3,0))=0,"",IF(ISERROR(VLOOKUP(C19,'Saldo CtosEjecución'!$C$10:$I$1048576,3,0)),"",VLOOKUP(C19,'Saldo CtosEjecución'!$C$10:$I$1048576,3,0)))</f>
        <v/>
      </c>
      <c r="R19" s="135" t="str">
        <f t="shared" si="1"/>
        <v/>
      </c>
      <c r="S19" s="228"/>
    </row>
    <row r="20" spans="3:19" ht="13.5" hidden="1" thickBot="1" x14ac:dyDescent="0.25">
      <c r="C20" s="96" t="str">
        <f>+'Capacidad Financiera'!B22</f>
        <v/>
      </c>
      <c r="D20" s="97">
        <f>IF(ISERROR(VLOOKUP(C20,'Capacidad Financiera'!$B$12:$AD$59206,2,0)),"",VLOOKUP(C20,'Capacidad Financiera'!$B$12:$AD$59206,2,0))</f>
        <v>0</v>
      </c>
      <c r="E20" s="98">
        <f>IF(ISERROR(VLOOKUP(C20,'Capacidad Financiera'!$B$12:$AD$59206,3,0)),"",VLOOKUP(C20,'Capacidad Financiera'!$B$12:$AD$59206,3,0))</f>
        <v>0</v>
      </c>
      <c r="F20" s="172">
        <f>'Capacidad Financiera'!N22</f>
        <v>0</v>
      </c>
      <c r="G20" s="178" t="str">
        <f>IF(ISERROR(VLOOKUP(F20,POA!$A$2:$D$16,2,0)),"",VLOOKUP(F20,POA!$A$2:$D$16,2,0))</f>
        <v/>
      </c>
      <c r="H20" s="178" t="str">
        <f>IF(ISERROR(VLOOKUP(F20,POA!$A$2:$D$16,3,0)),"",VLOOKUP(F20,POA!$A$2:$D$16,4,0))</f>
        <v/>
      </c>
      <c r="I20" s="172" t="str">
        <f>IF(ISERROR(VLOOKUP(F20,POA!$A$2:$D$2,3,0)),"",VLOOKUP(F20,POA!$A$2:$D$2,3,0))</f>
        <v/>
      </c>
      <c r="J20" s="171" t="str">
        <f t="shared" si="2"/>
        <v/>
      </c>
      <c r="K20" s="219" t="str">
        <f>IF(IF(ISERROR(VLOOKUP(C20,'Cap Organización'!$C$10:$I$1048576,3,0)),"",VLOOKUP(C20,'Cap Organización'!$C$10:$I$1048576,3,0))=0,"",IF(ISERROR(VLOOKUP(C20,'Cap Organización'!$C$10:$I$1048576,3,0)),"",VLOOKUP(C20,'Cap Organización'!$C$10:$I$1048576,3,0)))</f>
        <v/>
      </c>
      <c r="L20" s="209" t="str">
        <f>IF(ISERROR(VLOOKUP(C20,'Puntaje Exp'!$C$10:$J$1048576,8,0)),"",VLOOKUP(C20,'Puntaje Exp'!$C$10:$J$1048576,8,0))</f>
        <v/>
      </c>
      <c r="M20" s="213">
        <f>+'Capacidad Financiera'!P22</f>
        <v>0</v>
      </c>
      <c r="N20" s="213" t="str">
        <f>IF(ISERROR(VLOOKUP(M20,POA!$A$2:$F$16,6,0)),"",VLOOKUP(M20,POA!$A$2:$F$16,6,0))</f>
        <v/>
      </c>
      <c r="O20" s="209" t="str">
        <f>IF(ISERROR(VLOOKUP(C20,'Puntaje CT'!$C$10:$I$1048576,4,0)),"",VLOOKUP(C20,'Puntaje CT'!$C$10:$I$1048576,4,0))</f>
        <v/>
      </c>
      <c r="P20" s="209" t="str">
        <f>IF(ISERROR(VLOOKUP(C20,'Puntaje CF'!$C$10:$I$1048576,6,0)),"",VLOOKUP(C20,'Puntaje CF'!$C$10:$I$1048576,6,0))</f>
        <v/>
      </c>
      <c r="Q20" s="219" t="str">
        <f>IF(IF(ISERROR(VLOOKUP(C20,'Saldo CtosEjecución'!$C$10:$I$1048576,3,0)),"",VLOOKUP(C20,'Saldo CtosEjecución'!$C$10:$I$1048576,3,0))=0,"",IF(ISERROR(VLOOKUP(C20,'Saldo CtosEjecución'!$C$10:$I$1048576,3,0)),"",VLOOKUP(C20,'Saldo CtosEjecución'!$C$10:$I$1048576,3,0)))</f>
        <v/>
      </c>
      <c r="R20" s="217" t="str">
        <f t="shared" si="1"/>
        <v/>
      </c>
      <c r="S20" s="229"/>
    </row>
    <row r="21" spans="3:19" x14ac:dyDescent="0.2">
      <c r="C21" s="90">
        <v>2</v>
      </c>
      <c r="D21" s="91">
        <f>IF(ISERROR(VLOOKUP(C21,'Capacidad Financiera'!$B$12:$AD$59206,2,0)),"",VLOOKUP(C21,'Capacidad Financiera'!$B$12:$AD$59206,2,0))</f>
        <v>0</v>
      </c>
      <c r="E21" s="92">
        <f>IF(ISERROR(VLOOKUP(C21,'Capacidad Financiera'!$B$12:$AD$59206,3,0)),"",VLOOKUP(C21,'Capacidad Financiera'!$B$12:$AD$59206,3,0))</f>
        <v>1</v>
      </c>
      <c r="F21" s="94">
        <f>'Capacidad Financiera'!N23</f>
        <v>1</v>
      </c>
      <c r="G21" s="93">
        <f>IF(ISERROR(VLOOKUP(F21,POA!$A$2:$D$16,2,0)),"",VLOOKUP(F21,POA!$A$2:$D$16,2,0))</f>
        <v>765000000</v>
      </c>
      <c r="H21" s="93">
        <f>IF(ISERROR(VLOOKUP(F21,POA!$A$2:$D$16,3,0)),"",VLOOKUP(F21,POA!$A$2:$D$16,4,0))</f>
        <v>229500000</v>
      </c>
      <c r="I21" s="94">
        <f>IF(ISERROR(VLOOKUP(F21,POA!$A$2:$D$2,3,0)),"",VLOOKUP(F21,POA!$A$2:$D$2,3,0))</f>
        <v>4</v>
      </c>
      <c r="J21" s="91">
        <f>IF(I21="","",IF(I21&lt;12,(G21-H21),IF(I21&gt;=12,(((G21-H21)/I21)*12),"")))</f>
        <v>535500000</v>
      </c>
      <c r="K21" s="94"/>
      <c r="L21" s="91"/>
      <c r="M21" s="91"/>
      <c r="N21" s="91">
        <f>+SUM(N22:N31)</f>
        <v>0</v>
      </c>
      <c r="O21" s="94" t="str">
        <f>IF(ISERROR(VLOOKUP(K21,POA!$A$2:$C$2,3,0)),"",VLOOKUP(K21,POA!$A$2:$C$2,3,0))</f>
        <v/>
      </c>
      <c r="P21" s="91" t="str">
        <f t="shared" ref="P21" si="3">IF(ISERROR(+L21/O21),"",(L21/O21))</f>
        <v/>
      </c>
      <c r="Q21" s="134"/>
      <c r="R21" s="134">
        <f>SUM(R22:R31)</f>
        <v>0</v>
      </c>
      <c r="S21" s="230" t="str">
        <f>+IF(OR(R21=0,F21=""),"",IF(R21&gt;=J21,"HABIL","NO HABIL"))</f>
        <v/>
      </c>
    </row>
    <row r="22" spans="3:19" ht="13.5" thickBot="1" x14ac:dyDescent="0.25">
      <c r="C22" s="95">
        <f>+'Capacidad Financiera'!B24</f>
        <v>2.1</v>
      </c>
      <c r="D22" s="137" t="str">
        <f>IF(ISERROR(VLOOKUP(C22,'Capacidad Financiera'!$B$12:$AD$59206,2,0)),"",VLOOKUP(C22,'Capacidad Financiera'!$B$12:$AD$59206,2,0))</f>
        <v>GAMA INGENIERIA SAS</v>
      </c>
      <c r="E22" s="197">
        <f>IF(ISERROR(VLOOKUP(C22,'Capacidad Financiera'!$B$12:$AD$59206,3,0)),"",VLOOKUP(C22,'Capacidad Financiera'!$B$12:$AD$59206,3,0))</f>
        <v>1</v>
      </c>
      <c r="F22" s="139">
        <f>'Capacidad Financiera'!N24</f>
        <v>0</v>
      </c>
      <c r="G22" s="177" t="str">
        <f>IF(ISERROR(VLOOKUP(F22,POA!$A$2:$D$16,2,0)),"",VLOOKUP(F22,POA!$A$2:$D$16,2,0))</f>
        <v/>
      </c>
      <c r="H22" s="177" t="str">
        <f>IF(ISERROR(VLOOKUP(F22,POA!$A$2:$D$16,3,0)),"",VLOOKUP(F22,POA!$A$2:$D$16,4,0))</f>
        <v/>
      </c>
      <c r="I22" s="139" t="str">
        <f>IF(ISERROR(VLOOKUP(F22,POA!$A$2:$D$2,3,0)),"",VLOOKUP(F22,POA!$A$2:$D$2,3,0))</f>
        <v/>
      </c>
      <c r="J22" s="138" t="str">
        <f>IF(I22="","",IF(I22&lt;12,(G22-H22),IF(I22&gt;=12,(((G22-H22)/I22)*12),"")))</f>
        <v/>
      </c>
      <c r="K22" s="218" t="str">
        <f>IF(IF(ISERROR(VLOOKUP(C22,'Cap Organización'!$C$10:$I$1048576,3,0)),"",VLOOKUP(C22,'Cap Organización'!$C$10:$I$1048576,3,0))=0,"",IF(ISERROR(VLOOKUP(C22,'Cap Organización'!$C$10:$I$1048576,3,0)),"",VLOOKUP(C22,'Cap Organización'!$C$10:$I$1048576,3,0)))</f>
        <v/>
      </c>
      <c r="L22" s="208">
        <f>IF(ISERROR(VLOOKUP(C22,'Puntaje Exp'!$C$10:$J$1048576,8,0)),"",VLOOKUP(C22,'Puntaje Exp'!$C$10:$J$1048576,8,0))</f>
        <v>120</v>
      </c>
      <c r="M22" s="208">
        <f>+'Capacidad Financiera'!P24</f>
        <v>0</v>
      </c>
      <c r="N22" s="208" t="str">
        <f>IF(ISERROR(VLOOKUP(M22,POA!$A$2:$F$16,6,0)),"",VLOOKUP(M22,POA!$A$2:$F$16,6,0))</f>
        <v/>
      </c>
      <c r="O22" s="208">
        <f>IF(ISERROR(VLOOKUP(C22,'Puntaje CT'!$C$10:$I$1048576,4,0)),"",VLOOKUP(C22,'Puntaje CT'!$C$10:$I$1048576,4,0))</f>
        <v>20</v>
      </c>
      <c r="P22" s="208">
        <f>IF(ISERROR(VLOOKUP(C22,'Puntaje CF'!$C$10:$I$1048576,6,0)),"",VLOOKUP(C22,'Puntaje CF'!$C$10:$I$1048576,6,0))</f>
        <v>40</v>
      </c>
      <c r="Q22" s="218">
        <v>0</v>
      </c>
      <c r="R22" s="135" t="str">
        <f>IF(OR(K22="",L22="",O22="",P22="",Q22=""),"",(K22*((L22+O22+P22)/100))-Q22)</f>
        <v/>
      </c>
      <c r="S22" s="228"/>
    </row>
    <row r="23" spans="3:19" ht="13.5" hidden="1" thickBot="1" x14ac:dyDescent="0.25">
      <c r="C23" s="95" t="str">
        <f>+'Capacidad Financiera'!B25</f>
        <v/>
      </c>
      <c r="D23" s="137">
        <f>IF(ISERROR(VLOOKUP(C23,'Capacidad Financiera'!$B$12:$AD$59206,2,0)),"",VLOOKUP(C23,'Capacidad Financiera'!$B$12:$AD$59206,2,0))</f>
        <v>0</v>
      </c>
      <c r="E23" s="197">
        <f>IF(ISERROR(VLOOKUP(C23,'Capacidad Financiera'!$B$12:$AD$59206,3,0)),"",VLOOKUP(C23,'Capacidad Financiera'!$B$12:$AD$59206,3,0))</f>
        <v>0</v>
      </c>
      <c r="F23" s="139">
        <f>'Capacidad Financiera'!N25</f>
        <v>0</v>
      </c>
      <c r="G23" s="177" t="str">
        <f>IF(ISERROR(VLOOKUP(F23,POA!$A$2:$D$16,2,0)),"",VLOOKUP(F23,POA!$A$2:$D$16,2,0))</f>
        <v/>
      </c>
      <c r="H23" s="177" t="str">
        <f>IF(ISERROR(VLOOKUP(F23,POA!$A$2:$D$16,3,0)),"",VLOOKUP(F23,POA!$A$2:$D$16,4,0))</f>
        <v/>
      </c>
      <c r="I23" s="139" t="str">
        <f>IF(ISERROR(VLOOKUP(F23,POA!$A$2:$D$2,3,0)),"",VLOOKUP(F23,POA!$A$2:$D$2,3,0))</f>
        <v/>
      </c>
      <c r="J23" s="138" t="str">
        <f>IF(I23="","",IF(I23&lt;12,(G23-H23),IF(I23&gt;=12,(((G23-H23)/I23)*12),"")))</f>
        <v/>
      </c>
      <c r="K23" s="218" t="str">
        <f>IF(IF(ISERROR(VLOOKUP(C23,'Cap Organización'!$C$10:$I$1048576,3,0)),"",VLOOKUP(C23,'Cap Organización'!$C$10:$I$1048576,3,0))=0,"",IF(ISERROR(VLOOKUP(C23,'Cap Organización'!$C$10:$I$1048576,3,0)),"",VLOOKUP(C23,'Cap Organización'!$C$10:$I$1048576,3,0)))</f>
        <v/>
      </c>
      <c r="L23" s="208" t="str">
        <f>IF(ISERROR(VLOOKUP(C23,'Puntaje Exp'!$C$10:$J$1048576,8,0)),"",VLOOKUP(C23,'Puntaje Exp'!$C$10:$J$1048576,8,0))</f>
        <v/>
      </c>
      <c r="M23" s="299">
        <f>+'Capacidad Financiera'!P25</f>
        <v>0</v>
      </c>
      <c r="N23" s="299" t="str">
        <f>IF(ISERROR(VLOOKUP(M23,POA!$A$2:$F$16,6,0)),"",VLOOKUP(M23,POA!$A$2:$F$16,6,0))</f>
        <v/>
      </c>
      <c r="O23" s="208" t="str">
        <f>IF(ISERROR(VLOOKUP(C23,'Puntaje CT'!$C$10:$I$1048576,4,0)),"",VLOOKUP(C23,'Puntaje CT'!$C$10:$I$1048576,4,0))</f>
        <v/>
      </c>
      <c r="P23" s="208" t="str">
        <f>IF(ISERROR(VLOOKUP(C23,'Puntaje CF'!$C$10:$I$1048576,6,0)),"",VLOOKUP(C23,'Puntaje CF'!$C$10:$I$1048576,6,0))</f>
        <v/>
      </c>
      <c r="Q23" s="218" t="str">
        <f>IF(IF(ISERROR(VLOOKUP(C23,'Saldo CtosEjecución'!$C$10:$I$1048576,3,0)),"",VLOOKUP(C23,'Saldo CtosEjecución'!$C$10:$I$1048576,3,0))=0,"",IF(ISERROR(VLOOKUP(C23,'Saldo CtosEjecución'!$C$10:$I$1048576,3,0)),"",VLOOKUP(C23,'Saldo CtosEjecución'!$C$10:$I$1048576,3,0)))</f>
        <v/>
      </c>
      <c r="R23" s="135" t="str">
        <f>IF(OR(K23="",L23="",O23="",P23="",Q23=""),"",(K23*((L23+O23+P23)/100))-Q23)</f>
        <v/>
      </c>
      <c r="S23" s="228"/>
    </row>
    <row r="24" spans="3:19" ht="13.5" hidden="1" thickBot="1" x14ac:dyDescent="0.25">
      <c r="C24" s="95" t="str">
        <f>+'Capacidad Financiera'!B26</f>
        <v/>
      </c>
      <c r="D24" s="137">
        <f>IF(ISERROR(VLOOKUP(C24,'Capacidad Financiera'!$B$12:$AD$59206,2,0)),"",VLOOKUP(C24,'Capacidad Financiera'!$B$12:$AD$59206,2,0))</f>
        <v>0</v>
      </c>
      <c r="E24" s="197">
        <f>IF(ISERROR(VLOOKUP(C24,'Capacidad Financiera'!$B$12:$AD$59206,3,0)),"",VLOOKUP(C24,'Capacidad Financiera'!$B$12:$AD$59206,3,0))</f>
        <v>0</v>
      </c>
      <c r="F24" s="139">
        <f>'Capacidad Financiera'!N26</f>
        <v>0</v>
      </c>
      <c r="G24" s="177" t="str">
        <f>IF(ISERROR(VLOOKUP(F24,POA!$A$2:$D$16,2,0)),"",VLOOKUP(F24,POA!$A$2:$D$16,2,0))</f>
        <v/>
      </c>
      <c r="H24" s="177" t="str">
        <f>IF(ISERROR(VLOOKUP(F24,POA!$A$2:$D$16,3,0)),"",VLOOKUP(F24,POA!$A$2:$D$16,4,0))</f>
        <v/>
      </c>
      <c r="I24" s="139" t="str">
        <f>IF(ISERROR(VLOOKUP(F24,POA!$A$2:$D$2,3,0)),"",VLOOKUP(F24,POA!$A$2:$D$2,3,0))</f>
        <v/>
      </c>
      <c r="J24" s="138" t="str">
        <f>IF(I24="","",IF(I24&lt;12,(G24-H24),IF(I24&gt;=12,(((G24-H24)/I24)*12),"")))</f>
        <v/>
      </c>
      <c r="K24" s="218" t="str">
        <f>IF(IF(ISERROR(VLOOKUP(C24,'Cap Organización'!$C$10:$I$1048576,3,0)),"",VLOOKUP(C24,'Cap Organización'!$C$10:$I$1048576,3,0))=0,"",IF(ISERROR(VLOOKUP(C24,'Cap Organización'!$C$10:$I$1048576,3,0)),"",VLOOKUP(C24,'Cap Organización'!$C$10:$I$1048576,3,0)))</f>
        <v/>
      </c>
      <c r="L24" s="208" t="str">
        <f>IF(ISERROR(VLOOKUP(C24,'Puntaje Exp'!$C$10:$J$1048576,8,0)),"",VLOOKUP(C24,'Puntaje Exp'!$C$10:$J$1048576,8,0))</f>
        <v/>
      </c>
      <c r="M24" s="299">
        <f>+'Capacidad Financiera'!P26</f>
        <v>0</v>
      </c>
      <c r="N24" s="299" t="str">
        <f>IF(ISERROR(VLOOKUP(M24,POA!$A$2:$F$16,6,0)),"",VLOOKUP(M24,POA!$A$2:$F$16,6,0))</f>
        <v/>
      </c>
      <c r="O24" s="208" t="str">
        <f>IF(ISERROR(VLOOKUP(C24,'Puntaje CT'!$C$10:$I$1048576,4,0)),"",VLOOKUP(C24,'Puntaje CT'!$C$10:$I$1048576,4,0))</f>
        <v/>
      </c>
      <c r="P24" s="208" t="str">
        <f>IF(ISERROR(VLOOKUP(C24,'Puntaje CF'!$C$10:$I$1048576,6,0)),"",VLOOKUP(C24,'Puntaje CF'!$C$10:$I$1048576,6,0))</f>
        <v/>
      </c>
      <c r="Q24" s="218" t="str">
        <f>IF(IF(ISERROR(VLOOKUP(C24,'Saldo CtosEjecución'!$C$10:$I$1048576,3,0)),"",VLOOKUP(C24,'Saldo CtosEjecución'!$C$10:$I$1048576,3,0))=0,"",IF(ISERROR(VLOOKUP(C24,'Saldo CtosEjecución'!$C$10:$I$1048576,3,0)),"",VLOOKUP(C24,'Saldo CtosEjecución'!$C$10:$I$1048576,3,0)))</f>
        <v/>
      </c>
      <c r="R24" s="135" t="str">
        <f t="shared" ref="R24:R31" si="4">IF(OR(K24="",L24="",O24="",P24="",Q24=""),"",(K24*((L24+O24+P24)/100))-Q24)</f>
        <v/>
      </c>
      <c r="S24" s="228"/>
    </row>
    <row r="25" spans="3:19" ht="13.5" hidden="1" thickBot="1" x14ac:dyDescent="0.25">
      <c r="C25" s="95" t="str">
        <f>+'Capacidad Financiera'!B27</f>
        <v/>
      </c>
      <c r="D25" s="137">
        <f>IF(ISERROR(VLOOKUP(C25,'Capacidad Financiera'!$B$12:$AD$59206,2,0)),"",VLOOKUP(C25,'Capacidad Financiera'!$B$12:$AD$59206,2,0))</f>
        <v>0</v>
      </c>
      <c r="E25" s="197">
        <f>IF(ISERROR(VLOOKUP(C25,'Capacidad Financiera'!$B$12:$AD$59206,3,0)),"",VLOOKUP(C25,'Capacidad Financiera'!$B$12:$AD$59206,3,0))</f>
        <v>0</v>
      </c>
      <c r="F25" s="139">
        <f>'Capacidad Financiera'!N27</f>
        <v>0</v>
      </c>
      <c r="G25" s="177" t="str">
        <f>IF(ISERROR(VLOOKUP(F25,POA!$A$2:$D$16,2,0)),"",VLOOKUP(F25,POA!$A$2:$D$16,2,0))</f>
        <v/>
      </c>
      <c r="H25" s="177" t="str">
        <f>IF(ISERROR(VLOOKUP(F25,POA!$A$2:$D$16,3,0)),"",VLOOKUP(F25,POA!$A$2:$D$16,4,0))</f>
        <v/>
      </c>
      <c r="I25" s="139" t="str">
        <f>IF(ISERROR(VLOOKUP(F25,POA!$A$2:$D$2,3,0)),"",VLOOKUP(F25,POA!$A$2:$D$2,3,0))</f>
        <v/>
      </c>
      <c r="J25" s="138" t="str">
        <f t="shared" ref="J25:J31" si="5">IF(I25="","",IF(I25&lt;12,(G25-H25),IF(I25&gt;=12,(((G25-H25)/I25)*12),"")))</f>
        <v/>
      </c>
      <c r="K25" s="218" t="str">
        <f>IF(IF(ISERROR(VLOOKUP(C25,'Cap Organización'!$C$10:$I$1048576,3,0)),"",VLOOKUP(C25,'Cap Organización'!$C$10:$I$1048576,3,0))=0,"",IF(ISERROR(VLOOKUP(C25,'Cap Organización'!$C$10:$I$1048576,3,0)),"",VLOOKUP(C25,'Cap Organización'!$C$10:$I$1048576,3,0)))</f>
        <v/>
      </c>
      <c r="L25" s="208" t="str">
        <f>IF(ISERROR(VLOOKUP(C25,'Puntaje Exp'!$C$10:$J$1048576,8,0)),"",VLOOKUP(C25,'Puntaje Exp'!$C$10:$J$1048576,8,0))</f>
        <v/>
      </c>
      <c r="M25" s="299">
        <f>+'Capacidad Financiera'!P27</f>
        <v>0</v>
      </c>
      <c r="N25" s="299" t="str">
        <f>IF(ISERROR(VLOOKUP(M25,POA!$A$2:$F$16,6,0)),"",VLOOKUP(M25,POA!$A$2:$F$16,6,0))</f>
        <v/>
      </c>
      <c r="O25" s="208" t="str">
        <f>IF(ISERROR(VLOOKUP(C25,'Puntaje CT'!$C$10:$I$1048576,4,0)),"",VLOOKUP(C25,'Puntaje CT'!$C$10:$I$1048576,4,0))</f>
        <v/>
      </c>
      <c r="P25" s="208" t="str">
        <f>IF(ISERROR(VLOOKUP(C25,'Puntaje CF'!$C$10:$I$1048576,6,0)),"",VLOOKUP(C25,'Puntaje CF'!$C$10:$I$1048576,6,0))</f>
        <v/>
      </c>
      <c r="Q25" s="218" t="str">
        <f>IF(IF(ISERROR(VLOOKUP(C25,'Saldo CtosEjecución'!$C$10:$I$1048576,3,0)),"",VLOOKUP(C25,'Saldo CtosEjecución'!$C$10:$I$1048576,3,0))=0,"",IF(ISERROR(VLOOKUP(C25,'Saldo CtosEjecución'!$C$10:$I$1048576,3,0)),"",VLOOKUP(C25,'Saldo CtosEjecución'!$C$10:$I$1048576,3,0)))</f>
        <v/>
      </c>
      <c r="R25" s="135" t="str">
        <f t="shared" si="4"/>
        <v/>
      </c>
      <c r="S25" s="228"/>
    </row>
    <row r="26" spans="3:19" ht="13.5" hidden="1" thickBot="1" x14ac:dyDescent="0.25">
      <c r="C26" s="95" t="str">
        <f>+'Capacidad Financiera'!B28</f>
        <v/>
      </c>
      <c r="D26" s="137">
        <f>IF(ISERROR(VLOOKUP(C26,'Capacidad Financiera'!$B$12:$AD$59206,2,0)),"",VLOOKUP(C26,'Capacidad Financiera'!$B$12:$AD$59206,2,0))</f>
        <v>0</v>
      </c>
      <c r="E26" s="197">
        <f>IF(ISERROR(VLOOKUP(C26,'Capacidad Financiera'!$B$12:$AD$59206,3,0)),"",VLOOKUP(C26,'Capacidad Financiera'!$B$12:$AD$59206,3,0))</f>
        <v>0</v>
      </c>
      <c r="F26" s="139">
        <f>'Capacidad Financiera'!N28</f>
        <v>0</v>
      </c>
      <c r="G26" s="177" t="str">
        <f>IF(ISERROR(VLOOKUP(F26,POA!$A$2:$D$16,2,0)),"",VLOOKUP(F26,POA!$A$2:$D$16,2,0))</f>
        <v/>
      </c>
      <c r="H26" s="177" t="str">
        <f>IF(ISERROR(VLOOKUP(F26,POA!$A$2:$D$16,3,0)),"",VLOOKUP(F26,POA!$A$2:$D$16,4,0))</f>
        <v/>
      </c>
      <c r="I26" s="139" t="str">
        <f>IF(ISERROR(VLOOKUP(F26,POA!$A$2:$D$2,3,0)),"",VLOOKUP(F26,POA!$A$2:$D$2,3,0))</f>
        <v/>
      </c>
      <c r="J26" s="138" t="str">
        <f t="shared" si="5"/>
        <v/>
      </c>
      <c r="K26" s="218" t="str">
        <f>IF(IF(ISERROR(VLOOKUP(C26,'Cap Organización'!$C$10:$I$1048576,3,0)),"",VLOOKUP(C26,'Cap Organización'!$C$10:$I$1048576,3,0))=0,"",IF(ISERROR(VLOOKUP(C26,'Cap Organización'!$C$10:$I$1048576,3,0)),"",VLOOKUP(C26,'Cap Organización'!$C$10:$I$1048576,3,0)))</f>
        <v/>
      </c>
      <c r="L26" s="208" t="str">
        <f>IF(ISERROR(VLOOKUP(C26,'Puntaje Exp'!$C$10:$J$1048576,8,0)),"",VLOOKUP(C26,'Puntaje Exp'!$C$10:$J$1048576,8,0))</f>
        <v/>
      </c>
      <c r="M26" s="299">
        <f>+'Capacidad Financiera'!P28</f>
        <v>0</v>
      </c>
      <c r="N26" s="299" t="str">
        <f>IF(ISERROR(VLOOKUP(M26,POA!$A$2:$F$16,6,0)),"",VLOOKUP(M26,POA!$A$2:$F$16,6,0))</f>
        <v/>
      </c>
      <c r="O26" s="208" t="str">
        <f>IF(ISERROR(VLOOKUP(C26,'Puntaje CT'!$C$10:$I$1048576,4,0)),"",VLOOKUP(C26,'Puntaje CT'!$C$10:$I$1048576,4,0))</f>
        <v/>
      </c>
      <c r="P26" s="208" t="str">
        <f>IF(ISERROR(VLOOKUP(C26,'Puntaje CF'!$C$10:$I$1048576,6,0)),"",VLOOKUP(C26,'Puntaje CF'!$C$10:$I$1048576,6,0))</f>
        <v/>
      </c>
      <c r="Q26" s="218" t="str">
        <f>IF(IF(ISERROR(VLOOKUP(C26,'Saldo CtosEjecución'!$C$10:$I$1048576,3,0)),"",VLOOKUP(C26,'Saldo CtosEjecución'!$C$10:$I$1048576,3,0))=0,"",IF(ISERROR(VLOOKUP(C26,'Saldo CtosEjecución'!$C$10:$I$1048576,3,0)),"",VLOOKUP(C26,'Saldo CtosEjecución'!$C$10:$I$1048576,3,0)))</f>
        <v/>
      </c>
      <c r="R26" s="135" t="str">
        <f t="shared" si="4"/>
        <v/>
      </c>
      <c r="S26" s="228"/>
    </row>
    <row r="27" spans="3:19" ht="13.5" hidden="1" thickBot="1" x14ac:dyDescent="0.25">
      <c r="C27" s="95" t="str">
        <f>+'Capacidad Financiera'!B29</f>
        <v/>
      </c>
      <c r="D27" s="137">
        <f>IF(ISERROR(VLOOKUP(C27,'Capacidad Financiera'!$B$12:$AD$59206,2,0)),"",VLOOKUP(C27,'Capacidad Financiera'!$B$12:$AD$59206,2,0))</f>
        <v>0</v>
      </c>
      <c r="E27" s="197">
        <f>IF(ISERROR(VLOOKUP(C27,'Capacidad Financiera'!$B$12:$AD$59206,3,0)),"",VLOOKUP(C27,'Capacidad Financiera'!$B$12:$AD$59206,3,0))</f>
        <v>0</v>
      </c>
      <c r="F27" s="139">
        <f>'Capacidad Financiera'!N29</f>
        <v>0</v>
      </c>
      <c r="G27" s="177" t="str">
        <f>IF(ISERROR(VLOOKUP(F27,POA!$A$2:$D$16,2,0)),"",VLOOKUP(F27,POA!$A$2:$D$16,2,0))</f>
        <v/>
      </c>
      <c r="H27" s="177" t="str">
        <f>IF(ISERROR(VLOOKUP(F27,POA!$A$2:$D$16,3,0)),"",VLOOKUP(F27,POA!$A$2:$D$16,4,0))</f>
        <v/>
      </c>
      <c r="I27" s="139" t="str">
        <f>IF(ISERROR(VLOOKUP(F27,POA!$A$2:$D$2,3,0)),"",VLOOKUP(F27,POA!$A$2:$D$2,3,0))</f>
        <v/>
      </c>
      <c r="J27" s="138" t="str">
        <f t="shared" si="5"/>
        <v/>
      </c>
      <c r="K27" s="218" t="str">
        <f>IF(IF(ISERROR(VLOOKUP(C27,'Cap Organización'!$C$10:$I$1048576,3,0)),"",VLOOKUP(C27,'Cap Organización'!$C$10:$I$1048576,3,0))=0,"",IF(ISERROR(VLOOKUP(C27,'Cap Organización'!$C$10:$I$1048576,3,0)),"",VLOOKUP(C27,'Cap Organización'!$C$10:$I$1048576,3,0)))</f>
        <v/>
      </c>
      <c r="L27" s="208" t="str">
        <f>IF(ISERROR(VLOOKUP(C27,'Puntaje Exp'!$C$10:$J$1048576,8,0)),"",VLOOKUP(C27,'Puntaje Exp'!$C$10:$J$1048576,8,0))</f>
        <v/>
      </c>
      <c r="M27" s="299">
        <f>+'Capacidad Financiera'!P29</f>
        <v>0</v>
      </c>
      <c r="N27" s="299" t="str">
        <f>IF(ISERROR(VLOOKUP(M27,POA!$A$2:$F$16,6,0)),"",VLOOKUP(M27,POA!$A$2:$F$16,6,0))</f>
        <v/>
      </c>
      <c r="O27" s="208" t="str">
        <f>IF(ISERROR(VLOOKUP(C27,'Puntaje CT'!$C$10:$I$1048576,4,0)),"",VLOOKUP(C27,'Puntaje CT'!$C$10:$I$1048576,4,0))</f>
        <v/>
      </c>
      <c r="P27" s="208" t="str">
        <f>IF(ISERROR(VLOOKUP(C27,'Puntaje CF'!$C$10:$I$1048576,6,0)),"",VLOOKUP(C27,'Puntaje CF'!$C$10:$I$1048576,6,0))</f>
        <v/>
      </c>
      <c r="Q27" s="218" t="str">
        <f>IF(IF(ISERROR(VLOOKUP(C27,'Saldo CtosEjecución'!$C$10:$I$1048576,3,0)),"",VLOOKUP(C27,'Saldo CtosEjecución'!$C$10:$I$1048576,3,0))=0,"",IF(ISERROR(VLOOKUP(C27,'Saldo CtosEjecución'!$C$10:$I$1048576,3,0)),"",VLOOKUP(C27,'Saldo CtosEjecución'!$C$10:$I$1048576,3,0)))</f>
        <v/>
      </c>
      <c r="R27" s="135" t="str">
        <f t="shared" si="4"/>
        <v/>
      </c>
      <c r="S27" s="228"/>
    </row>
    <row r="28" spans="3:19" ht="13.5" hidden="1" thickBot="1" x14ac:dyDescent="0.25">
      <c r="C28" s="95" t="str">
        <f>+'Capacidad Financiera'!B30</f>
        <v/>
      </c>
      <c r="D28" s="137">
        <f>IF(ISERROR(VLOOKUP(C28,'Capacidad Financiera'!$B$12:$AD$59206,2,0)),"",VLOOKUP(C28,'Capacidad Financiera'!$B$12:$AD$59206,2,0))</f>
        <v>0</v>
      </c>
      <c r="E28" s="197">
        <f>IF(ISERROR(VLOOKUP(C28,'Capacidad Financiera'!$B$12:$AD$59206,3,0)),"",VLOOKUP(C28,'Capacidad Financiera'!$B$12:$AD$59206,3,0))</f>
        <v>0</v>
      </c>
      <c r="F28" s="139">
        <f>'Capacidad Financiera'!N30</f>
        <v>0</v>
      </c>
      <c r="G28" s="177" t="str">
        <f>IF(ISERROR(VLOOKUP(F28,POA!$A$2:$D$16,2,0)),"",VLOOKUP(F28,POA!$A$2:$D$16,2,0))</f>
        <v/>
      </c>
      <c r="H28" s="177" t="str">
        <f>IF(ISERROR(VLOOKUP(F28,POA!$A$2:$D$16,3,0)),"",VLOOKUP(F28,POA!$A$2:$D$16,4,0))</f>
        <v/>
      </c>
      <c r="I28" s="139" t="str">
        <f>IF(ISERROR(VLOOKUP(F28,POA!$A$2:$D$2,3,0)),"",VLOOKUP(F28,POA!$A$2:$D$2,3,0))</f>
        <v/>
      </c>
      <c r="J28" s="138" t="str">
        <f t="shared" si="5"/>
        <v/>
      </c>
      <c r="K28" s="218" t="str">
        <f>IF(IF(ISERROR(VLOOKUP(C28,'Cap Organización'!$C$10:$I$1048576,3,0)),"",VLOOKUP(C28,'Cap Organización'!$C$10:$I$1048576,3,0))=0,"",IF(ISERROR(VLOOKUP(C28,'Cap Organización'!$C$10:$I$1048576,3,0)),"",VLOOKUP(C28,'Cap Organización'!$C$10:$I$1048576,3,0)))</f>
        <v/>
      </c>
      <c r="L28" s="208" t="str">
        <f>IF(ISERROR(VLOOKUP(C28,'Puntaje Exp'!$C$10:$J$1048576,8,0)),"",VLOOKUP(C28,'Puntaje Exp'!$C$10:$J$1048576,8,0))</f>
        <v/>
      </c>
      <c r="M28" s="299">
        <f>+'Capacidad Financiera'!P30</f>
        <v>0</v>
      </c>
      <c r="N28" s="299" t="str">
        <f>IF(ISERROR(VLOOKUP(M28,POA!$A$2:$F$16,6,0)),"",VLOOKUP(M28,POA!$A$2:$F$16,6,0))</f>
        <v/>
      </c>
      <c r="O28" s="208" t="str">
        <f>IF(ISERROR(VLOOKUP(C28,'Puntaje CT'!$C$10:$I$1048576,4,0)),"",VLOOKUP(C28,'Puntaje CT'!$C$10:$I$1048576,4,0))</f>
        <v/>
      </c>
      <c r="P28" s="208" t="str">
        <f>IF(ISERROR(VLOOKUP(C28,'Puntaje CF'!$C$10:$I$1048576,6,0)),"",VLOOKUP(C28,'Puntaje CF'!$C$10:$I$1048576,6,0))</f>
        <v/>
      </c>
      <c r="Q28" s="218" t="str">
        <f>IF(IF(ISERROR(VLOOKUP(C28,'Saldo CtosEjecución'!$C$10:$I$1048576,3,0)),"",VLOOKUP(C28,'Saldo CtosEjecución'!$C$10:$I$1048576,3,0))=0,"",IF(ISERROR(VLOOKUP(C28,'Saldo CtosEjecución'!$C$10:$I$1048576,3,0)),"",VLOOKUP(C28,'Saldo CtosEjecución'!$C$10:$I$1048576,3,0)))</f>
        <v/>
      </c>
      <c r="R28" s="135" t="str">
        <f t="shared" si="4"/>
        <v/>
      </c>
      <c r="S28" s="228"/>
    </row>
    <row r="29" spans="3:19" ht="13.5" hidden="1" thickBot="1" x14ac:dyDescent="0.25">
      <c r="C29" s="95" t="str">
        <f>+'Capacidad Financiera'!B31</f>
        <v/>
      </c>
      <c r="D29" s="137">
        <f>IF(ISERROR(VLOOKUP(C29,'Capacidad Financiera'!$B$12:$AD$59206,2,0)),"",VLOOKUP(C29,'Capacidad Financiera'!$B$12:$AD$59206,2,0))</f>
        <v>0</v>
      </c>
      <c r="E29" s="197">
        <f>IF(ISERROR(VLOOKUP(C29,'Capacidad Financiera'!$B$12:$AD$59206,3,0)),"",VLOOKUP(C29,'Capacidad Financiera'!$B$12:$AD$59206,3,0))</f>
        <v>0</v>
      </c>
      <c r="F29" s="139">
        <f>'Capacidad Financiera'!N31</f>
        <v>0</v>
      </c>
      <c r="G29" s="177" t="str">
        <f>IF(ISERROR(VLOOKUP(F29,POA!$A$2:$D$16,2,0)),"",VLOOKUP(F29,POA!$A$2:$D$16,2,0))</f>
        <v/>
      </c>
      <c r="H29" s="177" t="str">
        <f>IF(ISERROR(VLOOKUP(F29,POA!$A$2:$D$16,3,0)),"",VLOOKUP(F29,POA!$A$2:$D$16,4,0))</f>
        <v/>
      </c>
      <c r="I29" s="139" t="str">
        <f>IF(ISERROR(VLOOKUP(F29,POA!$A$2:$D$2,3,0)),"",VLOOKUP(F29,POA!$A$2:$D$2,3,0))</f>
        <v/>
      </c>
      <c r="J29" s="138" t="str">
        <f t="shared" si="5"/>
        <v/>
      </c>
      <c r="K29" s="218" t="str">
        <f>IF(IF(ISERROR(VLOOKUP(C29,'Cap Organización'!$C$10:$I$1048576,3,0)),"",VLOOKUP(C29,'Cap Organización'!$C$10:$I$1048576,3,0))=0,"",IF(ISERROR(VLOOKUP(C29,'Cap Organización'!$C$10:$I$1048576,3,0)),"",VLOOKUP(C29,'Cap Organización'!$C$10:$I$1048576,3,0)))</f>
        <v/>
      </c>
      <c r="L29" s="208" t="str">
        <f>IF(ISERROR(VLOOKUP(C29,'Puntaje Exp'!$C$10:$J$1048576,8,0)),"",VLOOKUP(C29,'Puntaje Exp'!$C$10:$J$1048576,8,0))</f>
        <v/>
      </c>
      <c r="M29" s="299">
        <f>+'Capacidad Financiera'!P31</f>
        <v>0</v>
      </c>
      <c r="N29" s="299" t="str">
        <f>IF(ISERROR(VLOOKUP(M29,POA!$A$2:$F$16,6,0)),"",VLOOKUP(M29,POA!$A$2:$F$16,6,0))</f>
        <v/>
      </c>
      <c r="O29" s="208" t="str">
        <f>IF(ISERROR(VLOOKUP(C29,'Puntaje CT'!$C$10:$I$1048576,4,0)),"",VLOOKUP(C29,'Puntaje CT'!$C$10:$I$1048576,4,0))</f>
        <v/>
      </c>
      <c r="P29" s="208" t="str">
        <f>IF(ISERROR(VLOOKUP(C29,'Puntaje CF'!$C$10:$I$1048576,6,0)),"",VLOOKUP(C29,'Puntaje CF'!$C$10:$I$1048576,6,0))</f>
        <v/>
      </c>
      <c r="Q29" s="218" t="str">
        <f>IF(IF(ISERROR(VLOOKUP(C29,'Saldo CtosEjecución'!$C$10:$I$1048576,3,0)),"",VLOOKUP(C29,'Saldo CtosEjecución'!$C$10:$I$1048576,3,0))=0,"",IF(ISERROR(VLOOKUP(C29,'Saldo CtosEjecución'!$C$10:$I$1048576,3,0)),"",VLOOKUP(C29,'Saldo CtosEjecución'!$C$10:$I$1048576,3,0)))</f>
        <v/>
      </c>
      <c r="R29" s="135" t="str">
        <f t="shared" si="4"/>
        <v/>
      </c>
      <c r="S29" s="228"/>
    </row>
    <row r="30" spans="3:19" ht="13.5" hidden="1" thickBot="1" x14ac:dyDescent="0.25">
      <c r="C30" s="95" t="str">
        <f>+'Capacidad Financiera'!B32</f>
        <v/>
      </c>
      <c r="D30" s="137">
        <f>IF(ISERROR(VLOOKUP(C30,'Capacidad Financiera'!$B$12:$AD$59206,2,0)),"",VLOOKUP(C30,'Capacidad Financiera'!$B$12:$AD$59206,2,0))</f>
        <v>0</v>
      </c>
      <c r="E30" s="197">
        <f>IF(ISERROR(VLOOKUP(C30,'Capacidad Financiera'!$B$12:$AD$59206,3,0)),"",VLOOKUP(C30,'Capacidad Financiera'!$B$12:$AD$59206,3,0))</f>
        <v>0</v>
      </c>
      <c r="F30" s="139">
        <f>'Capacidad Financiera'!N32</f>
        <v>0</v>
      </c>
      <c r="G30" s="177" t="str">
        <f>IF(ISERROR(VLOOKUP(F30,POA!$A$2:$D$16,2,0)),"",VLOOKUP(F30,POA!$A$2:$D$16,2,0))</f>
        <v/>
      </c>
      <c r="H30" s="177" t="str">
        <f>IF(ISERROR(VLOOKUP(F30,POA!$A$2:$D$16,3,0)),"",VLOOKUP(F30,POA!$A$2:$D$16,4,0))</f>
        <v/>
      </c>
      <c r="I30" s="139" t="str">
        <f>IF(ISERROR(VLOOKUP(F30,POA!$A$2:$D$2,3,0)),"",VLOOKUP(F30,POA!$A$2:$D$2,3,0))</f>
        <v/>
      </c>
      <c r="J30" s="138" t="str">
        <f t="shared" si="5"/>
        <v/>
      </c>
      <c r="K30" s="218" t="str">
        <f>IF(IF(ISERROR(VLOOKUP(C30,'Cap Organización'!$C$10:$I$1048576,3,0)),"",VLOOKUP(C30,'Cap Organización'!$C$10:$I$1048576,3,0))=0,"",IF(ISERROR(VLOOKUP(C30,'Cap Organización'!$C$10:$I$1048576,3,0)),"",VLOOKUP(C30,'Cap Organización'!$C$10:$I$1048576,3,0)))</f>
        <v/>
      </c>
      <c r="L30" s="208" t="str">
        <f>IF(ISERROR(VLOOKUP(C30,'Puntaje Exp'!$C$10:$J$1048576,8,0)),"",VLOOKUP(C30,'Puntaje Exp'!$C$10:$J$1048576,8,0))</f>
        <v/>
      </c>
      <c r="M30" s="299">
        <f>+'Capacidad Financiera'!P32</f>
        <v>0</v>
      </c>
      <c r="N30" s="299" t="str">
        <f>IF(ISERROR(VLOOKUP(M30,POA!$A$2:$F$16,6,0)),"",VLOOKUP(M30,POA!$A$2:$F$16,6,0))</f>
        <v/>
      </c>
      <c r="O30" s="208" t="str">
        <f>IF(ISERROR(VLOOKUP(C30,'Puntaje CT'!$C$10:$I$1048576,4,0)),"",VLOOKUP(C30,'Puntaje CT'!$C$10:$I$1048576,4,0))</f>
        <v/>
      </c>
      <c r="P30" s="208" t="str">
        <f>IF(ISERROR(VLOOKUP(C30,'Puntaje CF'!$C$10:$I$1048576,6,0)),"",VLOOKUP(C30,'Puntaje CF'!$C$10:$I$1048576,6,0))</f>
        <v/>
      </c>
      <c r="Q30" s="218" t="str">
        <f>IF(IF(ISERROR(VLOOKUP(C30,'Saldo CtosEjecución'!$C$10:$I$1048576,3,0)),"",VLOOKUP(C30,'Saldo CtosEjecución'!$C$10:$I$1048576,3,0))=0,"",IF(ISERROR(VLOOKUP(C30,'Saldo CtosEjecución'!$C$10:$I$1048576,3,0)),"",VLOOKUP(C30,'Saldo CtosEjecución'!$C$10:$I$1048576,3,0)))</f>
        <v/>
      </c>
      <c r="R30" s="135" t="str">
        <f t="shared" si="4"/>
        <v/>
      </c>
      <c r="S30" s="228"/>
    </row>
    <row r="31" spans="3:19" ht="13.5" hidden="1" thickBot="1" x14ac:dyDescent="0.25">
      <c r="C31" s="96" t="str">
        <f>+'Capacidad Financiera'!B33</f>
        <v/>
      </c>
      <c r="D31" s="97">
        <f>IF(ISERROR(VLOOKUP(C31,'Capacidad Financiera'!$B$12:$AD$59206,2,0)),"",VLOOKUP(C31,'Capacidad Financiera'!$B$12:$AD$59206,2,0))</f>
        <v>0</v>
      </c>
      <c r="E31" s="98">
        <f>IF(ISERROR(VLOOKUP(C31,'Capacidad Financiera'!$B$12:$AD$59206,3,0)),"",VLOOKUP(C31,'Capacidad Financiera'!$B$12:$AD$59206,3,0))</f>
        <v>0</v>
      </c>
      <c r="F31" s="172">
        <f>'Capacidad Financiera'!N33</f>
        <v>0</v>
      </c>
      <c r="G31" s="178" t="str">
        <f>IF(ISERROR(VLOOKUP(F31,POA!$A$2:$D$16,2,0)),"",VLOOKUP(F31,POA!$A$2:$D$16,2,0))</f>
        <v/>
      </c>
      <c r="H31" s="178" t="str">
        <f>IF(ISERROR(VLOOKUP(F31,POA!$A$2:$D$16,3,0)),"",VLOOKUP(F31,POA!$A$2:$D$16,4,0))</f>
        <v/>
      </c>
      <c r="I31" s="172" t="str">
        <f>IF(ISERROR(VLOOKUP(F31,POA!$A$2:$D$2,3,0)),"",VLOOKUP(F31,POA!$A$2:$D$2,3,0))</f>
        <v/>
      </c>
      <c r="J31" s="171" t="str">
        <f t="shared" si="5"/>
        <v/>
      </c>
      <c r="K31" s="219" t="str">
        <f>IF(IF(ISERROR(VLOOKUP(C31,'Cap Organización'!$C$10:$I$1048576,3,0)),"",VLOOKUP(C31,'Cap Organización'!$C$10:$I$1048576,3,0))=0,"",IF(ISERROR(VLOOKUP(C31,'Cap Organización'!$C$10:$I$1048576,3,0)),"",VLOOKUP(C31,'Cap Organización'!$C$10:$I$1048576,3,0)))</f>
        <v/>
      </c>
      <c r="L31" s="209" t="str">
        <f>IF(ISERROR(VLOOKUP(C31,'Puntaje Exp'!$C$10:$J$1048576,8,0)),"",VLOOKUP(C31,'Puntaje Exp'!$C$10:$J$1048576,8,0))</f>
        <v/>
      </c>
      <c r="M31" s="213">
        <f>+'Capacidad Financiera'!P33</f>
        <v>0</v>
      </c>
      <c r="N31" s="213" t="str">
        <f>IF(ISERROR(VLOOKUP(M31,POA!$A$2:$F$16,6,0)),"",VLOOKUP(M31,POA!$A$2:$F$16,6,0))</f>
        <v/>
      </c>
      <c r="O31" s="209" t="str">
        <f>IF(ISERROR(VLOOKUP(C31,'Puntaje CT'!$C$10:$I$1048576,4,0)),"",VLOOKUP(C31,'Puntaje CT'!$C$10:$I$1048576,4,0))</f>
        <v/>
      </c>
      <c r="P31" s="209" t="str">
        <f>IF(ISERROR(VLOOKUP(C31,'Puntaje CF'!$C$10:$I$1048576,6,0)),"",VLOOKUP(C31,'Puntaje CF'!$C$10:$I$1048576,6,0))</f>
        <v/>
      </c>
      <c r="Q31" s="219" t="str">
        <f>IF(IF(ISERROR(VLOOKUP(C31,'Saldo CtosEjecución'!$C$10:$I$1048576,3,0)),"",VLOOKUP(C31,'Saldo CtosEjecución'!$C$10:$I$1048576,3,0))=0,"",IF(ISERROR(VLOOKUP(C31,'Saldo CtosEjecución'!$C$10:$I$1048576,3,0)),"",VLOOKUP(C31,'Saldo CtosEjecución'!$C$10:$I$1048576,3,0)))</f>
        <v/>
      </c>
      <c r="R31" s="217" t="str">
        <f t="shared" si="4"/>
        <v/>
      </c>
      <c r="S31" s="229"/>
    </row>
    <row r="32" spans="3:19" x14ac:dyDescent="0.2">
      <c r="C32" s="90">
        <v>3</v>
      </c>
      <c r="D32" s="91">
        <f>IF(ISERROR(VLOOKUP(C32,'Capacidad Financiera'!$B$12:$AD$59206,2,0)),"",VLOOKUP(C32,'Capacidad Financiera'!$B$12:$AD$59206,2,0))</f>
        <v>0</v>
      </c>
      <c r="E32" s="92">
        <f>IF(ISERROR(VLOOKUP(C32,'Capacidad Financiera'!$B$12:$AD$59206,3,0)),"",VLOOKUP(C32,'Capacidad Financiera'!$B$12:$AD$59206,3,0))</f>
        <v>1</v>
      </c>
      <c r="F32" s="94">
        <f>'Capacidad Financiera'!N34</f>
        <v>1</v>
      </c>
      <c r="G32" s="93">
        <f>IF(ISERROR(VLOOKUP(F32,POA!$A$2:$D$16,2,0)),"",VLOOKUP(F32,POA!$A$2:$D$16,2,0))</f>
        <v>765000000</v>
      </c>
      <c r="H32" s="93">
        <f>IF(ISERROR(VLOOKUP(F32,POA!$A$2:$D$16,3,0)),"",VLOOKUP(F32,POA!$A$2:$D$16,4,0))</f>
        <v>229500000</v>
      </c>
      <c r="I32" s="94">
        <f>IF(ISERROR(VLOOKUP(F32,POA!$A$2:$D$2,3,0)),"",VLOOKUP(F32,POA!$A$2:$D$2,3,0))</f>
        <v>4</v>
      </c>
      <c r="J32" s="91">
        <f>IF(I32="","",IF(I32&lt;12,(G32-H32),IF(I32&gt;=12,(((G32-H32)/I32)*12),"")))</f>
        <v>535500000</v>
      </c>
      <c r="K32" s="94"/>
      <c r="L32" s="91"/>
      <c r="M32" s="91"/>
      <c r="N32" s="91">
        <f>+SUM(N33:N42)</f>
        <v>0</v>
      </c>
      <c r="O32" s="94" t="str">
        <f>IF(ISERROR(VLOOKUP(K32,POA!$A$2:$C$2,3,0)),"",VLOOKUP(K32,POA!$A$2:$C$2,3,0))</f>
        <v/>
      </c>
      <c r="P32" s="91" t="str">
        <f t="shared" ref="P32" si="6">IF(ISERROR(+L32/O32),"",(L32/O32))</f>
        <v/>
      </c>
      <c r="Q32" s="134"/>
      <c r="R32" s="134">
        <f>SUM(R33:R42)</f>
        <v>0</v>
      </c>
      <c r="S32" s="230" t="str">
        <f>+IF(OR(R32=0,F32=""),"",IF(R32&gt;=J32,"HABIL","NO HABIL"))</f>
        <v/>
      </c>
    </row>
    <row r="33" spans="3:19" ht="13.5" thickBot="1" x14ac:dyDescent="0.25">
      <c r="C33" s="95">
        <f>+'Capacidad Financiera'!B35</f>
        <v>3.1</v>
      </c>
      <c r="D33" s="137" t="str">
        <f>IF(ISERROR(VLOOKUP(C33,'Capacidad Financiera'!$B$12:$AD$59206,2,0)),"",VLOOKUP(C33,'Capacidad Financiera'!$B$12:$AD$59206,2,0))</f>
        <v>RODRIGO MATABANCHOY BOLAÑOS</v>
      </c>
      <c r="E33" s="197">
        <f>IF(ISERROR(VLOOKUP(C33,'Capacidad Financiera'!$B$12:$AD$59206,3,0)),"",VLOOKUP(C33,'Capacidad Financiera'!$B$12:$AD$59206,3,0))</f>
        <v>1</v>
      </c>
      <c r="F33" s="139">
        <f>'Capacidad Financiera'!N35</f>
        <v>0</v>
      </c>
      <c r="G33" s="177" t="str">
        <f>IF(ISERROR(VLOOKUP(F33,POA!$A$2:$D$16,2,0)),"",VLOOKUP(F33,POA!$A$2:$D$16,2,0))</f>
        <v/>
      </c>
      <c r="H33" s="177" t="str">
        <f>IF(ISERROR(VLOOKUP(F33,POA!$A$2:$D$16,3,0)),"",VLOOKUP(F33,POA!$A$2:$D$16,4,0))</f>
        <v/>
      </c>
      <c r="I33" s="139" t="str">
        <f>IF(ISERROR(VLOOKUP(F33,POA!$A$2:$D$2,3,0)),"",VLOOKUP(F33,POA!$A$2:$D$2,3,0))</f>
        <v/>
      </c>
      <c r="J33" s="138" t="str">
        <f>IF(I33="","",IF(I33&lt;12,(G33-H33),IF(I33&gt;=12,(((G33-H33)/I33)*12),"")))</f>
        <v/>
      </c>
      <c r="K33" s="218" t="str">
        <f>IF(IF(ISERROR(VLOOKUP(C33,'Cap Organización'!$C$10:$I$1048576,3,0)),"",VLOOKUP(C33,'Cap Organización'!$C$10:$I$1048576,3,0))=0,"",IF(ISERROR(VLOOKUP(C33,'Cap Organización'!$C$10:$I$1048576,3,0)),"",VLOOKUP(C33,'Cap Organización'!$C$10:$I$1048576,3,0)))</f>
        <v/>
      </c>
      <c r="L33" s="208">
        <f>IF(ISERROR(VLOOKUP(C33,'Puntaje Exp'!$C$10:$J$1048576,8,0)),"",VLOOKUP(C33,'Puntaje Exp'!$C$10:$J$1048576,8,0))</f>
        <v>120</v>
      </c>
      <c r="M33" s="208">
        <f>+'Capacidad Financiera'!P35</f>
        <v>0</v>
      </c>
      <c r="N33" s="208" t="str">
        <f>IF(ISERROR(VLOOKUP(M33,POA!$A$2:$F$16,6,0)),"",VLOOKUP(M33,POA!$A$2:$F$16,6,0))</f>
        <v/>
      </c>
      <c r="O33" s="208">
        <f>IF(ISERROR(VLOOKUP(C33,'Puntaje CT'!$C$10:$I$1048576,4,0)),"",VLOOKUP(C33,'Puntaje CT'!$C$10:$I$1048576,4,0))</f>
        <v>20</v>
      </c>
      <c r="P33" s="208">
        <f>IF(ISERROR(VLOOKUP(C33,'Puntaje CF'!$C$10:$I$1048576,6,0)),"",VLOOKUP(C33,'Puntaje CF'!$C$10:$I$1048576,6,0))</f>
        <v>40</v>
      </c>
      <c r="Q33" s="218">
        <f>IF(IF(ISERROR(VLOOKUP(C33,'Saldo CtosEjecución'!$C$10:$I$1048576,3,0)),"",VLOOKUP(C33,'Saldo CtosEjecución'!$C$10:$I$1048576,3,0))=0,"",IF(ISERROR(VLOOKUP(C33,'Saldo CtosEjecución'!$C$10:$I$1048576,3,0)),"",VLOOKUP(C33,'Saldo CtosEjecución'!$C$10:$I$1048576,3,0)))</f>
        <v>209218953</v>
      </c>
      <c r="R33" s="135" t="str">
        <f>IF(OR(K33="",L33="",O33="",P33="",Q33=""),"",(K33*((L33+O33+P33)/100))-Q33)</f>
        <v/>
      </c>
      <c r="S33" s="228"/>
    </row>
    <row r="34" spans="3:19" ht="13.5" hidden="1" thickBot="1" x14ac:dyDescent="0.25">
      <c r="C34" s="95" t="str">
        <f>+'Capacidad Financiera'!B36</f>
        <v/>
      </c>
      <c r="D34" s="137">
        <f>IF(ISERROR(VLOOKUP(C34,'Capacidad Financiera'!$B$12:$AD$59206,2,0)),"",VLOOKUP(C34,'Capacidad Financiera'!$B$12:$AD$59206,2,0))</f>
        <v>0</v>
      </c>
      <c r="E34" s="197">
        <f>IF(ISERROR(VLOOKUP(C34,'Capacidad Financiera'!$B$12:$AD$59206,3,0)),"",VLOOKUP(C34,'Capacidad Financiera'!$B$12:$AD$59206,3,0))</f>
        <v>0</v>
      </c>
      <c r="F34" s="139">
        <f>'Capacidad Financiera'!N36</f>
        <v>0</v>
      </c>
      <c r="G34" s="177" t="str">
        <f>IF(ISERROR(VLOOKUP(F34,POA!$A$2:$D$16,2,0)),"",VLOOKUP(F34,POA!$A$2:$D$16,2,0))</f>
        <v/>
      </c>
      <c r="H34" s="177" t="str">
        <f>IF(ISERROR(VLOOKUP(F34,POA!$A$2:$D$16,3,0)),"",VLOOKUP(F34,POA!$A$2:$D$16,4,0))</f>
        <v/>
      </c>
      <c r="I34" s="139" t="str">
        <f>IF(ISERROR(VLOOKUP(F34,POA!$A$2:$D$2,3,0)),"",VLOOKUP(F34,POA!$A$2:$D$2,3,0))</f>
        <v/>
      </c>
      <c r="J34" s="138" t="str">
        <f>IF(I34="","",IF(I34&lt;12,(G34-H34),IF(I34&gt;=12,(((G34-H34)/I34)*12),"")))</f>
        <v/>
      </c>
      <c r="K34" s="218" t="str">
        <f>IF(IF(ISERROR(VLOOKUP(C34,'Cap Organización'!$C$10:$I$1048576,3,0)),"",VLOOKUP(C34,'Cap Organización'!$C$10:$I$1048576,3,0))=0,"",IF(ISERROR(VLOOKUP(C34,'Cap Organización'!$C$10:$I$1048576,3,0)),"",VLOOKUP(C34,'Cap Organización'!$C$10:$I$1048576,3,0)))</f>
        <v/>
      </c>
      <c r="L34" s="208" t="str">
        <f>IF(ISERROR(VLOOKUP(C34,'Puntaje Exp'!$C$10:$J$1048576,8,0)),"",VLOOKUP(C34,'Puntaje Exp'!$C$10:$J$1048576,8,0))</f>
        <v/>
      </c>
      <c r="M34" s="299">
        <f>+'Capacidad Financiera'!P36</f>
        <v>0</v>
      </c>
      <c r="N34" s="299" t="str">
        <f>IF(ISERROR(VLOOKUP(M34,POA!$A$2:$F$16,6,0)),"",VLOOKUP(M34,POA!$A$2:$F$16,6,0))</f>
        <v/>
      </c>
      <c r="O34" s="208" t="str">
        <f>IF(ISERROR(VLOOKUP(C34,'Puntaje CT'!$C$10:$I$1048576,4,0)),"",VLOOKUP(C34,'Puntaje CT'!$C$10:$I$1048576,4,0))</f>
        <v/>
      </c>
      <c r="P34" s="208" t="str">
        <f>IF(ISERROR(VLOOKUP(C34,'Puntaje CF'!$C$10:$I$1048576,6,0)),"",VLOOKUP(C34,'Puntaje CF'!$C$10:$I$1048576,6,0))</f>
        <v/>
      </c>
      <c r="Q34" s="218" t="str">
        <f>IF(IF(ISERROR(VLOOKUP(C34,'Saldo CtosEjecución'!$C$10:$I$1048576,3,0)),"",VLOOKUP(C34,'Saldo CtosEjecución'!$C$10:$I$1048576,3,0))=0,"",IF(ISERROR(VLOOKUP(C34,'Saldo CtosEjecución'!$C$10:$I$1048576,3,0)),"",VLOOKUP(C34,'Saldo CtosEjecución'!$C$10:$I$1048576,3,0)))</f>
        <v/>
      </c>
      <c r="R34" s="135" t="str">
        <f>IF(OR(K34="",L34="",O34="",P34="",Q34=""),"",(K34*((L34+O34+P34)/100))-Q34)</f>
        <v/>
      </c>
      <c r="S34" s="228"/>
    </row>
    <row r="35" spans="3:19" ht="13.5" hidden="1" thickBot="1" x14ac:dyDescent="0.25">
      <c r="C35" s="95" t="str">
        <f>+'Capacidad Financiera'!B37</f>
        <v/>
      </c>
      <c r="D35" s="137">
        <f>IF(ISERROR(VLOOKUP(C35,'Capacidad Financiera'!$B$12:$AD$59206,2,0)),"",VLOOKUP(C35,'Capacidad Financiera'!$B$12:$AD$59206,2,0))</f>
        <v>0</v>
      </c>
      <c r="E35" s="197">
        <f>IF(ISERROR(VLOOKUP(C35,'Capacidad Financiera'!$B$12:$AD$59206,3,0)),"",VLOOKUP(C35,'Capacidad Financiera'!$B$12:$AD$59206,3,0))</f>
        <v>0</v>
      </c>
      <c r="F35" s="139">
        <f>'Capacidad Financiera'!N37</f>
        <v>0</v>
      </c>
      <c r="G35" s="177" t="str">
        <f>IF(ISERROR(VLOOKUP(F35,POA!$A$2:$D$16,2,0)),"",VLOOKUP(F35,POA!$A$2:$D$16,2,0))</f>
        <v/>
      </c>
      <c r="H35" s="177" t="str">
        <f>IF(ISERROR(VLOOKUP(F35,POA!$A$2:$D$16,3,0)),"",VLOOKUP(F35,POA!$A$2:$D$16,4,0))</f>
        <v/>
      </c>
      <c r="I35" s="139" t="str">
        <f>IF(ISERROR(VLOOKUP(F35,POA!$A$2:$D$2,3,0)),"",VLOOKUP(F35,POA!$A$2:$D$2,3,0))</f>
        <v/>
      </c>
      <c r="J35" s="138" t="str">
        <f>IF(I35="","",IF(I35&lt;12,(G35-H35),IF(I35&gt;=12,(((G35-H35)/I35)*12),"")))</f>
        <v/>
      </c>
      <c r="K35" s="218" t="str">
        <f>IF(IF(ISERROR(VLOOKUP(C35,'Cap Organización'!$C$10:$I$1048576,3,0)),"",VLOOKUP(C35,'Cap Organización'!$C$10:$I$1048576,3,0))=0,"",IF(ISERROR(VLOOKUP(C35,'Cap Organización'!$C$10:$I$1048576,3,0)),"",VLOOKUP(C35,'Cap Organización'!$C$10:$I$1048576,3,0)))</f>
        <v/>
      </c>
      <c r="L35" s="208" t="str">
        <f>IF(ISERROR(VLOOKUP(C35,'Puntaje Exp'!$C$10:$J$1048576,8,0)),"",VLOOKUP(C35,'Puntaje Exp'!$C$10:$J$1048576,8,0))</f>
        <v/>
      </c>
      <c r="M35" s="299">
        <f>+'Capacidad Financiera'!P37</f>
        <v>0</v>
      </c>
      <c r="N35" s="299" t="str">
        <f>IF(ISERROR(VLOOKUP(M35,POA!$A$2:$F$16,6,0)),"",VLOOKUP(M35,POA!$A$2:$F$16,6,0))</f>
        <v/>
      </c>
      <c r="O35" s="208" t="str">
        <f>IF(ISERROR(VLOOKUP(C35,'Puntaje CT'!$C$10:$I$1048576,4,0)),"",VLOOKUP(C35,'Puntaje CT'!$C$10:$I$1048576,4,0))</f>
        <v/>
      </c>
      <c r="P35" s="208" t="str">
        <f>IF(ISERROR(VLOOKUP(C35,'Puntaje CF'!$C$10:$I$1048576,6,0)),"",VLOOKUP(C35,'Puntaje CF'!$C$10:$I$1048576,6,0))</f>
        <v/>
      </c>
      <c r="Q35" s="218" t="str">
        <f>IF(IF(ISERROR(VLOOKUP(C35,'Saldo CtosEjecución'!$C$10:$I$1048576,3,0)),"",VLOOKUP(C35,'Saldo CtosEjecución'!$C$10:$I$1048576,3,0))=0,"",IF(ISERROR(VLOOKUP(C35,'Saldo CtosEjecución'!$C$10:$I$1048576,3,0)),"",VLOOKUP(C35,'Saldo CtosEjecución'!$C$10:$I$1048576,3,0)))</f>
        <v/>
      </c>
      <c r="R35" s="135" t="str">
        <f t="shared" ref="R35:R42" si="7">IF(OR(K35="",L35="",O35="",P35="",Q35=""),"",(K35*((L35+O35+P35)/100))-Q35)</f>
        <v/>
      </c>
      <c r="S35" s="228"/>
    </row>
    <row r="36" spans="3:19" ht="13.5" hidden="1" thickBot="1" x14ac:dyDescent="0.25">
      <c r="C36" s="95" t="str">
        <f>+'Capacidad Financiera'!B38</f>
        <v/>
      </c>
      <c r="D36" s="137">
        <f>IF(ISERROR(VLOOKUP(C36,'Capacidad Financiera'!$B$12:$AD$59206,2,0)),"",VLOOKUP(C36,'Capacidad Financiera'!$B$12:$AD$59206,2,0))</f>
        <v>0</v>
      </c>
      <c r="E36" s="197">
        <f>IF(ISERROR(VLOOKUP(C36,'Capacidad Financiera'!$B$12:$AD$59206,3,0)),"",VLOOKUP(C36,'Capacidad Financiera'!$B$12:$AD$59206,3,0))</f>
        <v>0</v>
      </c>
      <c r="F36" s="139">
        <f>'Capacidad Financiera'!N38</f>
        <v>0</v>
      </c>
      <c r="G36" s="177" t="str">
        <f>IF(ISERROR(VLOOKUP(F36,POA!$A$2:$D$16,2,0)),"",VLOOKUP(F36,POA!$A$2:$D$16,2,0))</f>
        <v/>
      </c>
      <c r="H36" s="177" t="str">
        <f>IF(ISERROR(VLOOKUP(F36,POA!$A$2:$D$16,3,0)),"",VLOOKUP(F36,POA!$A$2:$D$16,4,0))</f>
        <v/>
      </c>
      <c r="I36" s="139" t="str">
        <f>IF(ISERROR(VLOOKUP(F36,POA!$A$2:$D$2,3,0)),"",VLOOKUP(F36,POA!$A$2:$D$2,3,0))</f>
        <v/>
      </c>
      <c r="J36" s="138" t="str">
        <f t="shared" ref="J36:J42" si="8">IF(I36="","",IF(I36&lt;12,(G36-H36),IF(I36&gt;=12,(((G36-H36)/I36)*12),"")))</f>
        <v/>
      </c>
      <c r="K36" s="218" t="str">
        <f>IF(IF(ISERROR(VLOOKUP(C36,'Cap Organización'!$C$10:$I$1048576,3,0)),"",VLOOKUP(C36,'Cap Organización'!$C$10:$I$1048576,3,0))=0,"",IF(ISERROR(VLOOKUP(C36,'Cap Organización'!$C$10:$I$1048576,3,0)),"",VLOOKUP(C36,'Cap Organización'!$C$10:$I$1048576,3,0)))</f>
        <v/>
      </c>
      <c r="L36" s="208" t="str">
        <f>IF(ISERROR(VLOOKUP(C36,'Puntaje Exp'!$C$10:$J$1048576,8,0)),"",VLOOKUP(C36,'Puntaje Exp'!$C$10:$J$1048576,8,0))</f>
        <v/>
      </c>
      <c r="M36" s="299">
        <f>+'Capacidad Financiera'!P38</f>
        <v>0</v>
      </c>
      <c r="N36" s="299" t="str">
        <f>IF(ISERROR(VLOOKUP(M36,POA!$A$2:$F$16,6,0)),"",VLOOKUP(M36,POA!$A$2:$F$16,6,0))</f>
        <v/>
      </c>
      <c r="O36" s="208" t="str">
        <f>IF(ISERROR(VLOOKUP(C36,'Puntaje CT'!$C$10:$I$1048576,4,0)),"",VLOOKUP(C36,'Puntaje CT'!$C$10:$I$1048576,4,0))</f>
        <v/>
      </c>
      <c r="P36" s="208" t="str">
        <f>IF(ISERROR(VLOOKUP(C36,'Puntaje CF'!$C$10:$I$1048576,6,0)),"",VLOOKUP(C36,'Puntaje CF'!$C$10:$I$1048576,6,0))</f>
        <v/>
      </c>
      <c r="Q36" s="218" t="str">
        <f>IF(IF(ISERROR(VLOOKUP(C36,'Saldo CtosEjecución'!$C$10:$I$1048576,3,0)),"",VLOOKUP(C36,'Saldo CtosEjecución'!$C$10:$I$1048576,3,0))=0,"",IF(ISERROR(VLOOKUP(C36,'Saldo CtosEjecución'!$C$10:$I$1048576,3,0)),"",VLOOKUP(C36,'Saldo CtosEjecución'!$C$10:$I$1048576,3,0)))</f>
        <v/>
      </c>
      <c r="R36" s="135" t="str">
        <f t="shared" si="7"/>
        <v/>
      </c>
      <c r="S36" s="228"/>
    </row>
    <row r="37" spans="3:19" ht="13.5" hidden="1" thickBot="1" x14ac:dyDescent="0.25">
      <c r="C37" s="95" t="str">
        <f>+'Capacidad Financiera'!B39</f>
        <v/>
      </c>
      <c r="D37" s="137">
        <f>IF(ISERROR(VLOOKUP(C37,'Capacidad Financiera'!$B$12:$AD$59206,2,0)),"",VLOOKUP(C37,'Capacidad Financiera'!$B$12:$AD$59206,2,0))</f>
        <v>0</v>
      </c>
      <c r="E37" s="197">
        <f>IF(ISERROR(VLOOKUP(C37,'Capacidad Financiera'!$B$12:$AD$59206,3,0)),"",VLOOKUP(C37,'Capacidad Financiera'!$B$12:$AD$59206,3,0))</f>
        <v>0</v>
      </c>
      <c r="F37" s="139">
        <f>'Capacidad Financiera'!N39</f>
        <v>0</v>
      </c>
      <c r="G37" s="177" t="str">
        <f>IF(ISERROR(VLOOKUP(F37,POA!$A$2:$D$16,2,0)),"",VLOOKUP(F37,POA!$A$2:$D$16,2,0))</f>
        <v/>
      </c>
      <c r="H37" s="177" t="str">
        <f>IF(ISERROR(VLOOKUP(F37,POA!$A$2:$D$16,3,0)),"",VLOOKUP(F37,POA!$A$2:$D$16,4,0))</f>
        <v/>
      </c>
      <c r="I37" s="139" t="str">
        <f>IF(ISERROR(VLOOKUP(F37,POA!$A$2:$D$2,3,0)),"",VLOOKUP(F37,POA!$A$2:$D$2,3,0))</f>
        <v/>
      </c>
      <c r="J37" s="138" t="str">
        <f t="shared" si="8"/>
        <v/>
      </c>
      <c r="K37" s="218" t="str">
        <f>IF(IF(ISERROR(VLOOKUP(C37,'Cap Organización'!$C$10:$I$1048576,3,0)),"",VLOOKUP(C37,'Cap Organización'!$C$10:$I$1048576,3,0))=0,"",IF(ISERROR(VLOOKUP(C37,'Cap Organización'!$C$10:$I$1048576,3,0)),"",VLOOKUP(C37,'Cap Organización'!$C$10:$I$1048576,3,0)))</f>
        <v/>
      </c>
      <c r="L37" s="208" t="str">
        <f>IF(ISERROR(VLOOKUP(C37,'Puntaje Exp'!$C$10:$J$1048576,8,0)),"",VLOOKUP(C37,'Puntaje Exp'!$C$10:$J$1048576,8,0))</f>
        <v/>
      </c>
      <c r="M37" s="299">
        <f>+'Capacidad Financiera'!P39</f>
        <v>0</v>
      </c>
      <c r="N37" s="299" t="str">
        <f>IF(ISERROR(VLOOKUP(M37,POA!$A$2:$F$16,6,0)),"",VLOOKUP(M37,POA!$A$2:$F$16,6,0))</f>
        <v/>
      </c>
      <c r="O37" s="208" t="str">
        <f>IF(ISERROR(VLOOKUP(C37,'Puntaje CT'!$C$10:$I$1048576,4,0)),"",VLOOKUP(C37,'Puntaje CT'!$C$10:$I$1048576,4,0))</f>
        <v/>
      </c>
      <c r="P37" s="208" t="str">
        <f>IF(ISERROR(VLOOKUP(C37,'Puntaje CF'!$C$10:$I$1048576,6,0)),"",VLOOKUP(C37,'Puntaje CF'!$C$10:$I$1048576,6,0))</f>
        <v/>
      </c>
      <c r="Q37" s="218" t="str">
        <f>IF(IF(ISERROR(VLOOKUP(C37,'Saldo CtosEjecución'!$C$10:$I$1048576,3,0)),"",VLOOKUP(C37,'Saldo CtosEjecución'!$C$10:$I$1048576,3,0))=0,"",IF(ISERROR(VLOOKUP(C37,'Saldo CtosEjecución'!$C$10:$I$1048576,3,0)),"",VLOOKUP(C37,'Saldo CtosEjecución'!$C$10:$I$1048576,3,0)))</f>
        <v/>
      </c>
      <c r="R37" s="135" t="str">
        <f t="shared" si="7"/>
        <v/>
      </c>
      <c r="S37" s="228"/>
    </row>
    <row r="38" spans="3:19" ht="13.5" hidden="1" thickBot="1" x14ac:dyDescent="0.25">
      <c r="C38" s="95" t="str">
        <f>+'Capacidad Financiera'!B40</f>
        <v/>
      </c>
      <c r="D38" s="137">
        <f>IF(ISERROR(VLOOKUP(C38,'Capacidad Financiera'!$B$12:$AD$59206,2,0)),"",VLOOKUP(C38,'Capacidad Financiera'!$B$12:$AD$59206,2,0))</f>
        <v>0</v>
      </c>
      <c r="E38" s="197">
        <f>IF(ISERROR(VLOOKUP(C38,'Capacidad Financiera'!$B$12:$AD$59206,3,0)),"",VLOOKUP(C38,'Capacidad Financiera'!$B$12:$AD$59206,3,0))</f>
        <v>0</v>
      </c>
      <c r="F38" s="139">
        <f>'Capacidad Financiera'!N40</f>
        <v>0</v>
      </c>
      <c r="G38" s="177" t="str">
        <f>IF(ISERROR(VLOOKUP(F38,POA!$A$2:$D$16,2,0)),"",VLOOKUP(F38,POA!$A$2:$D$16,2,0))</f>
        <v/>
      </c>
      <c r="H38" s="177" t="str">
        <f>IF(ISERROR(VLOOKUP(F38,POA!$A$2:$D$16,3,0)),"",VLOOKUP(F38,POA!$A$2:$D$16,4,0))</f>
        <v/>
      </c>
      <c r="I38" s="139" t="str">
        <f>IF(ISERROR(VLOOKUP(F38,POA!$A$2:$D$2,3,0)),"",VLOOKUP(F38,POA!$A$2:$D$2,3,0))</f>
        <v/>
      </c>
      <c r="J38" s="138" t="str">
        <f t="shared" si="8"/>
        <v/>
      </c>
      <c r="K38" s="218" t="str">
        <f>IF(IF(ISERROR(VLOOKUP(C38,'Cap Organización'!$C$10:$I$1048576,3,0)),"",VLOOKUP(C38,'Cap Organización'!$C$10:$I$1048576,3,0))=0,"",IF(ISERROR(VLOOKUP(C38,'Cap Organización'!$C$10:$I$1048576,3,0)),"",VLOOKUP(C38,'Cap Organización'!$C$10:$I$1048576,3,0)))</f>
        <v/>
      </c>
      <c r="L38" s="208" t="str">
        <f>IF(ISERROR(VLOOKUP(C38,'Puntaje Exp'!$C$10:$J$1048576,8,0)),"",VLOOKUP(C38,'Puntaje Exp'!$C$10:$J$1048576,8,0))</f>
        <v/>
      </c>
      <c r="M38" s="299">
        <f>+'Capacidad Financiera'!P40</f>
        <v>0</v>
      </c>
      <c r="N38" s="299" t="str">
        <f>IF(ISERROR(VLOOKUP(M38,POA!$A$2:$F$16,6,0)),"",VLOOKUP(M38,POA!$A$2:$F$16,6,0))</f>
        <v/>
      </c>
      <c r="O38" s="208" t="str">
        <f>IF(ISERROR(VLOOKUP(C38,'Puntaje CT'!$C$10:$I$1048576,4,0)),"",VLOOKUP(C38,'Puntaje CT'!$C$10:$I$1048576,4,0))</f>
        <v/>
      </c>
      <c r="P38" s="208" t="str">
        <f>IF(ISERROR(VLOOKUP(C38,'Puntaje CF'!$C$10:$I$1048576,6,0)),"",VLOOKUP(C38,'Puntaje CF'!$C$10:$I$1048576,6,0))</f>
        <v/>
      </c>
      <c r="Q38" s="218" t="str">
        <f>IF(IF(ISERROR(VLOOKUP(C38,'Saldo CtosEjecución'!$C$10:$I$1048576,3,0)),"",VLOOKUP(C38,'Saldo CtosEjecución'!$C$10:$I$1048576,3,0))=0,"",IF(ISERROR(VLOOKUP(C38,'Saldo CtosEjecución'!$C$10:$I$1048576,3,0)),"",VLOOKUP(C38,'Saldo CtosEjecución'!$C$10:$I$1048576,3,0)))</f>
        <v/>
      </c>
      <c r="R38" s="135" t="str">
        <f t="shared" si="7"/>
        <v/>
      </c>
      <c r="S38" s="228"/>
    </row>
    <row r="39" spans="3:19" ht="13.5" hidden="1" thickBot="1" x14ac:dyDescent="0.25">
      <c r="C39" s="95" t="str">
        <f>+'Capacidad Financiera'!B41</f>
        <v/>
      </c>
      <c r="D39" s="137">
        <f>IF(ISERROR(VLOOKUP(C39,'Capacidad Financiera'!$B$12:$AD$59206,2,0)),"",VLOOKUP(C39,'Capacidad Financiera'!$B$12:$AD$59206,2,0))</f>
        <v>0</v>
      </c>
      <c r="E39" s="197">
        <f>IF(ISERROR(VLOOKUP(C39,'Capacidad Financiera'!$B$12:$AD$59206,3,0)),"",VLOOKUP(C39,'Capacidad Financiera'!$B$12:$AD$59206,3,0))</f>
        <v>0</v>
      </c>
      <c r="F39" s="139">
        <f>'Capacidad Financiera'!N41</f>
        <v>0</v>
      </c>
      <c r="G39" s="177" t="str">
        <f>IF(ISERROR(VLOOKUP(F39,POA!$A$2:$D$16,2,0)),"",VLOOKUP(F39,POA!$A$2:$D$16,2,0))</f>
        <v/>
      </c>
      <c r="H39" s="177" t="str">
        <f>IF(ISERROR(VLOOKUP(F39,POA!$A$2:$D$16,3,0)),"",VLOOKUP(F39,POA!$A$2:$D$16,4,0))</f>
        <v/>
      </c>
      <c r="I39" s="139" t="str">
        <f>IF(ISERROR(VLOOKUP(F39,POA!$A$2:$D$2,3,0)),"",VLOOKUP(F39,POA!$A$2:$D$2,3,0))</f>
        <v/>
      </c>
      <c r="J39" s="138" t="str">
        <f t="shared" si="8"/>
        <v/>
      </c>
      <c r="K39" s="218" t="str">
        <f>IF(IF(ISERROR(VLOOKUP(C39,'Cap Organización'!$C$10:$I$1048576,3,0)),"",VLOOKUP(C39,'Cap Organización'!$C$10:$I$1048576,3,0))=0,"",IF(ISERROR(VLOOKUP(C39,'Cap Organización'!$C$10:$I$1048576,3,0)),"",VLOOKUP(C39,'Cap Organización'!$C$10:$I$1048576,3,0)))</f>
        <v/>
      </c>
      <c r="L39" s="208" t="str">
        <f>IF(ISERROR(VLOOKUP(C39,'Puntaje Exp'!$C$10:$J$1048576,8,0)),"",VLOOKUP(C39,'Puntaje Exp'!$C$10:$J$1048576,8,0))</f>
        <v/>
      </c>
      <c r="M39" s="299">
        <f>+'Capacidad Financiera'!P41</f>
        <v>0</v>
      </c>
      <c r="N39" s="299" t="str">
        <f>IF(ISERROR(VLOOKUP(M39,POA!$A$2:$F$16,6,0)),"",VLOOKUP(M39,POA!$A$2:$F$16,6,0))</f>
        <v/>
      </c>
      <c r="O39" s="208" t="str">
        <f>IF(ISERROR(VLOOKUP(C39,'Puntaje CT'!$C$10:$I$1048576,4,0)),"",VLOOKUP(C39,'Puntaje CT'!$C$10:$I$1048576,4,0))</f>
        <v/>
      </c>
      <c r="P39" s="208" t="str">
        <f>IF(ISERROR(VLOOKUP(C39,'Puntaje CF'!$C$10:$I$1048576,6,0)),"",VLOOKUP(C39,'Puntaje CF'!$C$10:$I$1048576,6,0))</f>
        <v/>
      </c>
      <c r="Q39" s="218" t="str">
        <f>IF(IF(ISERROR(VLOOKUP(C39,'Saldo CtosEjecución'!$C$10:$I$1048576,3,0)),"",VLOOKUP(C39,'Saldo CtosEjecución'!$C$10:$I$1048576,3,0))=0,"",IF(ISERROR(VLOOKUP(C39,'Saldo CtosEjecución'!$C$10:$I$1048576,3,0)),"",VLOOKUP(C39,'Saldo CtosEjecución'!$C$10:$I$1048576,3,0)))</f>
        <v/>
      </c>
      <c r="R39" s="135" t="str">
        <f t="shared" si="7"/>
        <v/>
      </c>
      <c r="S39" s="228"/>
    </row>
    <row r="40" spans="3:19" ht="13.5" hidden="1" thickBot="1" x14ac:dyDescent="0.25">
      <c r="C40" s="95" t="str">
        <f>+'Capacidad Financiera'!B42</f>
        <v/>
      </c>
      <c r="D40" s="137">
        <f>IF(ISERROR(VLOOKUP(C40,'Capacidad Financiera'!$B$12:$AD$59206,2,0)),"",VLOOKUP(C40,'Capacidad Financiera'!$B$12:$AD$59206,2,0))</f>
        <v>0</v>
      </c>
      <c r="E40" s="197">
        <f>IF(ISERROR(VLOOKUP(C40,'Capacidad Financiera'!$B$12:$AD$59206,3,0)),"",VLOOKUP(C40,'Capacidad Financiera'!$B$12:$AD$59206,3,0))</f>
        <v>0</v>
      </c>
      <c r="F40" s="139">
        <f>'Capacidad Financiera'!N42</f>
        <v>0</v>
      </c>
      <c r="G40" s="177" t="str">
        <f>IF(ISERROR(VLOOKUP(F40,POA!$A$2:$D$16,2,0)),"",VLOOKUP(F40,POA!$A$2:$D$16,2,0))</f>
        <v/>
      </c>
      <c r="H40" s="177" t="str">
        <f>IF(ISERROR(VLOOKUP(F40,POA!$A$2:$D$16,3,0)),"",VLOOKUP(F40,POA!$A$2:$D$16,4,0))</f>
        <v/>
      </c>
      <c r="I40" s="139" t="str">
        <f>IF(ISERROR(VLOOKUP(F40,POA!$A$2:$D$2,3,0)),"",VLOOKUP(F40,POA!$A$2:$D$2,3,0))</f>
        <v/>
      </c>
      <c r="J40" s="138" t="str">
        <f t="shared" si="8"/>
        <v/>
      </c>
      <c r="K40" s="218" t="str">
        <f>IF(IF(ISERROR(VLOOKUP(C40,'Cap Organización'!$C$10:$I$1048576,3,0)),"",VLOOKUP(C40,'Cap Organización'!$C$10:$I$1048576,3,0))=0,"",IF(ISERROR(VLOOKUP(C40,'Cap Organización'!$C$10:$I$1048576,3,0)),"",VLOOKUP(C40,'Cap Organización'!$C$10:$I$1048576,3,0)))</f>
        <v/>
      </c>
      <c r="L40" s="208" t="str">
        <f>IF(ISERROR(VLOOKUP(C40,'Puntaje Exp'!$C$10:$J$1048576,8,0)),"",VLOOKUP(C40,'Puntaje Exp'!$C$10:$J$1048576,8,0))</f>
        <v/>
      </c>
      <c r="M40" s="299">
        <f>+'Capacidad Financiera'!P42</f>
        <v>0</v>
      </c>
      <c r="N40" s="299" t="str">
        <f>IF(ISERROR(VLOOKUP(M40,POA!$A$2:$F$16,6,0)),"",VLOOKUP(M40,POA!$A$2:$F$16,6,0))</f>
        <v/>
      </c>
      <c r="O40" s="208" t="str">
        <f>IF(ISERROR(VLOOKUP(C40,'Puntaje CT'!$C$10:$I$1048576,4,0)),"",VLOOKUP(C40,'Puntaje CT'!$C$10:$I$1048576,4,0))</f>
        <v/>
      </c>
      <c r="P40" s="208" t="str">
        <f>IF(ISERROR(VLOOKUP(C40,'Puntaje CF'!$C$10:$I$1048576,6,0)),"",VLOOKUP(C40,'Puntaje CF'!$C$10:$I$1048576,6,0))</f>
        <v/>
      </c>
      <c r="Q40" s="218" t="str">
        <f>IF(IF(ISERROR(VLOOKUP(C40,'Saldo CtosEjecución'!$C$10:$I$1048576,3,0)),"",VLOOKUP(C40,'Saldo CtosEjecución'!$C$10:$I$1048576,3,0))=0,"",IF(ISERROR(VLOOKUP(C40,'Saldo CtosEjecución'!$C$10:$I$1048576,3,0)),"",VLOOKUP(C40,'Saldo CtosEjecución'!$C$10:$I$1048576,3,0)))</f>
        <v/>
      </c>
      <c r="R40" s="135" t="str">
        <f t="shared" si="7"/>
        <v/>
      </c>
      <c r="S40" s="228"/>
    </row>
    <row r="41" spans="3:19" ht="13.5" hidden="1" thickBot="1" x14ac:dyDescent="0.25">
      <c r="C41" s="95" t="str">
        <f>+'Capacidad Financiera'!B43</f>
        <v/>
      </c>
      <c r="D41" s="137">
        <f>IF(ISERROR(VLOOKUP(C41,'Capacidad Financiera'!$B$12:$AD$59206,2,0)),"",VLOOKUP(C41,'Capacidad Financiera'!$B$12:$AD$59206,2,0))</f>
        <v>0</v>
      </c>
      <c r="E41" s="197">
        <f>IF(ISERROR(VLOOKUP(C41,'Capacidad Financiera'!$B$12:$AD$59206,3,0)),"",VLOOKUP(C41,'Capacidad Financiera'!$B$12:$AD$59206,3,0))</f>
        <v>0</v>
      </c>
      <c r="F41" s="139">
        <f>'Capacidad Financiera'!N43</f>
        <v>0</v>
      </c>
      <c r="G41" s="177" t="str">
        <f>IF(ISERROR(VLOOKUP(F41,POA!$A$2:$D$16,2,0)),"",VLOOKUP(F41,POA!$A$2:$D$16,2,0))</f>
        <v/>
      </c>
      <c r="H41" s="177" t="str">
        <f>IF(ISERROR(VLOOKUP(F41,POA!$A$2:$D$16,3,0)),"",VLOOKUP(F41,POA!$A$2:$D$16,4,0))</f>
        <v/>
      </c>
      <c r="I41" s="139" t="str">
        <f>IF(ISERROR(VLOOKUP(F41,POA!$A$2:$D$2,3,0)),"",VLOOKUP(F41,POA!$A$2:$D$2,3,0))</f>
        <v/>
      </c>
      <c r="J41" s="138" t="str">
        <f t="shared" si="8"/>
        <v/>
      </c>
      <c r="K41" s="218" t="str">
        <f>IF(IF(ISERROR(VLOOKUP(C41,'Cap Organización'!$C$10:$I$1048576,3,0)),"",VLOOKUP(C41,'Cap Organización'!$C$10:$I$1048576,3,0))=0,"",IF(ISERROR(VLOOKUP(C41,'Cap Organización'!$C$10:$I$1048576,3,0)),"",VLOOKUP(C41,'Cap Organización'!$C$10:$I$1048576,3,0)))</f>
        <v/>
      </c>
      <c r="L41" s="208" t="str">
        <f>IF(ISERROR(VLOOKUP(C41,'Puntaje Exp'!$C$10:$J$1048576,8,0)),"",VLOOKUP(C41,'Puntaje Exp'!$C$10:$J$1048576,8,0))</f>
        <v/>
      </c>
      <c r="M41" s="299">
        <f>+'Capacidad Financiera'!P43</f>
        <v>0</v>
      </c>
      <c r="N41" s="299" t="str">
        <f>IF(ISERROR(VLOOKUP(M41,POA!$A$2:$F$16,6,0)),"",VLOOKUP(M41,POA!$A$2:$F$16,6,0))</f>
        <v/>
      </c>
      <c r="O41" s="208" t="str">
        <f>IF(ISERROR(VLOOKUP(C41,'Puntaje CT'!$C$10:$I$1048576,4,0)),"",VLOOKUP(C41,'Puntaje CT'!$C$10:$I$1048576,4,0))</f>
        <v/>
      </c>
      <c r="P41" s="208" t="str">
        <f>IF(ISERROR(VLOOKUP(C41,'Puntaje CF'!$C$10:$I$1048576,6,0)),"",VLOOKUP(C41,'Puntaje CF'!$C$10:$I$1048576,6,0))</f>
        <v/>
      </c>
      <c r="Q41" s="218" t="str">
        <f>IF(IF(ISERROR(VLOOKUP(C41,'Saldo CtosEjecución'!$C$10:$I$1048576,3,0)),"",VLOOKUP(C41,'Saldo CtosEjecución'!$C$10:$I$1048576,3,0))=0,"",IF(ISERROR(VLOOKUP(C41,'Saldo CtosEjecución'!$C$10:$I$1048576,3,0)),"",VLOOKUP(C41,'Saldo CtosEjecución'!$C$10:$I$1048576,3,0)))</f>
        <v/>
      </c>
      <c r="R41" s="135" t="str">
        <f t="shared" si="7"/>
        <v/>
      </c>
      <c r="S41" s="228"/>
    </row>
    <row r="42" spans="3:19" ht="13.5" hidden="1" thickBot="1" x14ac:dyDescent="0.25">
      <c r="C42" s="96" t="str">
        <f>+'Capacidad Financiera'!B44</f>
        <v/>
      </c>
      <c r="D42" s="97">
        <f>IF(ISERROR(VLOOKUP(C42,'Capacidad Financiera'!$B$12:$AD$59206,2,0)),"",VLOOKUP(C42,'Capacidad Financiera'!$B$12:$AD$59206,2,0))</f>
        <v>0</v>
      </c>
      <c r="E42" s="98">
        <f>IF(ISERROR(VLOOKUP(C42,'Capacidad Financiera'!$B$12:$AD$59206,3,0)),"",VLOOKUP(C42,'Capacidad Financiera'!$B$12:$AD$59206,3,0))</f>
        <v>0</v>
      </c>
      <c r="F42" s="172">
        <f>'Capacidad Financiera'!N44</f>
        <v>0</v>
      </c>
      <c r="G42" s="178" t="str">
        <f>IF(ISERROR(VLOOKUP(F42,POA!$A$2:$D$16,2,0)),"",VLOOKUP(F42,POA!$A$2:$D$16,2,0))</f>
        <v/>
      </c>
      <c r="H42" s="178" t="str">
        <f>IF(ISERROR(VLOOKUP(F42,POA!$A$2:$D$16,3,0)),"",VLOOKUP(F42,POA!$A$2:$D$16,4,0))</f>
        <v/>
      </c>
      <c r="I42" s="172" t="str">
        <f>IF(ISERROR(VLOOKUP(F42,POA!$A$2:$D$2,3,0)),"",VLOOKUP(F42,POA!$A$2:$D$2,3,0))</f>
        <v/>
      </c>
      <c r="J42" s="171" t="str">
        <f t="shared" si="8"/>
        <v/>
      </c>
      <c r="K42" s="219" t="str">
        <f>IF(IF(ISERROR(VLOOKUP(C42,'Cap Organización'!$C$10:$I$1048576,3,0)),"",VLOOKUP(C42,'Cap Organización'!$C$10:$I$1048576,3,0))=0,"",IF(ISERROR(VLOOKUP(C42,'Cap Organización'!$C$10:$I$1048576,3,0)),"",VLOOKUP(C42,'Cap Organización'!$C$10:$I$1048576,3,0)))</f>
        <v/>
      </c>
      <c r="L42" s="209" t="str">
        <f>IF(ISERROR(VLOOKUP(C42,'Puntaje Exp'!$C$10:$J$1048576,8,0)),"",VLOOKUP(C42,'Puntaje Exp'!$C$10:$J$1048576,8,0))</f>
        <v/>
      </c>
      <c r="M42" s="213">
        <f>+'Capacidad Financiera'!P44</f>
        <v>0</v>
      </c>
      <c r="N42" s="213" t="str">
        <f>IF(ISERROR(VLOOKUP(M42,POA!$A$2:$F$16,6,0)),"",VLOOKUP(M42,POA!$A$2:$F$16,6,0))</f>
        <v/>
      </c>
      <c r="O42" s="209" t="str">
        <f>IF(ISERROR(VLOOKUP(C42,'Puntaje CT'!$C$10:$I$1048576,4,0)),"",VLOOKUP(C42,'Puntaje CT'!$C$10:$I$1048576,4,0))</f>
        <v/>
      </c>
      <c r="P42" s="209" t="str">
        <f>IF(ISERROR(VLOOKUP(C42,'Puntaje CF'!$C$10:$I$1048576,6,0)),"",VLOOKUP(C42,'Puntaje CF'!$C$10:$I$1048576,6,0))</f>
        <v/>
      </c>
      <c r="Q42" s="219" t="str">
        <f>IF(IF(ISERROR(VLOOKUP(C42,'Saldo CtosEjecución'!$C$10:$I$1048576,3,0)),"",VLOOKUP(C42,'Saldo CtosEjecución'!$C$10:$I$1048576,3,0))=0,"",IF(ISERROR(VLOOKUP(C42,'Saldo CtosEjecución'!$C$10:$I$1048576,3,0)),"",VLOOKUP(C42,'Saldo CtosEjecución'!$C$10:$I$1048576,3,0)))</f>
        <v/>
      </c>
      <c r="R42" s="217" t="str">
        <f t="shared" si="7"/>
        <v/>
      </c>
      <c r="S42" s="229"/>
    </row>
    <row r="43" spans="3:19" x14ac:dyDescent="0.2">
      <c r="C43" s="90">
        <v>4</v>
      </c>
      <c r="D43" s="91" t="str">
        <f>IF(ISERROR(VLOOKUP(C43,'Capacidad Financiera'!$B$12:$AD$59206,2,0)),"",VLOOKUP(C43,'Capacidad Financiera'!$B$12:$AD$59206,2,0))</f>
        <v>CONSORCIO CAFRA 2024</v>
      </c>
      <c r="E43" s="92">
        <f>IF(ISERROR(VLOOKUP(C43,'Capacidad Financiera'!$B$12:$AD$59206,3,0)),"",VLOOKUP(C43,'Capacidad Financiera'!$B$12:$AD$59206,3,0))</f>
        <v>1</v>
      </c>
      <c r="F43" s="94">
        <f>'Capacidad Financiera'!N45</f>
        <v>1</v>
      </c>
      <c r="G43" s="93">
        <f>IF(ISERROR(VLOOKUP(F43,POA!$A$2:$D$16,2,0)),"",VLOOKUP(F43,POA!$A$2:$D$16,2,0))</f>
        <v>765000000</v>
      </c>
      <c r="H43" s="93">
        <f>IF(ISERROR(VLOOKUP(F43,POA!$A$2:$D$16,3,0)),"",VLOOKUP(F43,POA!$A$2:$D$16,4,0))</f>
        <v>229500000</v>
      </c>
      <c r="I43" s="94">
        <f>IF(ISERROR(VLOOKUP(F43,POA!$A$2:$D$2,3,0)),"",VLOOKUP(F43,POA!$A$2:$D$2,3,0))</f>
        <v>4</v>
      </c>
      <c r="J43" s="91">
        <f>IF(I43="","",IF(I43&lt;12,(G43-H43),IF(I43&gt;=12,(((G43-H43)/I43)*12),"")))</f>
        <v>535500000</v>
      </c>
      <c r="K43" s="94"/>
      <c r="L43" s="91"/>
      <c r="M43" s="91"/>
      <c r="N43" s="91">
        <f>+SUM(N44:N53)</f>
        <v>0</v>
      </c>
      <c r="O43" s="94" t="str">
        <f>IF(ISERROR(VLOOKUP(K43,POA!$A$2:$C$2,3,0)),"",VLOOKUP(K43,POA!$A$2:$C$2,3,0))</f>
        <v/>
      </c>
      <c r="P43" s="91" t="str">
        <f t="shared" ref="P43" si="9">IF(ISERROR(+L43/O43),"",(L43/O43))</f>
        <v/>
      </c>
      <c r="Q43" s="134"/>
      <c r="R43" s="134">
        <f>SUM(R44:R53)</f>
        <v>0</v>
      </c>
      <c r="S43" s="230" t="str">
        <f>+IF(OR(R43=0,F43=""),"",IF(R43&gt;=J43,"HABIL","NO HABIL"))</f>
        <v/>
      </c>
    </row>
    <row r="44" spans="3:19" x14ac:dyDescent="0.2">
      <c r="C44" s="95">
        <f>+'Capacidad Financiera'!B46</f>
        <v>4.0999999999999996</v>
      </c>
      <c r="D44" s="137" t="str">
        <f>IF(ISERROR(VLOOKUP(C44,'Capacidad Financiera'!$B$12:$AD$59206,2,0)),"",VLOOKUP(C44,'Capacidad Financiera'!$B$12:$AD$59206,2,0))</f>
        <v>CARRILES DEL ORIENTE</v>
      </c>
      <c r="E44" s="197">
        <f>IF(ISERROR(VLOOKUP(C44,'Capacidad Financiera'!$B$12:$AD$59206,3,0)),"",VLOOKUP(C44,'Capacidad Financiera'!$B$12:$AD$59206,3,0))</f>
        <v>0.1</v>
      </c>
      <c r="F44" s="139">
        <f>'Capacidad Financiera'!N46</f>
        <v>0</v>
      </c>
      <c r="G44" s="177" t="str">
        <f>IF(ISERROR(VLOOKUP(F44,POA!$A$2:$D$16,2,0)),"",VLOOKUP(F44,POA!$A$2:$D$16,2,0))</f>
        <v/>
      </c>
      <c r="H44" s="177" t="str">
        <f>IF(ISERROR(VLOOKUP(F44,POA!$A$2:$D$16,3,0)),"",VLOOKUP(F44,POA!$A$2:$D$16,4,0))</f>
        <v/>
      </c>
      <c r="I44" s="139" t="str">
        <f>IF(ISERROR(VLOOKUP(F44,POA!$A$2:$D$2,3,0)),"",VLOOKUP(F44,POA!$A$2:$D$2,3,0))</f>
        <v/>
      </c>
      <c r="J44" s="138" t="str">
        <f>IF(I44="","",IF(I44&lt;12,(G44-H44),IF(I44&gt;=12,(((G44-H44)/I44)*12),"")))</f>
        <v/>
      </c>
      <c r="K44" s="218">
        <v>0</v>
      </c>
      <c r="L44" s="208">
        <f>IF(ISERROR(VLOOKUP(C44,'Puntaje Exp'!$C$10:$J$1048576,8,0)),"",VLOOKUP(C44,'Puntaje Exp'!$C$10:$J$1048576,8,0))</f>
        <v>80</v>
      </c>
      <c r="M44" s="208">
        <f>+'Capacidad Financiera'!P46</f>
        <v>0</v>
      </c>
      <c r="N44" s="208" t="str">
        <f>IF(ISERROR(VLOOKUP(M44,POA!$A$2:$F$16,6,0)),"",VLOOKUP(M44,POA!$A$2:$F$16,6,0))</f>
        <v/>
      </c>
      <c r="O44" s="208">
        <f>IF(ISERROR(VLOOKUP(C44,'Puntaje CT'!$C$10:$I$1048576,4,0)),"",VLOOKUP(C44,'Puntaje CT'!$C$10:$I$1048576,4,0))</f>
        <v>20</v>
      </c>
      <c r="P44" s="208">
        <f>IF(ISERROR(VLOOKUP(C44,'Puntaje CF'!$C$10:$I$1048576,6,0)),"",VLOOKUP(C44,'Puntaje CF'!$C$10:$I$1048576,6,0))</f>
        <v>0</v>
      </c>
      <c r="Q44" s="218">
        <v>0</v>
      </c>
      <c r="R44" s="135">
        <f>IF(OR(K44="",L44="",O44="",P44="",Q44=""),"",(K44*((L44+O44+P44)/100))-Q44)</f>
        <v>0</v>
      </c>
      <c r="S44" s="228"/>
    </row>
    <row r="45" spans="3:19" ht="26.25" thickBot="1" x14ac:dyDescent="0.25">
      <c r="C45" s="96">
        <f>+'Capacidad Financiera'!B47</f>
        <v>4.1999999999999993</v>
      </c>
      <c r="D45" s="97" t="str">
        <f>IF(ISERROR(VLOOKUP(C45,'Capacidad Financiera'!$B$12:$AD$59206,2,0)),"",VLOOKUP(C45,'Capacidad Financiera'!$B$12:$AD$59206,2,0))</f>
        <v>HECTOR FRANCISCO SARMIENTO DURAN</v>
      </c>
      <c r="E45" s="98">
        <f>IF(ISERROR(VLOOKUP(C45,'Capacidad Financiera'!$B$12:$AD$59206,3,0)),"",VLOOKUP(C45,'Capacidad Financiera'!$B$12:$AD$59206,3,0))</f>
        <v>0.9</v>
      </c>
      <c r="F45" s="172">
        <f>'Capacidad Financiera'!N47</f>
        <v>0</v>
      </c>
      <c r="G45" s="178" t="str">
        <f>IF(ISERROR(VLOOKUP(F45,POA!$A$2:$D$16,2,0)),"",VLOOKUP(F45,POA!$A$2:$D$16,2,0))</f>
        <v/>
      </c>
      <c r="H45" s="178" t="str">
        <f>IF(ISERROR(VLOOKUP(F45,POA!$A$2:$D$16,3,0)),"",VLOOKUP(F45,POA!$A$2:$D$16,4,0))</f>
        <v/>
      </c>
      <c r="I45" s="172" t="str">
        <f>IF(ISERROR(VLOOKUP(F45,POA!$A$2:$D$2,3,0)),"",VLOOKUP(F45,POA!$A$2:$D$2,3,0))</f>
        <v/>
      </c>
      <c r="J45" s="171" t="str">
        <f>IF(I45="","",IF(I45&lt;12,(G45-H45),IF(I45&gt;=12,(((G45-H45)/I45)*12),"")))</f>
        <v/>
      </c>
      <c r="K45" s="219" t="str">
        <f>IF(IF(ISERROR(VLOOKUP(C45,'Cap Organización'!$C$10:$I$1048576,3,0)),"",VLOOKUP(C45,'Cap Organización'!$C$10:$I$1048576,3,0))=0,"",IF(ISERROR(VLOOKUP(C45,'Cap Organización'!$C$10:$I$1048576,3,0)),"",VLOOKUP(C45,'Cap Organización'!$C$10:$I$1048576,3,0)))</f>
        <v/>
      </c>
      <c r="L45" s="209">
        <f>IF(ISERROR(VLOOKUP(C45,'Puntaje Exp'!$C$10:$J$1048576,8,0)),"",VLOOKUP(C45,'Puntaje Exp'!$C$10:$J$1048576,8,0))</f>
        <v>120</v>
      </c>
      <c r="M45" s="213">
        <f>+'Capacidad Financiera'!P47</f>
        <v>0</v>
      </c>
      <c r="N45" s="213" t="str">
        <f>IF(ISERROR(VLOOKUP(M45,POA!$A$2:$F$16,6,0)),"",VLOOKUP(M45,POA!$A$2:$F$16,6,0))</f>
        <v/>
      </c>
      <c r="O45" s="209">
        <f>IF(ISERROR(VLOOKUP(C45,'Puntaje CT'!$C$10:$I$1048576,4,0)),"",VLOOKUP(C45,'Puntaje CT'!$C$10:$I$1048576,4,0))</f>
        <v>20</v>
      </c>
      <c r="P45" s="209">
        <f>IF(ISERROR(VLOOKUP(C45,'Puntaje CF'!$C$10:$I$1048576,6,0)),"",VLOOKUP(C45,'Puntaje CF'!$C$10:$I$1048576,6,0))</f>
        <v>40</v>
      </c>
      <c r="Q45" s="219">
        <v>0</v>
      </c>
      <c r="R45" s="300" t="str">
        <f>IF(OR(K45="",L45="",O45="",P45="",Q45=""),"",(K45*((L45+O45+P45)/100))-Q45)</f>
        <v/>
      </c>
      <c r="S45" s="229"/>
    </row>
    <row r="46" spans="3:19" hidden="1" x14ac:dyDescent="0.2">
      <c r="C46" s="283" t="str">
        <f>+'Capacidad Financiera'!B48</f>
        <v/>
      </c>
      <c r="D46" s="284">
        <f>IF(ISERROR(VLOOKUP(C46,'Capacidad Financiera'!$B$12:$AD$59206,2,0)),"",VLOOKUP(C46,'Capacidad Financiera'!$B$12:$AD$59206,2,0))</f>
        <v>0</v>
      </c>
      <c r="E46" s="285">
        <f>IF(ISERROR(VLOOKUP(C46,'Capacidad Financiera'!$B$12:$AD$59206,3,0)),"",VLOOKUP(C46,'Capacidad Financiera'!$B$12:$AD$59206,3,0))</f>
        <v>0</v>
      </c>
      <c r="F46" s="293">
        <f>'Capacidad Financiera'!N48</f>
        <v>0</v>
      </c>
      <c r="G46" s="286" t="str">
        <f>IF(ISERROR(VLOOKUP(F46,POA!$A$2:$D$16,2,0)),"",VLOOKUP(F46,POA!$A$2:$D$16,2,0))</f>
        <v/>
      </c>
      <c r="H46" s="286" t="str">
        <f>IF(ISERROR(VLOOKUP(F46,POA!$A$2:$D$16,3,0)),"",VLOOKUP(F46,POA!$A$2:$D$16,4,0))</f>
        <v/>
      </c>
      <c r="I46" s="293" t="str">
        <f>IF(ISERROR(VLOOKUP(F46,POA!$A$2:$D$2,3,0)),"",VLOOKUP(F46,POA!$A$2:$D$2,3,0))</f>
        <v/>
      </c>
      <c r="J46" s="294" t="str">
        <f>IF(I46="","",IF(I46&lt;12,(G46-H46),IF(I46&gt;=12,(((G46-H46)/I46)*12),"")))</f>
        <v/>
      </c>
      <c r="K46" s="295" t="str">
        <f>IF(IF(ISERROR(VLOOKUP(C46,'Cap Organización'!$C$10:$I$1048576,3,0)),"",VLOOKUP(C46,'Cap Organización'!$C$10:$I$1048576,3,0))=0,"",IF(ISERROR(VLOOKUP(C46,'Cap Organización'!$C$10:$I$1048576,3,0)),"",VLOOKUP(C46,'Cap Organización'!$C$10:$I$1048576,3,0)))</f>
        <v/>
      </c>
      <c r="L46" s="290" t="str">
        <f>IF(ISERROR(VLOOKUP(C46,'Puntaje Exp'!$C$10:$J$1048576,8,0)),"",VLOOKUP(C46,'Puntaje Exp'!$C$10:$J$1048576,8,0))</f>
        <v/>
      </c>
      <c r="M46" s="296">
        <f>+'Capacidad Financiera'!P48</f>
        <v>0</v>
      </c>
      <c r="N46" s="296" t="str">
        <f>IF(ISERROR(VLOOKUP(M46,POA!$A$2:$F$16,6,0)),"",VLOOKUP(M46,POA!$A$2:$F$16,6,0))</f>
        <v/>
      </c>
      <c r="O46" s="290" t="str">
        <f>IF(ISERROR(VLOOKUP(C46,'Puntaje CT'!$C$10:$I$1048576,4,0)),"",VLOOKUP(C46,'Puntaje CT'!$C$10:$I$1048576,4,0))</f>
        <v/>
      </c>
      <c r="P46" s="290" t="str">
        <f>IF(ISERROR(VLOOKUP(C46,'Puntaje CF'!$C$10:$I$1048576,6,0)),"",VLOOKUP(C46,'Puntaje CF'!$C$10:$I$1048576,6,0))</f>
        <v/>
      </c>
      <c r="Q46" s="295" t="str">
        <f>IF(IF(ISERROR(VLOOKUP(C46,'Saldo CtosEjecución'!$C$10:$I$1048576,3,0)),"",VLOOKUP(C46,'Saldo CtosEjecución'!$C$10:$I$1048576,3,0))=0,"",IF(ISERROR(VLOOKUP(C46,'Saldo CtosEjecución'!$C$10:$I$1048576,3,0)),"",VLOOKUP(C46,'Saldo CtosEjecución'!$C$10:$I$1048576,3,0)))</f>
        <v/>
      </c>
      <c r="R46" s="297" t="str">
        <f t="shared" ref="R46:R53" si="10">IF(OR(K46="",L46="",O46="",P46="",Q46=""),"",(K46*((L46+O46+P46)/100))-Q46)</f>
        <v/>
      </c>
      <c r="S46" s="298"/>
    </row>
    <row r="47" spans="3:19" hidden="1" x14ac:dyDescent="0.2">
      <c r="C47" s="95" t="str">
        <f>+'Capacidad Financiera'!B49</f>
        <v/>
      </c>
      <c r="D47" s="89">
        <f>IF(ISERROR(VLOOKUP(C47,'Capacidad Financiera'!$B$12:$AD$59206,2,0)),"",VLOOKUP(C47,'Capacidad Financiera'!$B$12:$AD$59206,2,0))</f>
        <v>0</v>
      </c>
      <c r="E47" s="88">
        <f>IF(ISERROR(VLOOKUP(C47,'Capacidad Financiera'!$B$12:$AD$59206,3,0)),"",VLOOKUP(C47,'Capacidad Financiera'!$B$12:$AD$59206,3,0))</f>
        <v>0</v>
      </c>
      <c r="F47" s="139">
        <f>'Capacidad Financiera'!N49</f>
        <v>0</v>
      </c>
      <c r="G47" s="177" t="str">
        <f>IF(ISERROR(VLOOKUP(F47,POA!$A$2:$D$16,2,0)),"",VLOOKUP(F47,POA!$A$2:$D$16,2,0))</f>
        <v/>
      </c>
      <c r="H47" s="177" t="str">
        <f>IF(ISERROR(VLOOKUP(F47,POA!$A$2:$D$16,3,0)),"",VLOOKUP(F47,POA!$A$2:$D$16,4,0))</f>
        <v/>
      </c>
      <c r="I47" s="139" t="str">
        <f>IF(ISERROR(VLOOKUP(F47,POA!$A$2:$D$2,3,0)),"",VLOOKUP(F47,POA!$A$2:$D$2,3,0))</f>
        <v/>
      </c>
      <c r="J47" s="138" t="str">
        <f t="shared" ref="J47:J53" si="11">IF(I47="","",IF(I47&lt;12,(G47-H47),IF(I47&gt;=12,(((G47-H47)/I47)*12),"")))</f>
        <v/>
      </c>
      <c r="K47" s="223" t="str">
        <f>IF(IF(ISERROR(VLOOKUP(C47,'Cap Organización'!$C$10:$I$1048576,3,0)),"",VLOOKUP(C47,'Cap Organización'!$C$10:$I$1048576,3,0))=0,"",IF(ISERROR(VLOOKUP(C47,'Cap Organización'!$C$10:$I$1048576,3,0)),"",VLOOKUP(C47,'Cap Organización'!$C$10:$I$1048576,3,0)))</f>
        <v/>
      </c>
      <c r="L47" s="216" t="str">
        <f>IF(ISERROR(VLOOKUP(C47,'Puntaje Exp'!$C$10:$J$1048576,8,0)),"",VLOOKUP(C47,'Puntaje Exp'!$C$10:$J$1048576,8,0))</f>
        <v/>
      </c>
      <c r="M47" s="212">
        <f>+'Capacidad Financiera'!P49</f>
        <v>0</v>
      </c>
      <c r="N47" s="212" t="str">
        <f>IF(ISERROR(VLOOKUP(M47,POA!$A$2:$F$16,6,0)),"",VLOOKUP(M47,POA!$A$2:$F$16,6,0))</f>
        <v/>
      </c>
      <c r="O47" s="216" t="str">
        <f>IF(ISERROR(VLOOKUP(C47,'Puntaje CT'!$C$10:$I$1048576,4,0)),"",VLOOKUP(C47,'Puntaje CT'!$C$10:$I$1048576,4,0))</f>
        <v/>
      </c>
      <c r="P47" s="216" t="str">
        <f>IF(ISERROR(VLOOKUP(C47,'Puntaje CF'!$C$10:$I$1048576,6,0)),"",VLOOKUP(C47,'Puntaje CF'!$C$10:$I$1048576,6,0))</f>
        <v/>
      </c>
      <c r="Q47" s="218" t="str">
        <f>IF(IF(ISERROR(VLOOKUP(C47,'Saldo CtosEjecución'!$C$10:$I$1048576,3,0)),"",VLOOKUP(C47,'Saldo CtosEjecución'!$C$10:$I$1048576,3,0))=0,"",IF(ISERROR(VLOOKUP(C47,'Saldo CtosEjecución'!$C$10:$I$1048576,3,0)),"",VLOOKUP(C47,'Saldo CtosEjecución'!$C$10:$I$1048576,3,0)))</f>
        <v/>
      </c>
      <c r="R47" s="135" t="str">
        <f t="shared" si="10"/>
        <v/>
      </c>
      <c r="S47" s="228"/>
    </row>
    <row r="48" spans="3:19" hidden="1" x14ac:dyDescent="0.2">
      <c r="C48" s="95" t="str">
        <f>+'Capacidad Financiera'!B50</f>
        <v/>
      </c>
      <c r="D48" s="89">
        <f>IF(ISERROR(VLOOKUP(C48,'Capacidad Financiera'!$B$12:$AD$59206,2,0)),"",VLOOKUP(C48,'Capacidad Financiera'!$B$12:$AD$59206,2,0))</f>
        <v>0</v>
      </c>
      <c r="E48" s="88">
        <f>IF(ISERROR(VLOOKUP(C48,'Capacidad Financiera'!$B$12:$AD$59206,3,0)),"",VLOOKUP(C48,'Capacidad Financiera'!$B$12:$AD$59206,3,0))</f>
        <v>0</v>
      </c>
      <c r="F48" s="139">
        <f>'Capacidad Financiera'!N50</f>
        <v>0</v>
      </c>
      <c r="G48" s="177" t="str">
        <f>IF(ISERROR(VLOOKUP(F48,POA!$A$2:$D$16,2,0)),"",VLOOKUP(F48,POA!$A$2:$D$16,2,0))</f>
        <v/>
      </c>
      <c r="H48" s="177" t="str">
        <f>IF(ISERROR(VLOOKUP(F48,POA!$A$2:$D$16,3,0)),"",VLOOKUP(F48,POA!$A$2:$D$16,4,0))</f>
        <v/>
      </c>
      <c r="I48" s="139" t="str">
        <f>IF(ISERROR(VLOOKUP(F48,POA!$A$2:$D$2,3,0)),"",VLOOKUP(F48,POA!$A$2:$D$2,3,0))</f>
        <v/>
      </c>
      <c r="J48" s="138" t="str">
        <f t="shared" si="11"/>
        <v/>
      </c>
      <c r="K48" s="223" t="str">
        <f>IF(IF(ISERROR(VLOOKUP(C48,'Cap Organización'!$C$10:$I$1048576,3,0)),"",VLOOKUP(C48,'Cap Organización'!$C$10:$I$1048576,3,0))=0,"",IF(ISERROR(VLOOKUP(C48,'Cap Organización'!$C$10:$I$1048576,3,0)),"",VLOOKUP(C48,'Cap Organización'!$C$10:$I$1048576,3,0)))</f>
        <v/>
      </c>
      <c r="L48" s="216" t="str">
        <f>IF(ISERROR(VLOOKUP(C48,'Puntaje Exp'!$C$10:$J$1048576,8,0)),"",VLOOKUP(C48,'Puntaje Exp'!$C$10:$J$1048576,8,0))</f>
        <v/>
      </c>
      <c r="M48" s="212">
        <f>+'Capacidad Financiera'!P50</f>
        <v>0</v>
      </c>
      <c r="N48" s="212" t="str">
        <f>IF(ISERROR(VLOOKUP(M48,POA!$A$2:$F$16,6,0)),"",VLOOKUP(M48,POA!$A$2:$F$16,6,0))</f>
        <v/>
      </c>
      <c r="O48" s="216" t="str">
        <f>IF(ISERROR(VLOOKUP(C48,'Puntaje CT'!$C$10:$I$1048576,4,0)),"",VLOOKUP(C48,'Puntaje CT'!$C$10:$I$1048576,4,0))</f>
        <v/>
      </c>
      <c r="P48" s="216" t="str">
        <f>IF(ISERROR(VLOOKUP(C48,'Puntaje CF'!$C$10:$I$1048576,6,0)),"",VLOOKUP(C48,'Puntaje CF'!$C$10:$I$1048576,6,0))</f>
        <v/>
      </c>
      <c r="Q48" s="218" t="str">
        <f>IF(IF(ISERROR(VLOOKUP(C48,'Saldo CtosEjecución'!$C$10:$I$1048576,3,0)),"",VLOOKUP(C48,'Saldo CtosEjecución'!$C$10:$I$1048576,3,0))=0,"",IF(ISERROR(VLOOKUP(C48,'Saldo CtosEjecución'!$C$10:$I$1048576,3,0)),"",VLOOKUP(C48,'Saldo CtosEjecución'!$C$10:$I$1048576,3,0)))</f>
        <v/>
      </c>
      <c r="R48" s="135" t="str">
        <f t="shared" si="10"/>
        <v/>
      </c>
      <c r="S48" s="228"/>
    </row>
    <row r="49" spans="3:19" hidden="1" x14ac:dyDescent="0.2">
      <c r="C49" s="95" t="str">
        <f>+'Capacidad Financiera'!B51</f>
        <v/>
      </c>
      <c r="D49" s="89">
        <f>IF(ISERROR(VLOOKUP(C49,'Capacidad Financiera'!$B$12:$AD$59206,2,0)),"",VLOOKUP(C49,'Capacidad Financiera'!$B$12:$AD$59206,2,0))</f>
        <v>0</v>
      </c>
      <c r="E49" s="88">
        <f>IF(ISERROR(VLOOKUP(C49,'Capacidad Financiera'!$B$12:$AD$59206,3,0)),"",VLOOKUP(C49,'Capacidad Financiera'!$B$12:$AD$59206,3,0))</f>
        <v>0</v>
      </c>
      <c r="F49" s="139">
        <f>'Capacidad Financiera'!N51</f>
        <v>0</v>
      </c>
      <c r="G49" s="177" t="str">
        <f>IF(ISERROR(VLOOKUP(F49,POA!$A$2:$D$16,2,0)),"",VLOOKUP(F49,POA!$A$2:$D$16,2,0))</f>
        <v/>
      </c>
      <c r="H49" s="177" t="str">
        <f>IF(ISERROR(VLOOKUP(F49,POA!$A$2:$D$16,3,0)),"",VLOOKUP(F49,POA!$A$2:$D$16,4,0))</f>
        <v/>
      </c>
      <c r="I49" s="139" t="str">
        <f>IF(ISERROR(VLOOKUP(F49,POA!$A$2:$D$2,3,0)),"",VLOOKUP(F49,POA!$A$2:$D$2,3,0))</f>
        <v/>
      </c>
      <c r="J49" s="138" t="str">
        <f t="shared" si="11"/>
        <v/>
      </c>
      <c r="K49" s="223" t="str">
        <f>IF(IF(ISERROR(VLOOKUP(C49,'Cap Organización'!$C$10:$I$1048576,3,0)),"",VLOOKUP(C49,'Cap Organización'!$C$10:$I$1048576,3,0))=0,"",IF(ISERROR(VLOOKUP(C49,'Cap Organización'!$C$10:$I$1048576,3,0)),"",VLOOKUP(C49,'Cap Organización'!$C$10:$I$1048576,3,0)))</f>
        <v/>
      </c>
      <c r="L49" s="216" t="str">
        <f>IF(ISERROR(VLOOKUP(C49,'Puntaje Exp'!$C$10:$J$1048576,8,0)),"",VLOOKUP(C49,'Puntaje Exp'!$C$10:$J$1048576,8,0))</f>
        <v/>
      </c>
      <c r="M49" s="212">
        <f>+'Capacidad Financiera'!P51</f>
        <v>0</v>
      </c>
      <c r="N49" s="212" t="str">
        <f>IF(ISERROR(VLOOKUP(M49,POA!$A$2:$F$16,6,0)),"",VLOOKUP(M49,POA!$A$2:$F$16,6,0))</f>
        <v/>
      </c>
      <c r="O49" s="216" t="str">
        <f>IF(ISERROR(VLOOKUP(C49,'Puntaje CT'!$C$10:$I$1048576,4,0)),"",VLOOKUP(C49,'Puntaje CT'!$C$10:$I$1048576,4,0))</f>
        <v/>
      </c>
      <c r="P49" s="216" t="str">
        <f>IF(ISERROR(VLOOKUP(C49,'Puntaje CF'!$C$10:$I$1048576,6,0)),"",VLOOKUP(C49,'Puntaje CF'!$C$10:$I$1048576,6,0))</f>
        <v/>
      </c>
      <c r="Q49" s="218" t="str">
        <f>IF(IF(ISERROR(VLOOKUP(C49,'Saldo CtosEjecución'!$C$10:$I$1048576,3,0)),"",VLOOKUP(C49,'Saldo CtosEjecución'!$C$10:$I$1048576,3,0))=0,"",IF(ISERROR(VLOOKUP(C49,'Saldo CtosEjecución'!$C$10:$I$1048576,3,0)),"",VLOOKUP(C49,'Saldo CtosEjecución'!$C$10:$I$1048576,3,0)))</f>
        <v/>
      </c>
      <c r="R49" s="135" t="str">
        <f t="shared" si="10"/>
        <v/>
      </c>
      <c r="S49" s="228"/>
    </row>
    <row r="50" spans="3:19" hidden="1" x14ac:dyDescent="0.2">
      <c r="C50" s="95" t="str">
        <f>+'Capacidad Financiera'!B52</f>
        <v/>
      </c>
      <c r="D50" s="89">
        <f>IF(ISERROR(VLOOKUP(C50,'Capacidad Financiera'!$B$12:$AD$59206,2,0)),"",VLOOKUP(C50,'Capacidad Financiera'!$B$12:$AD$59206,2,0))</f>
        <v>0</v>
      </c>
      <c r="E50" s="88">
        <f>IF(ISERROR(VLOOKUP(C50,'Capacidad Financiera'!$B$12:$AD$59206,3,0)),"",VLOOKUP(C50,'Capacidad Financiera'!$B$12:$AD$59206,3,0))</f>
        <v>0</v>
      </c>
      <c r="F50" s="139">
        <f>'Capacidad Financiera'!N52</f>
        <v>0</v>
      </c>
      <c r="G50" s="177" t="str">
        <f>IF(ISERROR(VLOOKUP(F50,POA!$A$2:$D$16,2,0)),"",VLOOKUP(F50,POA!$A$2:$D$16,2,0))</f>
        <v/>
      </c>
      <c r="H50" s="177" t="str">
        <f>IF(ISERROR(VLOOKUP(F50,POA!$A$2:$D$16,3,0)),"",VLOOKUP(F50,POA!$A$2:$D$16,4,0))</f>
        <v/>
      </c>
      <c r="I50" s="139" t="str">
        <f>IF(ISERROR(VLOOKUP(F50,POA!$A$2:$D$2,3,0)),"",VLOOKUP(F50,POA!$A$2:$D$2,3,0))</f>
        <v/>
      </c>
      <c r="J50" s="138" t="str">
        <f t="shared" si="11"/>
        <v/>
      </c>
      <c r="K50" s="223" t="str">
        <f>IF(IF(ISERROR(VLOOKUP(C50,'Cap Organización'!$C$10:$I$1048576,3,0)),"",VLOOKUP(C50,'Cap Organización'!$C$10:$I$1048576,3,0))=0,"",IF(ISERROR(VLOOKUP(C50,'Cap Organización'!$C$10:$I$1048576,3,0)),"",VLOOKUP(C50,'Cap Organización'!$C$10:$I$1048576,3,0)))</f>
        <v/>
      </c>
      <c r="L50" s="216" t="str">
        <f>IF(ISERROR(VLOOKUP(C50,'Puntaje Exp'!$C$10:$J$1048576,8,0)),"",VLOOKUP(C50,'Puntaje Exp'!$C$10:$J$1048576,8,0))</f>
        <v/>
      </c>
      <c r="M50" s="212">
        <f>+'Capacidad Financiera'!P52</f>
        <v>0</v>
      </c>
      <c r="N50" s="212" t="str">
        <f>IF(ISERROR(VLOOKUP(M50,POA!$A$2:$F$16,6,0)),"",VLOOKUP(M50,POA!$A$2:$F$16,6,0))</f>
        <v/>
      </c>
      <c r="O50" s="216" t="str">
        <f>IF(ISERROR(VLOOKUP(C50,'Puntaje CT'!$C$10:$I$1048576,4,0)),"",VLOOKUP(C50,'Puntaje CT'!$C$10:$I$1048576,4,0))</f>
        <v/>
      </c>
      <c r="P50" s="216" t="str">
        <f>IF(ISERROR(VLOOKUP(C50,'Puntaje CF'!$C$10:$I$1048576,6,0)),"",VLOOKUP(C50,'Puntaje CF'!$C$10:$I$1048576,6,0))</f>
        <v/>
      </c>
      <c r="Q50" s="218" t="str">
        <f>IF(IF(ISERROR(VLOOKUP(C50,'Saldo CtosEjecución'!$C$10:$I$1048576,3,0)),"",VLOOKUP(C50,'Saldo CtosEjecución'!$C$10:$I$1048576,3,0))=0,"",IF(ISERROR(VLOOKUP(C50,'Saldo CtosEjecución'!$C$10:$I$1048576,3,0)),"",VLOOKUP(C50,'Saldo CtosEjecución'!$C$10:$I$1048576,3,0)))</f>
        <v/>
      </c>
      <c r="R50" s="135" t="str">
        <f t="shared" si="10"/>
        <v/>
      </c>
      <c r="S50" s="228"/>
    </row>
    <row r="51" spans="3:19" hidden="1" x14ac:dyDescent="0.2">
      <c r="C51" s="95" t="str">
        <f>+'Capacidad Financiera'!B53</f>
        <v/>
      </c>
      <c r="D51" s="89">
        <f>IF(ISERROR(VLOOKUP(C51,'Capacidad Financiera'!$B$12:$AD$59206,2,0)),"",VLOOKUP(C51,'Capacidad Financiera'!$B$12:$AD$59206,2,0))</f>
        <v>0</v>
      </c>
      <c r="E51" s="88">
        <f>IF(ISERROR(VLOOKUP(C51,'Capacidad Financiera'!$B$12:$AD$59206,3,0)),"",VLOOKUP(C51,'Capacidad Financiera'!$B$12:$AD$59206,3,0))</f>
        <v>0</v>
      </c>
      <c r="F51" s="139">
        <f>'Capacidad Financiera'!N53</f>
        <v>0</v>
      </c>
      <c r="G51" s="177" t="str">
        <f>IF(ISERROR(VLOOKUP(F51,POA!$A$2:$D$16,2,0)),"",VLOOKUP(F51,POA!$A$2:$D$16,2,0))</f>
        <v/>
      </c>
      <c r="H51" s="177" t="str">
        <f>IF(ISERROR(VLOOKUP(F51,POA!$A$2:$D$16,3,0)),"",VLOOKUP(F51,POA!$A$2:$D$16,4,0))</f>
        <v/>
      </c>
      <c r="I51" s="139" t="str">
        <f>IF(ISERROR(VLOOKUP(F51,POA!$A$2:$D$2,3,0)),"",VLOOKUP(F51,POA!$A$2:$D$2,3,0))</f>
        <v/>
      </c>
      <c r="J51" s="138" t="str">
        <f t="shared" si="11"/>
        <v/>
      </c>
      <c r="K51" s="223" t="str">
        <f>IF(IF(ISERROR(VLOOKUP(C51,'Cap Organización'!$C$10:$I$1048576,3,0)),"",VLOOKUP(C51,'Cap Organización'!$C$10:$I$1048576,3,0))=0,"",IF(ISERROR(VLOOKUP(C51,'Cap Organización'!$C$10:$I$1048576,3,0)),"",VLOOKUP(C51,'Cap Organización'!$C$10:$I$1048576,3,0)))</f>
        <v/>
      </c>
      <c r="L51" s="216" t="str">
        <f>IF(ISERROR(VLOOKUP(C51,'Puntaje Exp'!$C$10:$J$1048576,8,0)),"",VLOOKUP(C51,'Puntaje Exp'!$C$10:$J$1048576,8,0))</f>
        <v/>
      </c>
      <c r="M51" s="212">
        <f>+'Capacidad Financiera'!P53</f>
        <v>0</v>
      </c>
      <c r="N51" s="212" t="str">
        <f>IF(ISERROR(VLOOKUP(M51,POA!$A$2:$F$16,6,0)),"",VLOOKUP(M51,POA!$A$2:$F$16,6,0))</f>
        <v/>
      </c>
      <c r="O51" s="216" t="str">
        <f>IF(ISERROR(VLOOKUP(C51,'Puntaje CT'!$C$10:$I$1048576,4,0)),"",VLOOKUP(C51,'Puntaje CT'!$C$10:$I$1048576,4,0))</f>
        <v/>
      </c>
      <c r="P51" s="216" t="str">
        <f>IF(ISERROR(VLOOKUP(C51,'Puntaje CF'!$C$10:$I$1048576,6,0)),"",VLOOKUP(C51,'Puntaje CF'!$C$10:$I$1048576,6,0))</f>
        <v/>
      </c>
      <c r="Q51" s="218" t="str">
        <f>IF(IF(ISERROR(VLOOKUP(C51,'Saldo CtosEjecución'!$C$10:$I$1048576,3,0)),"",VLOOKUP(C51,'Saldo CtosEjecución'!$C$10:$I$1048576,3,0))=0,"",IF(ISERROR(VLOOKUP(C51,'Saldo CtosEjecución'!$C$10:$I$1048576,3,0)),"",VLOOKUP(C51,'Saldo CtosEjecución'!$C$10:$I$1048576,3,0)))</f>
        <v/>
      </c>
      <c r="R51" s="135" t="str">
        <f t="shared" si="10"/>
        <v/>
      </c>
      <c r="S51" s="228"/>
    </row>
    <row r="52" spans="3:19" hidden="1" x14ac:dyDescent="0.2">
      <c r="C52" s="95" t="str">
        <f>+'Capacidad Financiera'!B54</f>
        <v/>
      </c>
      <c r="D52" s="89">
        <f>IF(ISERROR(VLOOKUP(C52,'Capacidad Financiera'!$B$12:$AD$59206,2,0)),"",VLOOKUP(C52,'Capacidad Financiera'!$B$12:$AD$59206,2,0))</f>
        <v>0</v>
      </c>
      <c r="E52" s="88">
        <f>IF(ISERROR(VLOOKUP(C52,'Capacidad Financiera'!$B$12:$AD$59206,3,0)),"",VLOOKUP(C52,'Capacidad Financiera'!$B$12:$AD$59206,3,0))</f>
        <v>0</v>
      </c>
      <c r="F52" s="139">
        <f>'Capacidad Financiera'!N54</f>
        <v>0</v>
      </c>
      <c r="G52" s="177" t="str">
        <f>IF(ISERROR(VLOOKUP(F52,POA!$A$2:$D$16,2,0)),"",VLOOKUP(F52,POA!$A$2:$D$16,2,0))</f>
        <v/>
      </c>
      <c r="H52" s="177" t="str">
        <f>IF(ISERROR(VLOOKUP(F52,POA!$A$2:$D$16,3,0)),"",VLOOKUP(F52,POA!$A$2:$D$16,4,0))</f>
        <v/>
      </c>
      <c r="I52" s="139" t="str">
        <f>IF(ISERROR(VLOOKUP(F52,POA!$A$2:$D$2,3,0)),"",VLOOKUP(F52,POA!$A$2:$D$2,3,0))</f>
        <v/>
      </c>
      <c r="J52" s="138" t="str">
        <f t="shared" si="11"/>
        <v/>
      </c>
      <c r="K52" s="223" t="str">
        <f>IF(IF(ISERROR(VLOOKUP(C52,'Cap Organización'!$C$10:$I$1048576,3,0)),"",VLOOKUP(C52,'Cap Organización'!$C$10:$I$1048576,3,0))=0,"",IF(ISERROR(VLOOKUP(C52,'Cap Organización'!$C$10:$I$1048576,3,0)),"",VLOOKUP(C52,'Cap Organización'!$C$10:$I$1048576,3,0)))</f>
        <v/>
      </c>
      <c r="L52" s="216" t="str">
        <f>IF(ISERROR(VLOOKUP(C52,'Puntaje Exp'!$C$10:$J$1048576,8,0)),"",VLOOKUP(C52,'Puntaje Exp'!$C$10:$J$1048576,8,0))</f>
        <v/>
      </c>
      <c r="M52" s="212">
        <f>+'Capacidad Financiera'!P54</f>
        <v>0</v>
      </c>
      <c r="N52" s="212" t="str">
        <f>IF(ISERROR(VLOOKUP(M52,POA!$A$2:$F$16,6,0)),"",VLOOKUP(M52,POA!$A$2:$F$16,6,0))</f>
        <v/>
      </c>
      <c r="O52" s="216" t="str">
        <f>IF(ISERROR(VLOOKUP(C52,'Puntaje CT'!$C$10:$I$1048576,4,0)),"",VLOOKUP(C52,'Puntaje CT'!$C$10:$I$1048576,4,0))</f>
        <v/>
      </c>
      <c r="P52" s="216" t="str">
        <f>IF(ISERROR(VLOOKUP(C52,'Puntaje CF'!$C$10:$I$1048576,6,0)),"",VLOOKUP(C52,'Puntaje CF'!$C$10:$I$1048576,6,0))</f>
        <v/>
      </c>
      <c r="Q52" s="218" t="str">
        <f>IF(IF(ISERROR(VLOOKUP(C52,'Saldo CtosEjecución'!$C$10:$I$1048576,3,0)),"",VLOOKUP(C52,'Saldo CtosEjecución'!$C$10:$I$1048576,3,0))=0,"",IF(ISERROR(VLOOKUP(C52,'Saldo CtosEjecución'!$C$10:$I$1048576,3,0)),"",VLOOKUP(C52,'Saldo CtosEjecución'!$C$10:$I$1048576,3,0)))</f>
        <v/>
      </c>
      <c r="R52" s="135" t="str">
        <f t="shared" si="10"/>
        <v/>
      </c>
      <c r="S52" s="228"/>
    </row>
    <row r="53" spans="3:19" ht="13.5" hidden="1" thickBot="1" x14ac:dyDescent="0.25">
      <c r="C53" s="96" t="str">
        <f>+'Capacidad Financiera'!B55</f>
        <v/>
      </c>
      <c r="D53" s="97">
        <f>IF(ISERROR(VLOOKUP(C53,'Capacidad Financiera'!$B$12:$AD$59206,2,0)),"",VLOOKUP(C53,'Capacidad Financiera'!$B$12:$AD$59206,2,0))</f>
        <v>0</v>
      </c>
      <c r="E53" s="98">
        <f>IF(ISERROR(VLOOKUP(C53,'Capacidad Financiera'!$B$12:$AD$59206,3,0)),"",VLOOKUP(C53,'Capacidad Financiera'!$B$12:$AD$59206,3,0))</f>
        <v>0</v>
      </c>
      <c r="F53" s="172">
        <f>'Capacidad Financiera'!N55</f>
        <v>0</v>
      </c>
      <c r="G53" s="178" t="str">
        <f>IF(ISERROR(VLOOKUP(F53,POA!$A$2:$D$16,2,0)),"",VLOOKUP(F53,POA!$A$2:$D$16,2,0))</f>
        <v/>
      </c>
      <c r="H53" s="178" t="str">
        <f>IF(ISERROR(VLOOKUP(F53,POA!$A$2:$D$16,3,0)),"",VLOOKUP(F53,POA!$A$2:$D$16,4,0))</f>
        <v/>
      </c>
      <c r="I53" s="172" t="str">
        <f>IF(ISERROR(VLOOKUP(F53,POA!$A$2:$D$2,3,0)),"",VLOOKUP(F53,POA!$A$2:$D$2,3,0))</f>
        <v/>
      </c>
      <c r="J53" s="171" t="str">
        <f t="shared" si="11"/>
        <v/>
      </c>
      <c r="K53" s="219" t="str">
        <f>IF(IF(ISERROR(VLOOKUP(C53,'Cap Organización'!$C$10:$I$1048576,3,0)),"",VLOOKUP(C53,'Cap Organización'!$C$10:$I$1048576,3,0))=0,"",IF(ISERROR(VLOOKUP(C53,'Cap Organización'!$C$10:$I$1048576,3,0)),"",VLOOKUP(C53,'Cap Organización'!$C$10:$I$1048576,3,0)))</f>
        <v/>
      </c>
      <c r="L53" s="209" t="str">
        <f>IF(ISERROR(VLOOKUP(C53,'Puntaje Exp'!$C$10:$J$1048576,8,0)),"",VLOOKUP(C53,'Puntaje Exp'!$C$10:$J$1048576,8,0))</f>
        <v/>
      </c>
      <c r="M53" s="213">
        <f>+'Capacidad Financiera'!P55</f>
        <v>0</v>
      </c>
      <c r="N53" s="213" t="str">
        <f>IF(ISERROR(VLOOKUP(M53,POA!$A$2:$F$16,6,0)),"",VLOOKUP(M53,POA!$A$2:$F$16,6,0))</f>
        <v/>
      </c>
      <c r="O53" s="209" t="str">
        <f>IF(ISERROR(VLOOKUP(C53,'Puntaje CT'!$C$10:$I$1048576,4,0)),"",VLOOKUP(C53,'Puntaje CT'!$C$10:$I$1048576,4,0))</f>
        <v/>
      </c>
      <c r="P53" s="209" t="str">
        <f>IF(ISERROR(VLOOKUP(C53,'Puntaje CF'!$C$10:$I$1048576,6,0)),"",VLOOKUP(C53,'Puntaje CF'!$C$10:$I$1048576,6,0))</f>
        <v/>
      </c>
      <c r="Q53" s="219" t="str">
        <f>IF(IF(ISERROR(VLOOKUP(C53,'Saldo CtosEjecución'!$C$10:$I$1048576,3,0)),"",VLOOKUP(C53,'Saldo CtosEjecución'!$C$10:$I$1048576,3,0))=0,"",IF(ISERROR(VLOOKUP(C53,'Saldo CtosEjecución'!$C$10:$I$1048576,3,0)),"",VLOOKUP(C53,'Saldo CtosEjecución'!$C$10:$I$1048576,3,0)))</f>
        <v/>
      </c>
      <c r="R53" s="217" t="str">
        <f t="shared" si="10"/>
        <v/>
      </c>
      <c r="S53" s="229"/>
    </row>
    <row r="55" spans="3:19" x14ac:dyDescent="0.2">
      <c r="C55" s="301" t="s">
        <v>265</v>
      </c>
    </row>
    <row r="57" spans="3:19" x14ac:dyDescent="0.2">
      <c r="C57" s="141" t="s">
        <v>262</v>
      </c>
      <c r="D57" s="141"/>
    </row>
    <row r="58" spans="3:19" x14ac:dyDescent="0.2">
      <c r="C58" s="301" t="s">
        <v>263</v>
      </c>
    </row>
  </sheetData>
  <sheetProtection formatCells="0" formatColumns="0" formatRows="0" insertColumns="0" insertRows="0" insertHyperlinks="0" deleteColumns="0" deleteRows="0" sort="0" autoFilter="0" pivotTables="0"/>
  <customSheetViews>
    <customSheetView guid="{7043DB3C-32B3-43B5-9ACE-4B1C78863594}">
      <selection activeCell="D26" sqref="D26"/>
      <pageMargins left="0.75" right="0.75" top="1" bottom="1" header="0" footer="0"/>
      <headerFooter alignWithMargins="0"/>
    </customSheetView>
  </customSheetViews>
  <mergeCells count="21">
    <mergeCell ref="C2:S2"/>
    <mergeCell ref="C3:S3"/>
    <mergeCell ref="C4:S4"/>
    <mergeCell ref="C5:S5"/>
    <mergeCell ref="S8:S9"/>
    <mergeCell ref="G8:G9"/>
    <mergeCell ref="M7:M9"/>
    <mergeCell ref="N7:N9"/>
    <mergeCell ref="J8:J9"/>
    <mergeCell ref="K8:K9"/>
    <mergeCell ref="H8:H9"/>
    <mergeCell ref="R8:R9"/>
    <mergeCell ref="L8:L9"/>
    <mergeCell ref="P8:P9"/>
    <mergeCell ref="Q8:Q9"/>
    <mergeCell ref="O8:O9"/>
    <mergeCell ref="C7:C9"/>
    <mergeCell ref="D7:D9"/>
    <mergeCell ref="E8:E9"/>
    <mergeCell ref="F7:F9"/>
    <mergeCell ref="I7:I9"/>
  </mergeCells>
  <phoneticPr fontId="25" type="noConversion"/>
  <conditionalFormatting sqref="S6 E6:J6">
    <cfRule type="expression" dxfId="64" priority="3842" stopIfTrue="1">
      <formula>IF($B6-INT($B6)&gt;0,TRUE,FALSE)</formula>
    </cfRule>
  </conditionalFormatting>
  <conditionalFormatting sqref="D10:D20 D6 L6:R6">
    <cfRule type="cellIs" dxfId="63" priority="3843" stopIfTrue="1" operator="equal">
      <formula>"NO ADMISIBLE"</formula>
    </cfRule>
  </conditionalFormatting>
  <conditionalFormatting sqref="M12:N20 E12:E20">
    <cfRule type="expression" dxfId="62" priority="3841" stopIfTrue="1">
      <formula>IF($B5-INT($B5)&gt;0,TRUE,FALSE)</formula>
    </cfRule>
  </conditionalFormatting>
  <conditionalFormatting sqref="S10:S20">
    <cfRule type="cellIs" dxfId="61" priority="3838" stopIfTrue="1" operator="equal">
      <formula>"NO ADMISIBLE"</formula>
    </cfRule>
    <cfRule type="cellIs" dxfId="60" priority="3839" stopIfTrue="1" operator="equal">
      <formula>"ADMISIBLE"</formula>
    </cfRule>
  </conditionalFormatting>
  <conditionalFormatting sqref="S10:S20">
    <cfRule type="cellIs" dxfId="59" priority="3837" stopIfTrue="1" operator="equal">
      <formula>"PENDIENTE"</formula>
    </cfRule>
  </conditionalFormatting>
  <conditionalFormatting sqref="E11 L11:P11 R11">
    <cfRule type="expression" dxfId="58" priority="3832" stopIfTrue="1">
      <formula>IF($B2-INT($B2)&gt;0,TRUE,FALSE)</formula>
    </cfRule>
  </conditionalFormatting>
  <conditionalFormatting sqref="E10:R10 J11:J20 F11:F20">
    <cfRule type="expression" dxfId="57" priority="3847" stopIfTrue="1">
      <formula>IF(#REF!-INT(#REF!)&gt;0,TRUE,FALSE)</formula>
    </cfRule>
  </conditionalFormatting>
  <conditionalFormatting sqref="G11:G20">
    <cfRule type="expression" dxfId="56" priority="1340" stopIfTrue="1">
      <formula>IF(#REF!-INT(#REF!)&gt;0,TRUE,FALSE)</formula>
    </cfRule>
  </conditionalFormatting>
  <conditionalFormatting sqref="H11:H20">
    <cfRule type="expression" dxfId="55" priority="1339" stopIfTrue="1">
      <formula>IF(#REF!-INT(#REF!)&gt;0,TRUE,FALSE)</formula>
    </cfRule>
  </conditionalFormatting>
  <conditionalFormatting sqref="I11:I20">
    <cfRule type="expression" dxfId="54" priority="1338" stopIfTrue="1">
      <formula>IF(#REF!-INT(#REF!)&gt;0,TRUE,FALSE)</formula>
    </cfRule>
  </conditionalFormatting>
  <conditionalFormatting sqref="K11:K20">
    <cfRule type="expression" dxfId="53" priority="1337" stopIfTrue="1">
      <formula>IF($B2-INT($B2)&gt;0,TRUE,FALSE)</formula>
    </cfRule>
  </conditionalFormatting>
  <conditionalFormatting sqref="L12:L20">
    <cfRule type="expression" dxfId="52" priority="1336" stopIfTrue="1">
      <formula>IF($B3-INT($B3)&gt;0,TRUE,FALSE)</formula>
    </cfRule>
  </conditionalFormatting>
  <conditionalFormatting sqref="O12:O20">
    <cfRule type="expression" dxfId="51" priority="1335" stopIfTrue="1">
      <formula>IF($B3-INT($B3)&gt;0,TRUE,FALSE)</formula>
    </cfRule>
  </conditionalFormatting>
  <conditionalFormatting sqref="P12:P20">
    <cfRule type="expression" dxfId="50" priority="1334" stopIfTrue="1">
      <formula>IF($B3-INT($B3)&gt;0,TRUE,FALSE)</formula>
    </cfRule>
  </conditionalFormatting>
  <conditionalFormatting sqref="R12:R20">
    <cfRule type="expression" dxfId="49" priority="1333" stopIfTrue="1">
      <formula>IF($B3-INT($B3)&gt;0,TRUE,FALSE)</formula>
    </cfRule>
  </conditionalFormatting>
  <conditionalFormatting sqref="Q11:Q20">
    <cfRule type="expression" dxfId="48" priority="1332" stopIfTrue="1">
      <formula>IF($B2-INT($B2)&gt;0,TRUE,FALSE)</formula>
    </cfRule>
  </conditionalFormatting>
  <conditionalFormatting sqref="D21:D31">
    <cfRule type="cellIs" dxfId="47" priority="47" stopIfTrue="1" operator="equal">
      <formula>"NO ADMISIBLE"</formula>
    </cfRule>
  </conditionalFormatting>
  <conditionalFormatting sqref="M23:N31 E23:E31">
    <cfRule type="expression" dxfId="46" priority="46" stopIfTrue="1">
      <formula>IF($B16-INT($B16)&gt;0,TRUE,FALSE)</formula>
    </cfRule>
  </conditionalFormatting>
  <conditionalFormatting sqref="S21:S31">
    <cfRule type="cellIs" dxfId="45" priority="44" stopIfTrue="1" operator="equal">
      <formula>"NO ADMISIBLE"</formula>
    </cfRule>
    <cfRule type="cellIs" dxfId="44" priority="45" stopIfTrue="1" operator="equal">
      <formula>"ADMISIBLE"</formula>
    </cfRule>
  </conditionalFormatting>
  <conditionalFormatting sqref="S21:S31">
    <cfRule type="cellIs" dxfId="43" priority="43" stopIfTrue="1" operator="equal">
      <formula>"PENDIENTE"</formula>
    </cfRule>
  </conditionalFormatting>
  <conditionalFormatting sqref="E22 L22:P22 R22">
    <cfRule type="expression" dxfId="42" priority="42" stopIfTrue="1">
      <formula>IF($B13-INT($B13)&gt;0,TRUE,FALSE)</formula>
    </cfRule>
  </conditionalFormatting>
  <conditionalFormatting sqref="E21:R21 J22:J31 F22:F31">
    <cfRule type="expression" dxfId="41" priority="48" stopIfTrue="1">
      <formula>IF(#REF!-INT(#REF!)&gt;0,TRUE,FALSE)</formula>
    </cfRule>
  </conditionalFormatting>
  <conditionalFormatting sqref="G22:G31">
    <cfRule type="expression" dxfId="40" priority="41" stopIfTrue="1">
      <formula>IF(#REF!-INT(#REF!)&gt;0,TRUE,FALSE)</formula>
    </cfRule>
  </conditionalFormatting>
  <conditionalFormatting sqref="H22:H31">
    <cfRule type="expression" dxfId="39" priority="40" stopIfTrue="1">
      <formula>IF(#REF!-INT(#REF!)&gt;0,TRUE,FALSE)</formula>
    </cfRule>
  </conditionalFormatting>
  <conditionalFormatting sqref="I22:I31">
    <cfRule type="expression" dxfId="38" priority="39" stopIfTrue="1">
      <formula>IF(#REF!-INT(#REF!)&gt;0,TRUE,FALSE)</formula>
    </cfRule>
  </conditionalFormatting>
  <conditionalFormatting sqref="K22:K31">
    <cfRule type="expression" dxfId="37" priority="38" stopIfTrue="1">
      <formula>IF($B13-INT($B13)&gt;0,TRUE,FALSE)</formula>
    </cfRule>
  </conditionalFormatting>
  <conditionalFormatting sqref="L23:L31">
    <cfRule type="expression" dxfId="36" priority="37" stopIfTrue="1">
      <formula>IF($B14-INT($B14)&gt;0,TRUE,FALSE)</formula>
    </cfRule>
  </conditionalFormatting>
  <conditionalFormatting sqref="O23:O31">
    <cfRule type="expression" dxfId="35" priority="36" stopIfTrue="1">
      <formula>IF($B14-INT($B14)&gt;0,TRUE,FALSE)</formula>
    </cfRule>
  </conditionalFormatting>
  <conditionalFormatting sqref="P23:P31">
    <cfRule type="expression" dxfId="34" priority="35" stopIfTrue="1">
      <formula>IF($B14-INT($B14)&gt;0,TRUE,FALSE)</formula>
    </cfRule>
  </conditionalFormatting>
  <conditionalFormatting sqref="R23:R31">
    <cfRule type="expression" dxfId="33" priority="34" stopIfTrue="1">
      <formula>IF($B14-INT($B14)&gt;0,TRUE,FALSE)</formula>
    </cfRule>
  </conditionalFormatting>
  <conditionalFormatting sqref="Q22:Q31">
    <cfRule type="expression" dxfId="32" priority="33" stopIfTrue="1">
      <formula>IF($B13-INT($B13)&gt;0,TRUE,FALSE)</formula>
    </cfRule>
  </conditionalFormatting>
  <conditionalFormatting sqref="D32:D42">
    <cfRule type="cellIs" dxfId="31" priority="31" stopIfTrue="1" operator="equal">
      <formula>"NO ADMISIBLE"</formula>
    </cfRule>
  </conditionalFormatting>
  <conditionalFormatting sqref="M34:N42 E34:E42">
    <cfRule type="expression" dxfId="30" priority="30" stopIfTrue="1">
      <formula>IF($B27-INT($B27)&gt;0,TRUE,FALSE)</formula>
    </cfRule>
  </conditionalFormatting>
  <conditionalFormatting sqref="S32:S42">
    <cfRule type="cellIs" dxfId="29" priority="28" stopIfTrue="1" operator="equal">
      <formula>"NO ADMISIBLE"</formula>
    </cfRule>
    <cfRule type="cellIs" dxfId="28" priority="29" stopIfTrue="1" operator="equal">
      <formula>"ADMISIBLE"</formula>
    </cfRule>
  </conditionalFormatting>
  <conditionalFormatting sqref="S32:S42">
    <cfRule type="cellIs" dxfId="27" priority="27" stopIfTrue="1" operator="equal">
      <formula>"PENDIENTE"</formula>
    </cfRule>
  </conditionalFormatting>
  <conditionalFormatting sqref="E33 L33:P33 R33">
    <cfRule type="expression" dxfId="26" priority="26" stopIfTrue="1">
      <formula>IF($B24-INT($B24)&gt;0,TRUE,FALSE)</formula>
    </cfRule>
  </conditionalFormatting>
  <conditionalFormatting sqref="E32:R32 J33:J42 F33:F42">
    <cfRule type="expression" dxfId="25" priority="32" stopIfTrue="1">
      <formula>IF(#REF!-INT(#REF!)&gt;0,TRUE,FALSE)</formula>
    </cfRule>
  </conditionalFormatting>
  <conditionalFormatting sqref="G33:G42">
    <cfRule type="expression" dxfId="24" priority="25" stopIfTrue="1">
      <formula>IF(#REF!-INT(#REF!)&gt;0,TRUE,FALSE)</formula>
    </cfRule>
  </conditionalFormatting>
  <conditionalFormatting sqref="H33:H42">
    <cfRule type="expression" dxfId="23" priority="24" stopIfTrue="1">
      <formula>IF(#REF!-INT(#REF!)&gt;0,TRUE,FALSE)</formula>
    </cfRule>
  </conditionalFormatting>
  <conditionalFormatting sqref="I33:I42">
    <cfRule type="expression" dxfId="22" priority="23" stopIfTrue="1">
      <formula>IF(#REF!-INT(#REF!)&gt;0,TRUE,FALSE)</formula>
    </cfRule>
  </conditionalFormatting>
  <conditionalFormatting sqref="K33:K42">
    <cfRule type="expression" dxfId="21" priority="22" stopIfTrue="1">
      <formula>IF($B24-INT($B24)&gt;0,TRUE,FALSE)</formula>
    </cfRule>
  </conditionalFormatting>
  <conditionalFormatting sqref="L34:L42">
    <cfRule type="expression" dxfId="20" priority="21" stopIfTrue="1">
      <formula>IF($B25-INT($B25)&gt;0,TRUE,FALSE)</formula>
    </cfRule>
  </conditionalFormatting>
  <conditionalFormatting sqref="O34:O42">
    <cfRule type="expression" dxfId="19" priority="20" stopIfTrue="1">
      <formula>IF($B25-INT($B25)&gt;0,TRUE,FALSE)</formula>
    </cfRule>
  </conditionalFormatting>
  <conditionalFormatting sqref="P34:P42">
    <cfRule type="expression" dxfId="18" priority="19" stopIfTrue="1">
      <formula>IF($B25-INT($B25)&gt;0,TRUE,FALSE)</formula>
    </cfRule>
  </conditionalFormatting>
  <conditionalFormatting sqref="R34:R42">
    <cfRule type="expression" dxfId="17" priority="18" stopIfTrue="1">
      <formula>IF($B25-INT($B25)&gt;0,TRUE,FALSE)</formula>
    </cfRule>
  </conditionalFormatting>
  <conditionalFormatting sqref="Q33:Q42">
    <cfRule type="expression" dxfId="16" priority="17" stopIfTrue="1">
      <formula>IF($B24-INT($B24)&gt;0,TRUE,FALSE)</formula>
    </cfRule>
  </conditionalFormatting>
  <conditionalFormatting sqref="D43:D53">
    <cfRule type="cellIs" dxfId="15" priority="15" stopIfTrue="1" operator="equal">
      <formula>"NO ADMISIBLE"</formula>
    </cfRule>
  </conditionalFormatting>
  <conditionalFormatting sqref="M45:N53 E45:E53">
    <cfRule type="expression" dxfId="14" priority="14" stopIfTrue="1">
      <formula>IF($B38-INT($B38)&gt;0,TRUE,FALSE)</formula>
    </cfRule>
  </conditionalFormatting>
  <conditionalFormatting sqref="S43:S53">
    <cfRule type="cellIs" dxfId="13" priority="12" stopIfTrue="1" operator="equal">
      <formula>"NO ADMISIBLE"</formula>
    </cfRule>
    <cfRule type="cellIs" dxfId="12" priority="13" stopIfTrue="1" operator="equal">
      <formula>"ADMISIBLE"</formula>
    </cfRule>
  </conditionalFormatting>
  <conditionalFormatting sqref="S43:S53">
    <cfRule type="cellIs" dxfId="11" priority="11" stopIfTrue="1" operator="equal">
      <formula>"PENDIENTE"</formula>
    </cfRule>
  </conditionalFormatting>
  <conditionalFormatting sqref="E44 L44:P44 R44">
    <cfRule type="expression" dxfId="10" priority="10" stopIfTrue="1">
      <formula>IF($B35-INT($B35)&gt;0,TRUE,FALSE)</formula>
    </cfRule>
  </conditionalFormatting>
  <conditionalFormatting sqref="E43:R43 J44:J53 F44:F53">
    <cfRule type="expression" dxfId="9" priority="16" stopIfTrue="1">
      <formula>IF(#REF!-INT(#REF!)&gt;0,TRUE,FALSE)</formula>
    </cfRule>
  </conditionalFormatting>
  <conditionalFormatting sqref="G44:G53">
    <cfRule type="expression" dxfId="8" priority="9" stopIfTrue="1">
      <formula>IF(#REF!-INT(#REF!)&gt;0,TRUE,FALSE)</formula>
    </cfRule>
  </conditionalFormatting>
  <conditionalFormatting sqref="H44:H53">
    <cfRule type="expression" dxfId="7" priority="8" stopIfTrue="1">
      <formula>IF(#REF!-INT(#REF!)&gt;0,TRUE,FALSE)</formula>
    </cfRule>
  </conditionalFormatting>
  <conditionalFormatting sqref="I44:I53">
    <cfRule type="expression" dxfId="6" priority="7" stopIfTrue="1">
      <formula>IF(#REF!-INT(#REF!)&gt;0,TRUE,FALSE)</formula>
    </cfRule>
  </conditionalFormatting>
  <conditionalFormatting sqref="K44:K53">
    <cfRule type="expression" dxfId="5" priority="6" stopIfTrue="1">
      <formula>IF($B35-INT($B35)&gt;0,TRUE,FALSE)</formula>
    </cfRule>
  </conditionalFormatting>
  <conditionalFormatting sqref="L45:L53">
    <cfRule type="expression" dxfId="4" priority="5" stopIfTrue="1">
      <formula>IF($B36-INT($B36)&gt;0,TRUE,FALSE)</formula>
    </cfRule>
  </conditionalFormatting>
  <conditionalFormatting sqref="O45:O53">
    <cfRule type="expression" dxfId="3" priority="4" stopIfTrue="1">
      <formula>IF($B36-INT($B36)&gt;0,TRUE,FALSE)</formula>
    </cfRule>
  </conditionalFormatting>
  <conditionalFormatting sqref="P45:P53">
    <cfRule type="expression" dxfId="2" priority="3" stopIfTrue="1">
      <formula>IF($B36-INT($B36)&gt;0,TRUE,FALSE)</formula>
    </cfRule>
  </conditionalFormatting>
  <conditionalFormatting sqref="R45:R53">
    <cfRule type="expression" dxfId="1" priority="2" stopIfTrue="1">
      <formula>IF($B36-INT($B36)&gt;0,TRUE,FALSE)</formula>
    </cfRule>
  </conditionalFormatting>
  <conditionalFormatting sqref="Q44:Q53">
    <cfRule type="expression" dxfId="0" priority="1" stopIfTrue="1">
      <formula>IF($B35-INT($B35)&gt;0,TRUE,FALSE)</formula>
    </cfRule>
  </conditionalFormatting>
  <dataValidations count="1">
    <dataValidation type="list" allowBlank="1" showInputMessage="1" showErrorMessage="1" sqref="D10:D53 D6" xr:uid="{00000000-0002-0000-0900-000000000000}">
      <formula1>prueba</formula1>
    </dataValidation>
  </dataValidations>
  <pageMargins left="0.35433070866141736" right="0.35433070866141736" top="0.98425196850393704" bottom="0.98425196850393704" header="0" footer="0"/>
  <pageSetup paperSize="9" scale="50" orientation="landscape" r:id="rId1"/>
  <headerFooter alignWithMargins="0"/>
  <ignoredErrors>
    <ignoredError sqref="R21:R43"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8202" r:id="rId4" name="Button 10">
              <controlPr defaultSize="0" print="0" autoFill="0" autoPict="0" macro="[0]!_xludf.copy">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
  <dimension ref="A1:B103"/>
  <sheetViews>
    <sheetView zoomScale="75" workbookViewId="0">
      <selection activeCell="A19" sqref="A19"/>
    </sheetView>
  </sheetViews>
  <sheetFormatPr baseColWidth="10" defaultRowHeight="12.75" outlineLevelRow="2" x14ac:dyDescent="0.2"/>
  <cols>
    <col min="1" max="1" width="19" customWidth="1"/>
    <col min="2" max="2" width="21.85546875" customWidth="1"/>
  </cols>
  <sheetData>
    <row r="1" spans="1:2" s="12" customFormat="1" ht="15.75" x14ac:dyDescent="0.25">
      <c r="A1" s="12" t="s">
        <v>7</v>
      </c>
    </row>
    <row r="3" spans="1:2" ht="45" x14ac:dyDescent="0.2">
      <c r="A3" s="13" t="s">
        <v>8</v>
      </c>
      <c r="B3" s="14" t="s">
        <v>9</v>
      </c>
    </row>
    <row r="4" spans="1:2" s="16" customFormat="1" outlineLevel="2" x14ac:dyDescent="0.2">
      <c r="A4" s="15"/>
    </row>
    <row r="5" spans="1:2" s="19" customFormat="1" ht="13.5" outlineLevel="1" x14ac:dyDescent="0.2">
      <c r="A5" s="17" t="s">
        <v>114</v>
      </c>
      <c r="B5" s="18">
        <v>16097532669.306931</v>
      </c>
    </row>
    <row r="6" spans="1:2" s="19" customFormat="1" ht="13.5" outlineLevel="1" x14ac:dyDescent="0.2">
      <c r="A6" s="17" t="s">
        <v>115</v>
      </c>
      <c r="B6" s="18">
        <v>18724260670</v>
      </c>
    </row>
    <row r="7" spans="1:2" s="19" customFormat="1" ht="13.5" outlineLevel="1" x14ac:dyDescent="0.2">
      <c r="A7" s="17" t="s">
        <v>116</v>
      </c>
      <c r="B7" s="18">
        <v>15886461489</v>
      </c>
    </row>
    <row r="8" spans="1:2" s="19" customFormat="1" ht="13.5" outlineLevel="1" x14ac:dyDescent="0.2">
      <c r="A8" s="17" t="s">
        <v>117</v>
      </c>
      <c r="B8" s="18">
        <v>18533406621</v>
      </c>
    </row>
    <row r="9" spans="1:2" s="19" customFormat="1" ht="13.5" outlineLevel="1" x14ac:dyDescent="0.2">
      <c r="A9" s="17" t="s">
        <v>118</v>
      </c>
      <c r="B9" s="18">
        <v>14971945628</v>
      </c>
    </row>
    <row r="10" spans="1:2" s="19" customFormat="1" ht="13.5" outlineLevel="1" x14ac:dyDescent="0.2">
      <c r="A10" s="17" t="s">
        <v>119</v>
      </c>
      <c r="B10" s="18">
        <v>16484340849</v>
      </c>
    </row>
    <row r="11" spans="1:2" s="19" customFormat="1" ht="13.5" outlineLevel="1" x14ac:dyDescent="0.2">
      <c r="A11" s="17" t="s">
        <v>120</v>
      </c>
      <c r="B11" s="18">
        <v>16686919713.999998</v>
      </c>
    </row>
    <row r="12" spans="1:2" s="19" customFormat="1" ht="13.5" outlineLevel="1" x14ac:dyDescent="0.2">
      <c r="A12" s="17" t="s">
        <v>121</v>
      </c>
      <c r="B12" s="18">
        <v>11566305868</v>
      </c>
    </row>
    <row r="13" spans="1:2" s="19" customFormat="1" ht="13.5" outlineLevel="1" x14ac:dyDescent="0.2">
      <c r="A13" s="17" t="s">
        <v>122</v>
      </c>
      <c r="B13" s="18">
        <v>6300474910</v>
      </c>
    </row>
    <row r="14" spans="1:2" s="19" customFormat="1" ht="13.5" outlineLevel="1" x14ac:dyDescent="0.2">
      <c r="A14" s="17" t="s">
        <v>10</v>
      </c>
      <c r="B14" s="18">
        <v>1428162158.4158416</v>
      </c>
    </row>
    <row r="15" spans="1:2" s="19" customFormat="1" ht="13.5" outlineLevel="1" x14ac:dyDescent="0.2">
      <c r="A15" s="17" t="s">
        <v>11</v>
      </c>
      <c r="B15" s="18">
        <v>1292851961.3861387</v>
      </c>
    </row>
    <row r="16" spans="1:2" s="19" customFormat="1" ht="13.5" outlineLevel="1" x14ac:dyDescent="0.2">
      <c r="A16" s="17" t="s">
        <v>12</v>
      </c>
      <c r="B16" s="36">
        <v>14200237260</v>
      </c>
    </row>
    <row r="17" spans="1:2" s="19" customFormat="1" ht="13.5" outlineLevel="1" x14ac:dyDescent="0.2">
      <c r="A17" s="17" t="s">
        <v>13</v>
      </c>
      <c r="B17" s="18">
        <v>14388115033</v>
      </c>
    </row>
    <row r="18" spans="1:2" s="19" customFormat="1" ht="13.5" outlineLevel="1" x14ac:dyDescent="0.2">
      <c r="A18" s="17" t="s">
        <v>14</v>
      </c>
      <c r="B18" s="18">
        <v>7076050599</v>
      </c>
    </row>
    <row r="19" spans="1:2" s="19" customFormat="1" ht="13.5" outlineLevel="1" x14ac:dyDescent="0.2">
      <c r="A19" s="17" t="s">
        <v>15</v>
      </c>
      <c r="B19" s="18">
        <v>20893814942</v>
      </c>
    </row>
    <row r="20" spans="1:2" s="19" customFormat="1" ht="13.5" outlineLevel="1" x14ac:dyDescent="0.2">
      <c r="A20" s="17" t="s">
        <v>16</v>
      </c>
      <c r="B20" s="36">
        <v>8810989120</v>
      </c>
    </row>
    <row r="21" spans="1:2" s="19" customFormat="1" ht="13.5" outlineLevel="1" x14ac:dyDescent="0.2">
      <c r="A21" s="17" t="s">
        <v>17</v>
      </c>
      <c r="B21" s="18">
        <v>5818381842</v>
      </c>
    </row>
    <row r="22" spans="1:2" s="19" customFormat="1" ht="13.5" outlineLevel="1" x14ac:dyDescent="0.2">
      <c r="A22" s="17" t="s">
        <v>18</v>
      </c>
      <c r="B22" s="18">
        <v>9650261634</v>
      </c>
    </row>
    <row r="23" spans="1:2" s="19" customFormat="1" ht="13.5" outlineLevel="1" x14ac:dyDescent="0.2">
      <c r="A23" s="17" t="s">
        <v>19</v>
      </c>
      <c r="B23" s="18">
        <v>5385776414</v>
      </c>
    </row>
    <row r="24" spans="1:2" s="19" customFormat="1" ht="13.5" outlineLevel="1" x14ac:dyDescent="0.2">
      <c r="A24" s="17" t="s">
        <v>20</v>
      </c>
      <c r="B24" s="18">
        <v>5759505844</v>
      </c>
    </row>
    <row r="25" spans="1:2" s="19" customFormat="1" ht="13.5" outlineLevel="1" x14ac:dyDescent="0.2">
      <c r="A25" s="17" t="s">
        <v>21</v>
      </c>
      <c r="B25" s="18">
        <v>11365045650</v>
      </c>
    </row>
    <row r="26" spans="1:2" s="19" customFormat="1" ht="13.5" outlineLevel="1" x14ac:dyDescent="0.2">
      <c r="A26" s="17" t="s">
        <v>22</v>
      </c>
      <c r="B26" s="18">
        <v>15652530637</v>
      </c>
    </row>
    <row r="27" spans="1:2" s="19" customFormat="1" ht="13.5" outlineLevel="1" x14ac:dyDescent="0.2">
      <c r="A27" s="17" t="s">
        <v>23</v>
      </c>
      <c r="B27" s="18">
        <v>5772808797</v>
      </c>
    </row>
    <row r="28" spans="1:2" s="19" customFormat="1" ht="13.5" outlineLevel="1" x14ac:dyDescent="0.2">
      <c r="A28" s="17" t="s">
        <v>24</v>
      </c>
      <c r="B28" s="18">
        <v>7512106130</v>
      </c>
    </row>
    <row r="29" spans="1:2" s="19" customFormat="1" ht="13.5" outlineLevel="1" x14ac:dyDescent="0.2">
      <c r="A29" s="17" t="s">
        <v>25</v>
      </c>
      <c r="B29" s="18">
        <v>9347559589</v>
      </c>
    </row>
    <row r="30" spans="1:2" s="19" customFormat="1" ht="13.5" outlineLevel="1" x14ac:dyDescent="0.2">
      <c r="A30" s="17" t="s">
        <v>26</v>
      </c>
      <c r="B30" s="18">
        <v>19825977010</v>
      </c>
    </row>
    <row r="31" spans="1:2" s="19" customFormat="1" ht="13.5" outlineLevel="1" x14ac:dyDescent="0.2">
      <c r="A31" s="17" t="s">
        <v>27</v>
      </c>
      <c r="B31" s="18">
        <v>9200191515</v>
      </c>
    </row>
    <row r="32" spans="1:2" s="19" customFormat="1" ht="13.5" outlineLevel="1" x14ac:dyDescent="0.2">
      <c r="A32" s="17" t="s">
        <v>28</v>
      </c>
      <c r="B32" s="18">
        <v>18743806542</v>
      </c>
    </row>
    <row r="33" spans="1:2" s="19" customFormat="1" ht="13.5" outlineLevel="1" x14ac:dyDescent="0.2">
      <c r="A33" s="17" t="s">
        <v>29</v>
      </c>
      <c r="B33" s="18">
        <v>12488203547</v>
      </c>
    </row>
    <row r="34" spans="1:2" s="19" customFormat="1" ht="13.5" outlineLevel="1" x14ac:dyDescent="0.2">
      <c r="A34" s="17" t="s">
        <v>30</v>
      </c>
      <c r="B34" s="18">
        <v>12337277639</v>
      </c>
    </row>
    <row r="35" spans="1:2" s="19" customFormat="1" ht="13.5" outlineLevel="1" x14ac:dyDescent="0.2">
      <c r="A35" s="17" t="s">
        <v>31</v>
      </c>
      <c r="B35" s="18">
        <v>16198497482.999998</v>
      </c>
    </row>
    <row r="36" spans="1:2" s="19" customFormat="1" ht="13.5" outlineLevel="1" x14ac:dyDescent="0.2">
      <c r="A36" s="17" t="s">
        <v>32</v>
      </c>
      <c r="B36" s="18">
        <v>17764576319</v>
      </c>
    </row>
    <row r="37" spans="1:2" s="19" customFormat="1" ht="13.5" outlineLevel="1" x14ac:dyDescent="0.2">
      <c r="A37" s="17" t="s">
        <v>33</v>
      </c>
      <c r="B37" s="18">
        <v>22882731815</v>
      </c>
    </row>
    <row r="38" spans="1:2" s="19" customFormat="1" ht="13.5" outlineLevel="1" x14ac:dyDescent="0.2">
      <c r="A38" s="17" t="s">
        <v>34</v>
      </c>
      <c r="B38" s="18">
        <v>7383905477</v>
      </c>
    </row>
    <row r="39" spans="1:2" s="19" customFormat="1" ht="13.5" outlineLevel="1" x14ac:dyDescent="0.2">
      <c r="A39" s="17" t="s">
        <v>35</v>
      </c>
      <c r="B39" s="18">
        <v>12423743774</v>
      </c>
    </row>
    <row r="40" spans="1:2" s="19" customFormat="1" ht="13.5" outlineLevel="1" x14ac:dyDescent="0.2">
      <c r="A40" s="17" t="s">
        <v>36</v>
      </c>
      <c r="B40" s="18">
        <v>14187262851</v>
      </c>
    </row>
    <row r="41" spans="1:2" s="19" customFormat="1" ht="13.5" outlineLevel="1" x14ac:dyDescent="0.2">
      <c r="A41" s="17" t="s">
        <v>37</v>
      </c>
      <c r="B41" s="18">
        <v>9099377756</v>
      </c>
    </row>
    <row r="42" spans="1:2" s="19" customFormat="1" ht="13.5" outlineLevel="1" x14ac:dyDescent="0.2">
      <c r="A42" s="17" t="s">
        <v>38</v>
      </c>
      <c r="B42" s="18">
        <v>7416098511</v>
      </c>
    </row>
    <row r="43" spans="1:2" s="19" customFormat="1" ht="13.5" outlineLevel="1" x14ac:dyDescent="0.2">
      <c r="A43" s="17" t="s">
        <v>39</v>
      </c>
      <c r="B43" s="18">
        <v>16654736652</v>
      </c>
    </row>
    <row r="44" spans="1:2" s="19" customFormat="1" ht="13.5" outlineLevel="1" x14ac:dyDescent="0.2">
      <c r="A44" s="17" t="s">
        <v>40</v>
      </c>
      <c r="B44" s="18">
        <v>12006016561</v>
      </c>
    </row>
    <row r="45" spans="1:2" s="19" customFormat="1" ht="13.5" outlineLevel="1" x14ac:dyDescent="0.2">
      <c r="A45" s="17" t="s">
        <v>41</v>
      </c>
      <c r="B45" s="18">
        <v>14602426835</v>
      </c>
    </row>
    <row r="46" spans="1:2" s="19" customFormat="1" ht="13.5" outlineLevel="1" x14ac:dyDescent="0.2">
      <c r="A46" s="17" t="s">
        <v>42</v>
      </c>
      <c r="B46" s="18">
        <v>16600395825</v>
      </c>
    </row>
    <row r="47" spans="1:2" s="19" customFormat="1" ht="13.5" outlineLevel="1" x14ac:dyDescent="0.2">
      <c r="A47" s="17" t="s">
        <v>43</v>
      </c>
      <c r="B47" s="18">
        <v>9490692823</v>
      </c>
    </row>
    <row r="48" spans="1:2" s="19" customFormat="1" ht="13.5" outlineLevel="1" x14ac:dyDescent="0.2">
      <c r="A48" s="17" t="s">
        <v>44</v>
      </c>
      <c r="B48" s="18">
        <v>14966356774</v>
      </c>
    </row>
    <row r="49" spans="1:2" s="19" customFormat="1" ht="13.5" outlineLevel="1" x14ac:dyDescent="0.2">
      <c r="A49" s="17" t="s">
        <v>45</v>
      </c>
      <c r="B49" s="18">
        <v>16628059484</v>
      </c>
    </row>
    <row r="50" spans="1:2" s="19" customFormat="1" ht="13.5" outlineLevel="1" x14ac:dyDescent="0.2">
      <c r="A50" s="17" t="s">
        <v>46</v>
      </c>
      <c r="B50" s="18">
        <v>11545020876</v>
      </c>
    </row>
    <row r="51" spans="1:2" s="19" customFormat="1" ht="13.5" outlineLevel="1" x14ac:dyDescent="0.2">
      <c r="A51" s="17" t="s">
        <v>47</v>
      </c>
      <c r="B51" s="18">
        <v>11069859631</v>
      </c>
    </row>
    <row r="52" spans="1:2" s="19" customFormat="1" ht="13.5" outlineLevel="1" x14ac:dyDescent="0.2">
      <c r="A52" s="17" t="s">
        <v>48</v>
      </c>
      <c r="B52" s="18">
        <v>16462254401</v>
      </c>
    </row>
    <row r="53" spans="1:2" s="19" customFormat="1" ht="13.5" outlineLevel="1" x14ac:dyDescent="0.2">
      <c r="A53" s="17" t="s">
        <v>49</v>
      </c>
      <c r="B53" s="18">
        <v>29122451003</v>
      </c>
    </row>
    <row r="54" spans="1:2" s="19" customFormat="1" ht="13.5" outlineLevel="1" x14ac:dyDescent="0.2">
      <c r="A54" s="17" t="s">
        <v>50</v>
      </c>
      <c r="B54" s="18">
        <v>19110837484</v>
      </c>
    </row>
    <row r="55" spans="1:2" s="19" customFormat="1" ht="13.5" outlineLevel="1" x14ac:dyDescent="0.2">
      <c r="A55" s="17" t="s">
        <v>51</v>
      </c>
      <c r="B55" s="18">
        <v>14355039068</v>
      </c>
    </row>
    <row r="56" spans="1:2" s="19" customFormat="1" ht="13.5" outlineLevel="1" x14ac:dyDescent="0.2">
      <c r="A56" s="17" t="s">
        <v>52</v>
      </c>
      <c r="B56" s="18">
        <v>10742553232</v>
      </c>
    </row>
    <row r="57" spans="1:2" s="19" customFormat="1" ht="13.5" outlineLevel="1" x14ac:dyDescent="0.2">
      <c r="A57" s="17" t="s">
        <v>53</v>
      </c>
      <c r="B57" s="18">
        <v>12944688820</v>
      </c>
    </row>
    <row r="58" spans="1:2" s="19" customFormat="1" ht="13.5" outlineLevel="1" x14ac:dyDescent="0.2">
      <c r="A58" s="17" t="s">
        <v>54</v>
      </c>
      <c r="B58" s="18">
        <v>11689433662</v>
      </c>
    </row>
    <row r="59" spans="1:2" s="19" customFormat="1" ht="13.5" outlineLevel="1" x14ac:dyDescent="0.2">
      <c r="A59" s="17" t="s">
        <v>55</v>
      </c>
      <c r="B59" s="18">
        <v>11397659254</v>
      </c>
    </row>
    <row r="60" spans="1:2" s="19" customFormat="1" ht="13.5" outlineLevel="1" x14ac:dyDescent="0.2">
      <c r="A60" s="17" t="s">
        <v>56</v>
      </c>
      <c r="B60" s="18">
        <v>16236395384</v>
      </c>
    </row>
    <row r="61" spans="1:2" s="19" customFormat="1" ht="13.5" outlineLevel="1" x14ac:dyDescent="0.2">
      <c r="A61" s="17" t="s">
        <v>57</v>
      </c>
      <c r="B61" s="18">
        <v>6151462908.9075203</v>
      </c>
    </row>
    <row r="62" spans="1:2" s="19" customFormat="1" ht="13.5" outlineLevel="1" x14ac:dyDescent="0.2">
      <c r="A62" s="17" t="s">
        <v>58</v>
      </c>
      <c r="B62" s="18">
        <v>24188206629</v>
      </c>
    </row>
    <row r="63" spans="1:2" s="19" customFormat="1" ht="13.5" outlineLevel="1" x14ac:dyDescent="0.2">
      <c r="A63" s="17" t="s">
        <v>59</v>
      </c>
      <c r="B63" s="18">
        <v>22229863427</v>
      </c>
    </row>
    <row r="64" spans="1:2" s="19" customFormat="1" ht="13.5" outlineLevel="1" x14ac:dyDescent="0.2">
      <c r="A64" s="17" t="s">
        <v>60</v>
      </c>
      <c r="B64" s="18">
        <v>23200278421</v>
      </c>
    </row>
    <row r="65" spans="1:2" s="19" customFormat="1" ht="13.5" outlineLevel="1" x14ac:dyDescent="0.2">
      <c r="A65" s="17" t="s">
        <v>61</v>
      </c>
      <c r="B65" s="18">
        <v>33729146012</v>
      </c>
    </row>
    <row r="66" spans="1:2" s="19" customFormat="1" ht="13.5" outlineLevel="1" x14ac:dyDescent="0.2">
      <c r="A66" s="17" t="s">
        <v>62</v>
      </c>
      <c r="B66" s="18">
        <v>25741331764</v>
      </c>
    </row>
    <row r="67" spans="1:2" s="19" customFormat="1" ht="13.5" outlineLevel="1" x14ac:dyDescent="0.2">
      <c r="A67" s="17" t="s">
        <v>63</v>
      </c>
      <c r="B67" s="18">
        <v>10895316694.06304</v>
      </c>
    </row>
    <row r="68" spans="1:2" s="19" customFormat="1" ht="13.5" outlineLevel="1" x14ac:dyDescent="0.2">
      <c r="A68" s="17" t="s">
        <v>64</v>
      </c>
      <c r="B68" s="18">
        <v>15574902572</v>
      </c>
    </row>
    <row r="69" spans="1:2" s="16" customFormat="1" ht="13.5" outlineLevel="1" x14ac:dyDescent="0.2">
      <c r="A69" s="17" t="s">
        <v>65</v>
      </c>
      <c r="B69" s="18">
        <v>11085498362</v>
      </c>
    </row>
    <row r="70" spans="1:2" s="19" customFormat="1" ht="13.5" outlineLevel="1" x14ac:dyDescent="0.2">
      <c r="A70" s="17" t="s">
        <v>66</v>
      </c>
      <c r="B70" s="18">
        <v>15569378930</v>
      </c>
    </row>
    <row r="71" spans="1:2" s="19" customFormat="1" ht="13.5" outlineLevel="1" x14ac:dyDescent="0.2">
      <c r="A71" s="17" t="s">
        <v>67</v>
      </c>
      <c r="B71" s="18">
        <v>19872456988.21376</v>
      </c>
    </row>
    <row r="72" spans="1:2" s="19" customFormat="1" ht="13.5" outlineLevel="1" x14ac:dyDescent="0.2">
      <c r="A72" s="17" t="s">
        <v>68</v>
      </c>
      <c r="B72" s="18">
        <v>9279916346</v>
      </c>
    </row>
    <row r="73" spans="1:2" s="19" customFormat="1" ht="13.5" outlineLevel="1" x14ac:dyDescent="0.2">
      <c r="A73" s="17" t="s">
        <v>69</v>
      </c>
      <c r="B73" s="18">
        <v>11879598172</v>
      </c>
    </row>
    <row r="74" spans="1:2" s="19" customFormat="1" ht="13.5" outlineLevel="1" x14ac:dyDescent="0.2">
      <c r="A74" s="17" t="s">
        <v>70</v>
      </c>
      <c r="B74" s="18">
        <v>14944234555</v>
      </c>
    </row>
    <row r="75" spans="1:2" s="19" customFormat="1" ht="13.5" outlineLevel="1" x14ac:dyDescent="0.2">
      <c r="A75" s="17" t="s">
        <v>71</v>
      </c>
      <c r="B75" s="18">
        <v>8486287813</v>
      </c>
    </row>
    <row r="76" spans="1:2" s="19" customFormat="1" ht="13.5" outlineLevel="1" x14ac:dyDescent="0.2">
      <c r="A76" s="17" t="s">
        <v>72</v>
      </c>
      <c r="B76" s="18">
        <v>7048832262</v>
      </c>
    </row>
    <row r="77" spans="1:2" s="19" customFormat="1" ht="13.5" outlineLevel="1" x14ac:dyDescent="0.2">
      <c r="A77" s="17" t="s">
        <v>73</v>
      </c>
      <c r="B77" s="18">
        <v>5348779190</v>
      </c>
    </row>
    <row r="78" spans="1:2" s="19" customFormat="1" ht="13.5" outlineLevel="1" x14ac:dyDescent="0.2">
      <c r="A78" s="17" t="s">
        <v>74</v>
      </c>
      <c r="B78" s="18">
        <v>5466387046</v>
      </c>
    </row>
    <row r="79" spans="1:2" s="19" customFormat="1" ht="13.5" outlineLevel="1" x14ac:dyDescent="0.2">
      <c r="A79" s="17" t="s">
        <v>75</v>
      </c>
      <c r="B79" s="18">
        <v>16518448889</v>
      </c>
    </row>
    <row r="80" spans="1:2" s="19" customFormat="1" ht="13.5" outlineLevel="1" x14ac:dyDescent="0.2">
      <c r="A80" s="17" t="s">
        <v>76</v>
      </c>
      <c r="B80" s="18">
        <v>8675202615</v>
      </c>
    </row>
    <row r="81" spans="1:2" s="19" customFormat="1" ht="13.5" outlineLevel="1" x14ac:dyDescent="0.2">
      <c r="A81" s="17" t="s">
        <v>77</v>
      </c>
      <c r="B81" s="18">
        <v>16760013498</v>
      </c>
    </row>
    <row r="82" spans="1:2" s="19" customFormat="1" ht="13.5" outlineLevel="1" x14ac:dyDescent="0.2">
      <c r="A82" s="17" t="s">
        <v>78</v>
      </c>
      <c r="B82" s="18">
        <v>12438755743</v>
      </c>
    </row>
    <row r="83" spans="1:2" s="19" customFormat="1" ht="13.5" outlineLevel="1" x14ac:dyDescent="0.2">
      <c r="A83" s="17" t="s">
        <v>79</v>
      </c>
      <c r="B83" s="18">
        <v>14593425402</v>
      </c>
    </row>
    <row r="84" spans="1:2" s="19" customFormat="1" ht="13.5" outlineLevel="1" x14ac:dyDescent="0.2">
      <c r="A84" s="17" t="s">
        <v>80</v>
      </c>
      <c r="B84" s="18">
        <v>6689468251</v>
      </c>
    </row>
    <row r="85" spans="1:2" s="19" customFormat="1" ht="13.5" outlineLevel="1" x14ac:dyDescent="0.2">
      <c r="A85" s="17" t="s">
        <v>81</v>
      </c>
      <c r="B85" s="18">
        <v>8186369892</v>
      </c>
    </row>
    <row r="86" spans="1:2" s="19" customFormat="1" ht="13.5" outlineLevel="1" x14ac:dyDescent="0.2">
      <c r="A86" s="17" t="s">
        <v>82</v>
      </c>
      <c r="B86" s="18">
        <v>28561249598</v>
      </c>
    </row>
    <row r="87" spans="1:2" s="19" customFormat="1" ht="13.5" outlineLevel="1" x14ac:dyDescent="0.2">
      <c r="A87" s="17" t="s">
        <v>83</v>
      </c>
      <c r="B87" s="18">
        <v>34980509996</v>
      </c>
    </row>
    <row r="88" spans="1:2" s="19" customFormat="1" ht="13.5" outlineLevel="1" x14ac:dyDescent="0.2">
      <c r="A88" s="17" t="s">
        <v>84</v>
      </c>
      <c r="B88" s="18">
        <v>6950846586</v>
      </c>
    </row>
    <row r="89" spans="1:2" s="19" customFormat="1" ht="13.5" outlineLevel="1" x14ac:dyDescent="0.2">
      <c r="A89" s="17" t="s">
        <v>85</v>
      </c>
      <c r="B89" s="18">
        <v>11116163961</v>
      </c>
    </row>
    <row r="90" spans="1:2" s="19" customFormat="1" ht="13.5" outlineLevel="1" x14ac:dyDescent="0.2">
      <c r="A90" s="17" t="s">
        <v>86</v>
      </c>
      <c r="B90" s="18">
        <v>21274070645</v>
      </c>
    </row>
    <row r="91" spans="1:2" s="19" customFormat="1" ht="13.5" outlineLevel="1" x14ac:dyDescent="0.2">
      <c r="A91" s="17" t="s">
        <v>87</v>
      </c>
      <c r="B91" s="18">
        <v>2826770201</v>
      </c>
    </row>
    <row r="92" spans="1:2" s="19" customFormat="1" ht="13.5" outlineLevel="1" x14ac:dyDescent="0.2">
      <c r="A92" s="17" t="s">
        <v>88</v>
      </c>
      <c r="B92" s="18">
        <v>4775546619</v>
      </c>
    </row>
    <row r="93" spans="1:2" s="19" customFormat="1" ht="13.5" outlineLevel="1" x14ac:dyDescent="0.2">
      <c r="A93" s="17" t="s">
        <v>89</v>
      </c>
      <c r="B93" s="18">
        <v>23755514236</v>
      </c>
    </row>
    <row r="94" spans="1:2" s="19" customFormat="1" ht="13.5" outlineLevel="1" x14ac:dyDescent="0.2">
      <c r="A94" s="17" t="s">
        <v>90</v>
      </c>
      <c r="B94" s="18">
        <v>22463613073</v>
      </c>
    </row>
    <row r="95" spans="1:2" s="19" customFormat="1" ht="13.5" outlineLevel="1" x14ac:dyDescent="0.2">
      <c r="A95" s="17" t="s">
        <v>91</v>
      </c>
      <c r="B95" s="18">
        <v>20949816946</v>
      </c>
    </row>
    <row r="96" spans="1:2" s="19" customFormat="1" ht="13.5" outlineLevel="1" x14ac:dyDescent="0.2">
      <c r="A96" s="17" t="s">
        <v>92</v>
      </c>
      <c r="B96" s="18">
        <v>14104036918</v>
      </c>
    </row>
    <row r="97" spans="1:2" s="19" customFormat="1" ht="13.5" outlineLevel="1" x14ac:dyDescent="0.2">
      <c r="A97" s="17" t="s">
        <v>93</v>
      </c>
      <c r="B97" s="18">
        <v>1396272140.5940592</v>
      </c>
    </row>
    <row r="98" spans="1:2" s="19" customFormat="1" ht="13.5" outlineLevel="1" x14ac:dyDescent="0.2">
      <c r="A98" s="17" t="s">
        <v>94</v>
      </c>
      <c r="B98" s="18">
        <v>1211346171.2871287</v>
      </c>
    </row>
    <row r="99" spans="1:2" s="19" customFormat="1" ht="13.5" outlineLevel="1" x14ac:dyDescent="0.2">
      <c r="A99" s="17" t="s">
        <v>95</v>
      </c>
      <c r="B99" s="18">
        <v>1239693623.7623763</v>
      </c>
    </row>
    <row r="100" spans="1:2" s="19" customFormat="1" ht="13.5" outlineLevel="1" x14ac:dyDescent="0.2">
      <c r="A100" s="17" t="s">
        <v>96</v>
      </c>
      <c r="B100" s="18">
        <v>1625508018.1759996</v>
      </c>
    </row>
    <row r="101" spans="1:2" s="16" customFormat="1" ht="13.5" outlineLevel="1" x14ac:dyDescent="0.2">
      <c r="A101" s="17"/>
      <c r="B101" s="20">
        <f>SUM(B4:B100)</f>
        <v>1276966895152.1125</v>
      </c>
    </row>
    <row r="103" spans="1:2" x14ac:dyDescent="0.2">
      <c r="B103" s="24"/>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20</vt:i4>
      </vt:variant>
    </vt:vector>
  </HeadingPairs>
  <TitlesOfParts>
    <vt:vector size="31" baseType="lpstr">
      <vt:lpstr>Verificaciones</vt:lpstr>
      <vt:lpstr>POA</vt:lpstr>
      <vt:lpstr>Puntajes</vt:lpstr>
      <vt:lpstr>Capacidad Financiera</vt:lpstr>
      <vt:lpstr>Puntaje Exp</vt:lpstr>
      <vt:lpstr>Puntaje CT</vt:lpstr>
      <vt:lpstr>Puntaje CF</vt:lpstr>
      <vt:lpstr>Saldo CtosEjecución</vt:lpstr>
      <vt:lpstr>Cap Organización</vt:lpstr>
      <vt:lpstr>Capacidad Residual</vt:lpstr>
      <vt:lpstr>PO</vt:lpstr>
      <vt:lpstr>AnticipoM1</vt:lpstr>
      <vt:lpstr>AnticipoM2</vt:lpstr>
      <vt:lpstr>AnticipoM3</vt:lpstr>
      <vt:lpstr>AnticipoM4</vt:lpstr>
      <vt:lpstr>'Capacidad Financiera'!Área_de_impresión</vt:lpstr>
      <vt:lpstr>CapFinanciera1</vt:lpstr>
      <vt:lpstr>CapFinanciera2</vt:lpstr>
      <vt:lpstr>CapFinanciera3</vt:lpstr>
      <vt:lpstr>CapFinanciera4</vt:lpstr>
      <vt:lpstr>CapTecnica1</vt:lpstr>
      <vt:lpstr>CapTecnica2</vt:lpstr>
      <vt:lpstr>Experiencia1</vt:lpstr>
      <vt:lpstr>Experiencia2</vt:lpstr>
      <vt:lpstr>Experiencia3</vt:lpstr>
      <vt:lpstr>'Capacidad Financiera'!frmMainForm_tblFormContainer_trContentRow_tdLeftColumn_divViewProfilePerspective_tblProfileDetails_trIsGroupContentRow_tdTitleCell_rptIsGroupRepeater_rpteIsGroupConditionalElements_lnkIsGroupConditionalSpan_1</vt:lpstr>
      <vt:lpstr>PlazoM1</vt:lpstr>
      <vt:lpstr>PlazoM2</vt:lpstr>
      <vt:lpstr>PlazoM3</vt:lpstr>
      <vt:lpstr>PlazoM4</vt:lpstr>
      <vt:lpstr>SALACTUAL</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 2014</dc:creator>
  <cp:lastModifiedBy>Miguel Angel Nuñez Herrera</cp:lastModifiedBy>
  <cp:lastPrinted>2019-10-11T13:56:53Z</cp:lastPrinted>
  <dcterms:created xsi:type="dcterms:W3CDTF">2005-03-19T14:11:58Z</dcterms:created>
  <dcterms:modified xsi:type="dcterms:W3CDTF">2024-09-05T20:03:03Z</dcterms:modified>
</cp:coreProperties>
</file>