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https://etbcsj-my.sharepoint.com/personal/puadtivalle_cendoj_ramajudicial_gov_co/Documents/ARQUITECTA/CONTRATO No.062 de 2024/"/>
    </mc:Choice>
  </mc:AlternateContent>
  <xr:revisionPtr revIDLastSave="2" documentId="8_{2CC3B99B-7F12-4BF0-8527-1221C82E04AA}" xr6:coauthVersionLast="36" xr6:coauthVersionMax="47" xr10:uidLastSave="{0207E7A8-C7D4-48AD-B70F-26DD0FBCE5CC}"/>
  <bookViews>
    <workbookView xWindow="0" yWindow="0" windowWidth="28800" windowHeight="11925" xr2:uid="{00000000-000D-0000-FFFF-FFFF00000000}"/>
  </bookViews>
  <sheets>
    <sheet name="PERSONAL  DE EQUIPO DE INTE (2)" sheetId="9"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12" i="9" l="1"/>
  <c r="S74" i="9" l="1"/>
  <c r="N82" i="9"/>
  <c r="I78" i="9"/>
  <c r="I82" i="9" s="1"/>
  <c r="N57" i="9" l="1"/>
  <c r="O57" i="9" s="1"/>
  <c r="N42" i="9"/>
  <c r="O42" i="9" s="1"/>
  <c r="N27" i="9"/>
  <c r="O27" i="9" s="1"/>
  <c r="C87" i="9"/>
  <c r="M57" i="9"/>
  <c r="U63" i="9" s="1"/>
  <c r="M42" i="9"/>
  <c r="M27" i="9"/>
  <c r="J57" i="9"/>
  <c r="J42" i="9"/>
  <c r="J27" i="9"/>
  <c r="R70" i="9"/>
  <c r="H69" i="9"/>
  <c r="I69" i="9" s="1"/>
  <c r="R67" i="9"/>
  <c r="R66" i="9"/>
  <c r="Z64" i="9"/>
  <c r="H62" i="9"/>
  <c r="I62" i="9" s="1"/>
  <c r="H57" i="9"/>
  <c r="I57" i="9" s="1"/>
  <c r="R54" i="9"/>
  <c r="H52" i="9"/>
  <c r="I52" i="9" s="1"/>
  <c r="R51" i="9"/>
  <c r="Z49" i="9"/>
  <c r="R48" i="9"/>
  <c r="H47" i="9"/>
  <c r="I47" i="9" s="1"/>
  <c r="Z46" i="9"/>
  <c r="R45" i="9"/>
  <c r="Z43" i="9"/>
  <c r="H42" i="9"/>
  <c r="I42" i="9" s="1"/>
  <c r="R39" i="9"/>
  <c r="H37" i="9"/>
  <c r="I37" i="9" s="1"/>
  <c r="R36" i="9"/>
  <c r="Z34" i="9"/>
  <c r="R33" i="9"/>
  <c r="H31" i="9"/>
  <c r="I31" i="9" s="1"/>
  <c r="R30" i="9"/>
  <c r="H27" i="9"/>
  <c r="I27" i="9" s="1"/>
  <c r="R24" i="9"/>
  <c r="R21" i="9"/>
  <c r="Z19" i="9"/>
  <c r="R18" i="9"/>
  <c r="Z16" i="9"/>
  <c r="R15" i="9"/>
  <c r="F12" i="9"/>
  <c r="M12" i="9" s="1"/>
  <c r="K7" i="9"/>
  <c r="M73" i="9" l="1"/>
  <c r="M74" i="9" s="1"/>
  <c r="T15" i="9"/>
  <c r="U33" i="9"/>
  <c r="U30" i="9"/>
  <c r="N12" i="9"/>
  <c r="AF12" i="9" s="1"/>
  <c r="C82" i="9"/>
  <c r="F73" i="9"/>
  <c r="S70" i="9"/>
  <c r="J12" i="9"/>
  <c r="S24" i="9" s="1"/>
  <c r="S30" i="9"/>
  <c r="S66" i="9"/>
  <c r="S67" i="9"/>
  <c r="S39" i="9"/>
  <c r="S33" i="9"/>
  <c r="S36" i="9"/>
  <c r="R57" i="9"/>
  <c r="S57" i="9" s="1"/>
  <c r="H12" i="9"/>
  <c r="H15" i="9"/>
  <c r="I15" i="9" s="1"/>
  <c r="H18" i="9"/>
  <c r="I18" i="9" s="1"/>
  <c r="S54" i="9"/>
  <c r="S51" i="9"/>
  <c r="R60" i="9"/>
  <c r="S60" i="9" s="1"/>
  <c r="S42" i="9"/>
  <c r="R63" i="9"/>
  <c r="S63" i="9" s="1"/>
  <c r="U15" i="9" l="1"/>
  <c r="S21" i="9"/>
  <c r="J73" i="9"/>
  <c r="S18" i="9"/>
  <c r="S15" i="9"/>
  <c r="H73" i="9"/>
  <c r="I12" i="9"/>
  <c r="I73" i="9" s="1"/>
  <c r="T18" i="9"/>
  <c r="AA15" i="9"/>
  <c r="AA17" i="9"/>
  <c r="U18" i="9" l="1"/>
  <c r="T73" i="9"/>
  <c r="H6" i="9"/>
  <c r="H7" i="9" s="1"/>
  <c r="J74" i="9"/>
  <c r="U73" i="9"/>
  <c r="S73" i="9"/>
  <c r="T74" i="9" l="1"/>
</calcChain>
</file>

<file path=xl/sharedStrings.xml><?xml version="1.0" encoding="utf-8"?>
<sst xmlns="http://schemas.openxmlformats.org/spreadsheetml/2006/main" count="280" uniqueCount="135">
  <si>
    <t>Consejo Superior de la Judicatura
Dirección Ejecutiva Seccional de Administración Judicial
Cali – Valle del Cauca</t>
  </si>
  <si>
    <t>FORMATO CONTROL DE SEGUIMIENTO CONTRATO DE INTERVENTORIA No.062 DE 2024</t>
  </si>
  <si>
    <t>OBJETO CONTRATO:</t>
  </si>
  <si>
    <t>Contratar en nombre de la Nación – Consejo Superior de la Judicatura – Dirección Seccional de Administración Judicial de Cali – Valle del Cauca, la interventoría integral a las obras de modernización de la red eléctrica, normal, regulada y red lógica de voz y datos del palacio nacional de buenaventura, incluyendo materiales a todo costo</t>
  </si>
  <si>
    <t>CONTRATISTA:</t>
  </si>
  <si>
    <t>MAKINGENIERIA</t>
  </si>
  <si>
    <t xml:space="preserve">VAOR CONTRATO </t>
  </si>
  <si>
    <t>EQUIPO DE TRABAJO X  2 MESES</t>
  </si>
  <si>
    <t xml:space="preserve">FACTOR MULTIPLICADOR PERSTACIONAL </t>
  </si>
  <si>
    <t xml:space="preserve">PLAZO 
INICIAL </t>
  </si>
  <si>
    <t>2 MESES</t>
  </si>
  <si>
    <t xml:space="preserve">Fecha de incio </t>
  </si>
  <si>
    <t>29 de mayo de 2024</t>
  </si>
  <si>
    <t xml:space="preserve">OTROS COSTOS </t>
  </si>
  <si>
    <t xml:space="preserve">FACTOR PRESTACIONAL OPERATIVOS </t>
  </si>
  <si>
    <t xml:space="preserve">PLAZO ADICIONAL </t>
  </si>
  <si>
    <t>1,5 MESES</t>
  </si>
  <si>
    <t xml:space="preserve">Fecha final </t>
  </si>
  <si>
    <t>11 de septiembre de 2024</t>
  </si>
  <si>
    <t xml:space="preserve">INFORMACIÓN CONTRACTUAL POR UN MES </t>
  </si>
  <si>
    <t xml:space="preserve">SEGUIMIENTO AL DESARROLLO DEL SERVICIO DE INTERVENTORIA </t>
  </si>
  <si>
    <t>Perfil</t>
  </si>
  <si>
    <t>Cargo</t>
  </si>
  <si>
    <t xml:space="preserve">Cantidad </t>
  </si>
  <si>
    <t>Dedicación
(%) En Sitio</t>
  </si>
  <si>
    <t>SALARIO BASE OFERTA ECONOMICA
(IBC)</t>
  </si>
  <si>
    <t xml:space="preserve">APORTES </t>
  </si>
  <si>
    <t>FACTOR  MULTIPLICADOR
COSTO TOTAL DE LA PERSONA 
(1,78.%)</t>
  </si>
  <si>
    <t xml:space="preserve">Nombre completo </t>
  </si>
  <si>
    <t xml:space="preserve">C.C </t>
  </si>
  <si>
    <t>Salario PS(Base * factor 1,71)</t>
  </si>
  <si>
    <t>BASE IBC (salario base X Factor 1,29)</t>
  </si>
  <si>
    <t xml:space="preserve">BASE DE IBC </t>
  </si>
  <si>
    <t xml:space="preserve">Dedicación en sitio </t>
  </si>
  <si>
    <t xml:space="preserve">Reporte de pago </t>
  </si>
  <si>
    <t xml:space="preserve">Diferencia entre el costo de la persona y el valor pagado </t>
  </si>
  <si>
    <t xml:space="preserve">Observaciones </t>
  </si>
  <si>
    <t>Diferencia en aportes (IBC)</t>
  </si>
  <si>
    <t xml:space="preserve">CONCEPTO </t>
  </si>
  <si>
    <t xml:space="preserve">VALOR  MES </t>
  </si>
  <si>
    <t>VALOR DIÁ</t>
  </si>
  <si>
    <t>MES</t>
  </si>
  <si>
    <t>Días</t>
  </si>
  <si>
    <t>%</t>
  </si>
  <si>
    <t xml:space="preserve">Costo </t>
  </si>
  <si>
    <t>Planillas de pago</t>
  </si>
  <si>
    <t>dias</t>
  </si>
  <si>
    <t>IBC PLANILLA</t>
  </si>
  <si>
    <t>Aporte</t>
  </si>
  <si>
    <t>Ajuste IBC</t>
  </si>
  <si>
    <t>empresa/ Razon Social</t>
  </si>
  <si>
    <t xml:space="preserve">Pagos salarios </t>
  </si>
  <si>
    <t>IBC</t>
  </si>
  <si>
    <t xml:space="preserve">Dedicación </t>
  </si>
  <si>
    <t xml:space="preserve">Base </t>
  </si>
  <si>
    <t>Tiempo</t>
  </si>
  <si>
    <t>Profesional, Ingeniero Eléctrico o Electricista, Ingeniero Electromecánico, Ingeniero en Distribución y Redes Eléctricas e Ingeniero Electrónico</t>
  </si>
  <si>
    <t xml:space="preserve">Director de Obra </t>
  </si>
  <si>
    <t>SALUD</t>
  </si>
  <si>
    <t>JAIME VIVI</t>
  </si>
  <si>
    <t>1,094,917,059</t>
  </si>
  <si>
    <t>Mayo</t>
  </si>
  <si>
    <t xml:space="preserve">Planilla No. 9469546675 </t>
  </si>
  <si>
    <t>Salud</t>
  </si>
  <si>
    <t>Jaime vivi</t>
  </si>
  <si>
    <t xml:space="preserve">El soporte allegado relaciona un pago general y superior al indicado contractualmente, para el caso solo se tiene encuenta lo relacionado con el servicio soliictado para el contrato celebrado con la Entidad (por 2 meses) </t>
  </si>
  <si>
    <t>Los pagos de los aportes realizados registrados en las planillas reportan un IBC inferior con una diferencia  de $83,525</t>
  </si>
  <si>
    <t xml:space="preserve">Las condiciones contractuales indican una dedicación en sitio la cual no se ha cumplido  conforme los registros de ingreso al inmueble.
De otra parte la relación de personal   presentada por la firma MAKING INGENIERIA S.A.S  indica el % de dedicación y el tipo de vinculación 
situación que permite inferir que  el profesional contrato no cumplió con la dedicación en sitio. 
 </t>
  </si>
  <si>
    <t>Pensión</t>
  </si>
  <si>
    <t>Planilla No.9469677676</t>
  </si>
  <si>
    <t>Riesgos</t>
  </si>
  <si>
    <t xml:space="preserve">PENSIÓN </t>
  </si>
  <si>
    <t>Junio</t>
  </si>
  <si>
    <t xml:space="preserve">Planilla No. 9470717347 </t>
  </si>
  <si>
    <t>Planilla No. 9470796485</t>
  </si>
  <si>
    <t>ARL</t>
  </si>
  <si>
    <t>Julio</t>
  </si>
  <si>
    <t xml:space="preserve">Planilla No. 9471752158 </t>
  </si>
  <si>
    <t>Planilla No. 9471753607</t>
  </si>
  <si>
    <t>Agosto</t>
  </si>
  <si>
    <t xml:space="preserve">No se tiene documentación </t>
  </si>
  <si>
    <t>Septiembre</t>
  </si>
  <si>
    <t xml:space="preserve">Tecnólogo Electricista </t>
  </si>
  <si>
    <t xml:space="preserve">Inspector de Obra </t>
  </si>
  <si>
    <t>ROGER ANTONIO BASILIO VIERA</t>
  </si>
  <si>
    <t xml:space="preserve">Los aportes estan acordes al  IBC respecto del sueldo base, no obstante, la razón social (jaime vivi) no es la responsable, deberia estar directamente hecha por Roger  Antonio Basilio, el valor debera ser por los 3.5 meses de ejecucion del contrato  
</t>
  </si>
  <si>
    <t>Los pagos de los aportes realizados registrados en las planillas reportan un IBC correspondiente</t>
  </si>
  <si>
    <t xml:space="preserve">Las condiciones contractuales indican una dedicación en sitio la cual no se ha cumplido  conforme los registros de ingreso al inmueble.
De otra parte la relación de personal   presentada por la firma MAKING INGENIERIA S.A.S  indica el % de dedicación y el tipo de vinculación 
situación que permite inferir que  el profesional contrato no cumplio con la dedicación en sitio. </t>
  </si>
  <si>
    <t>1,300,000</t>
  </si>
  <si>
    <t>Planilla No. 9470792814</t>
  </si>
  <si>
    <t>Planilla No. 9471755170</t>
  </si>
  <si>
    <t>GUSTAVO CANDELO VANEGAS</t>
  </si>
  <si>
    <t>Tecnólogo en Electrónica y/o Telecomunicaciones o en administración de redes</t>
  </si>
  <si>
    <t>LUIS ALEJANDRO BUITRAGO</t>
  </si>
  <si>
    <t>1,096,034,447</t>
  </si>
  <si>
    <t>Planilla No. 70702726</t>
  </si>
  <si>
    <t xml:space="preserve">
LAB INGENIERIA SAS (pension-salud-riesgos)</t>
  </si>
  <si>
    <t>Los soportes de pago allegados muestran los pago srelacionados en los meses de junio y julio.
Dichos pagos son por un valor superior de $133,000   al indicado contractualmente, para el caso solo se tiene encuenta lo relacionado con el servicio soliictado para el contrato celebrado con la Entidad.</t>
  </si>
  <si>
    <t>Planilla No.71255413</t>
  </si>
  <si>
    <t>LAB INGENIERIA SAS (pension-salud-riesgos)</t>
  </si>
  <si>
    <t>Planilla No.72103082</t>
  </si>
  <si>
    <t>Profesional o Tecnólogo en Seguridad Industrial y Salud Ocupacional (SISO), Profesional en Administración en Salud ocupacional y/o Administrador de Seguridad y Salud en el Trabajo y/o Administrador de la seguridad y salud ocupacional y/o tecnólogos SST y/o tecnólogos en seguridad ocupacional</t>
  </si>
  <si>
    <t xml:space="preserve">SISO </t>
  </si>
  <si>
    <t>OSCAR GUSTAVO OCAMPO</t>
  </si>
  <si>
    <t>7,557,111</t>
  </si>
  <si>
    <t xml:space="preserve">Los soporte de pago refeljan un valor menor a los definidos contractualmente  para el perfil </t>
  </si>
  <si>
    <t>Las condiciones contractuales indican una dedicación en sitio la cual no se ha cumplido  conforme los registros de ingreso al inmueble.
De otra parte la relación de personal   presentada por la firma MAKING INGENIERIA S.A.S  indica el % de dedicación y el tipo de vinculación 
situación que permite inferir que  el profesional contrato Nunca hizo presencia en sitio</t>
  </si>
  <si>
    <t xml:space="preserve">Planilla No.9469677676 </t>
  </si>
  <si>
    <t xml:space="preserve"> </t>
  </si>
  <si>
    <t>Planilla No. 9472075337</t>
  </si>
  <si>
    <t>Planilla No.9471753607</t>
  </si>
  <si>
    <t>Planilla No.9472075350</t>
  </si>
  <si>
    <t>LISBETH JHMOMALY GARCES GONZALEZ</t>
  </si>
  <si>
    <t>1,111,806,546</t>
  </si>
  <si>
    <t>Salario x 2 meses</t>
  </si>
  <si>
    <t>pagos ARL</t>
  </si>
  <si>
    <t>FACTOR MULTIPLICADOR PARA PERSONAL  CONTRATUAL</t>
  </si>
  <si>
    <t>FACTOR MULTIPLICADOR SALARIO BASE  PS</t>
  </si>
  <si>
    <t>FACTOR MULTIPLICADOR SALARIO BASE PARA IBC  X PS</t>
  </si>
  <si>
    <t>A</t>
  </si>
  <si>
    <t>SALARIO BASICO</t>
  </si>
  <si>
    <t>B</t>
  </si>
  <si>
    <t>PRESTACIONES SOCIALES</t>
  </si>
  <si>
    <t>Dotación</t>
  </si>
  <si>
    <t>C</t>
  </si>
  <si>
    <t>SEGURIDAD SOCIAL</t>
  </si>
  <si>
    <t>SEGURIDAD SOCIAL ( menos el valor de la ARL)</t>
  </si>
  <si>
    <t>D</t>
  </si>
  <si>
    <t>PARAFISCALES</t>
  </si>
  <si>
    <t>E</t>
  </si>
  <si>
    <t>OTROS (Equipos y herramientas para el trabajo)</t>
  </si>
  <si>
    <t>F</t>
  </si>
  <si>
    <t>SEGURIDAD Y SALUD EN EL TRABAJO (elementos de protección personal (EPP)</t>
  </si>
  <si>
    <t>FACTOR MULTIPLICADOR</t>
  </si>
  <si>
    <t>LIQUIDACIÓN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</si>
</sst>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quot;$&quot;\ #,##0.000;[Red]\-&quot;$&quot;\ #,##0.000"/>
    <numFmt numFmtId="165" formatCode="_-[$$-240A]\ * #,##0.00_-;\-[$$-240A]\ * #,##0.00_-;_-[$$-240A]\ * &quot;-&quot;??_-;_-@_-"/>
    <numFmt numFmtId="166" formatCode="_-&quot;$&quot;\ * #,##0.000_-;\-&quot;$&quot;\ * #,##0.000_-;_-&quot;$&quot;\ * &quot;-&quot;??_-;_-@_-"/>
    <numFmt numFmtId="167" formatCode="_-&quot;$&quot;\ * #,##0.000_-;\-&quot;$&quot;\ * #,##0.000_-;_-&quot;$&quot;\ * &quot;-&quot;???_-;_-@_-"/>
    <numFmt numFmtId="168" formatCode="&quot;$&quot;\ #,##0.00"/>
    <numFmt numFmtId="169" formatCode="#,##0.000"/>
  </numFmts>
  <fonts count="5" x14ac:knownFonts="1">
    <font>
      <sz val="11"/>
      <color theme="1"/>
      <name val="Calibri"/>
      <family val="2"/>
      <scheme val="minor"/>
    </font>
    <font>
      <sz val="11"/>
      <color theme="1"/>
      <name val="Arial"/>
      <family val="2"/>
    </font>
    <font>
      <b/>
      <sz val="10"/>
      <color theme="1"/>
      <name val="Arial"/>
      <family val="2"/>
    </font>
    <font>
      <sz val="10"/>
      <color theme="1"/>
      <name val="Arial"/>
      <family val="2"/>
    </font>
    <font>
      <sz val="11"/>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0000"/>
        <bgColor indexed="64"/>
      </patternFill>
    </fill>
    <fill>
      <patternFill patternType="solid">
        <fgColor rgb="FF00B0F0"/>
        <bgColor indexed="64"/>
      </patternFill>
    </fill>
    <fill>
      <patternFill patternType="solid">
        <fgColor theme="4" tint="0.79998168889431442"/>
        <bgColor indexed="64"/>
      </patternFill>
    </fill>
  </fills>
  <borders count="34">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style="medium">
        <color auto="1"/>
      </left>
      <right/>
      <top/>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auto="1"/>
      </left>
      <right/>
      <top style="thin">
        <color auto="1"/>
      </top>
      <bottom style="medium">
        <color indexed="64"/>
      </bottom>
      <diagonal/>
    </border>
    <border>
      <left style="medium">
        <color indexed="64"/>
      </left>
      <right style="thin">
        <color auto="1"/>
      </right>
      <top style="thin">
        <color auto="1"/>
      </top>
      <bottom/>
      <diagonal/>
    </border>
    <border>
      <left style="thin">
        <color auto="1"/>
      </left>
      <right/>
      <top style="medium">
        <color indexed="64"/>
      </top>
      <bottom style="thin">
        <color auto="1"/>
      </bottom>
      <diagonal/>
    </border>
    <border>
      <left style="thin">
        <color auto="1"/>
      </left>
      <right/>
      <top/>
      <bottom style="medium">
        <color indexed="64"/>
      </bottom>
      <diagonal/>
    </border>
    <border>
      <left style="thin">
        <color auto="1"/>
      </left>
      <right style="thin">
        <color auto="1"/>
      </right>
      <top style="medium">
        <color indexed="64"/>
      </top>
      <bottom/>
      <diagonal/>
    </border>
    <border>
      <left style="thin">
        <color auto="1"/>
      </left>
      <right/>
      <top style="thin">
        <color auto="1"/>
      </top>
      <bottom/>
      <diagonal/>
    </border>
    <border>
      <left style="thin">
        <color auto="1"/>
      </left>
      <right/>
      <top style="medium">
        <color indexed="64"/>
      </top>
      <bottom/>
      <diagonal/>
    </border>
    <border>
      <left style="thin">
        <color auto="1"/>
      </left>
      <right style="medium">
        <color indexed="64"/>
      </right>
      <top/>
      <bottom/>
      <diagonal/>
    </border>
    <border>
      <left style="thin">
        <color auto="1"/>
      </left>
      <right/>
      <top/>
      <bottom/>
      <diagonal/>
    </border>
  </borders>
  <cellStyleXfs count="3">
    <xf numFmtId="0" fontId="0" fillId="0" borderId="0"/>
    <xf numFmtId="44" fontId="4" fillId="0" borderId="0" applyFont="0" applyFill="0" applyBorder="0" applyAlignment="0" applyProtection="0"/>
    <xf numFmtId="9" fontId="4" fillId="0" borderId="0" applyFont="0" applyFill="0" applyBorder="0" applyAlignment="0" applyProtection="0"/>
  </cellStyleXfs>
  <cellXfs count="197">
    <xf numFmtId="0" fontId="0" fillId="0" borderId="0" xfId="0"/>
    <xf numFmtId="0" fontId="3" fillId="0" borderId="0" xfId="0" applyFont="1"/>
    <xf numFmtId="0" fontId="3" fillId="0" borderId="5" xfId="0" applyFont="1" applyBorder="1" applyAlignment="1">
      <alignment vertical="center" wrapText="1"/>
    </xf>
    <xf numFmtId="0" fontId="3" fillId="0" borderId="0" xfId="0" applyFont="1" applyAlignment="1">
      <alignment horizontal="center"/>
    </xf>
    <xf numFmtId="0" fontId="3" fillId="0" borderId="0" xfId="0" applyFont="1" applyAlignment="1">
      <alignment vertical="center"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44" fontId="3" fillId="0" borderId="1" xfId="1" applyFont="1" applyFill="1" applyBorder="1" applyAlignment="1">
      <alignment vertical="center"/>
    </xf>
    <xf numFmtId="0" fontId="3" fillId="0" borderId="0" xfId="0" applyFont="1" applyAlignment="1">
      <alignment horizontal="center" vertical="center"/>
    </xf>
    <xf numFmtId="3" fontId="3" fillId="0" borderId="0" xfId="0" applyNumberFormat="1" applyFont="1" applyAlignment="1">
      <alignment horizontal="center" vertical="center"/>
    </xf>
    <xf numFmtId="44" fontId="3" fillId="0" borderId="0" xfId="1" applyFont="1" applyFill="1" applyBorder="1" applyAlignment="1">
      <alignment horizontal="center" vertical="center"/>
    </xf>
    <xf numFmtId="10" fontId="3" fillId="0" borderId="1" xfId="0" applyNumberFormat="1" applyFont="1" applyBorder="1" applyAlignment="1">
      <alignment horizontal="center" vertical="center"/>
    </xf>
    <xf numFmtId="10" fontId="2" fillId="0" borderId="1" xfId="0" applyNumberFormat="1" applyFont="1" applyBorder="1" applyAlignment="1">
      <alignment horizontal="center" vertical="center"/>
    </xf>
    <xf numFmtId="3" fontId="3" fillId="0" borderId="0" xfId="0" applyNumberFormat="1" applyFont="1" applyAlignment="1">
      <alignment vertical="center"/>
    </xf>
    <xf numFmtId="166" fontId="3" fillId="0" borderId="0" xfId="0" applyNumberFormat="1" applyFont="1" applyAlignment="1">
      <alignment horizontal="center" vertical="center"/>
    </xf>
    <xf numFmtId="0" fontId="3" fillId="0" borderId="0" xfId="0" applyFont="1" applyAlignment="1">
      <alignment horizontal="center" vertical="center" wrapText="1"/>
    </xf>
    <xf numFmtId="9" fontId="3" fillId="0" borderId="0" xfId="0" applyNumberFormat="1" applyFont="1" applyAlignment="1">
      <alignment horizontal="center" vertical="center" wrapText="1"/>
    </xf>
    <xf numFmtId="167" fontId="3" fillId="0" borderId="0" xfId="0" applyNumberFormat="1" applyFont="1"/>
    <xf numFmtId="0" fontId="3" fillId="0" borderId="1" xfId="0" applyFont="1" applyBorder="1" applyAlignment="1">
      <alignment horizontal="left" vertical="center" wrapText="1"/>
    </xf>
    <xf numFmtId="44" fontId="3" fillId="0" borderId="1" xfId="0" applyNumberFormat="1" applyFont="1" applyBorder="1" applyAlignment="1">
      <alignment horizontal="center" vertical="center"/>
    </xf>
    <xf numFmtId="44" fontId="3" fillId="0" borderId="1" xfId="1" applyFont="1" applyFill="1" applyBorder="1" applyAlignment="1">
      <alignment horizontal="center" vertical="center" wrapText="1"/>
    </xf>
    <xf numFmtId="44" fontId="3" fillId="0" borderId="0" xfId="0" applyNumberFormat="1" applyFont="1" applyAlignment="1">
      <alignment horizontal="center"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9" fontId="3" fillId="0" borderId="14" xfId="0" applyNumberFormat="1" applyFont="1" applyBorder="1" applyAlignment="1">
      <alignment horizontal="center" vertical="center" wrapText="1"/>
    </xf>
    <xf numFmtId="44" fontId="3" fillId="0" borderId="15" xfId="1" applyFont="1" applyFill="1" applyBorder="1" applyAlignment="1">
      <alignment horizontal="center" vertical="center"/>
    </xf>
    <xf numFmtId="168" fontId="3" fillId="0" borderId="1" xfId="2" applyNumberFormat="1" applyFont="1" applyBorder="1" applyAlignment="1">
      <alignment vertical="center"/>
    </xf>
    <xf numFmtId="0" fontId="3" fillId="0" borderId="19" xfId="0" applyFont="1" applyBorder="1" applyAlignment="1">
      <alignment vertical="center" wrapText="1"/>
    </xf>
    <xf numFmtId="0" fontId="3" fillId="0" borderId="17" xfId="0" applyFont="1" applyBorder="1" applyAlignment="1">
      <alignment vertical="center"/>
    </xf>
    <xf numFmtId="3" fontId="3" fillId="4" borderId="3" xfId="0" applyNumberFormat="1" applyFont="1" applyFill="1" applyBorder="1" applyAlignment="1">
      <alignment horizontal="center" vertical="center"/>
    </xf>
    <xf numFmtId="44" fontId="3" fillId="0" borderId="19" xfId="0" applyNumberFormat="1"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left" vertical="center"/>
    </xf>
    <xf numFmtId="0" fontId="2" fillId="0" borderId="1" xfId="0" applyFont="1" applyBorder="1" applyAlignment="1">
      <alignment horizontal="center" vertical="center"/>
    </xf>
    <xf numFmtId="0" fontId="2" fillId="0" borderId="19" xfId="0" applyFont="1" applyBorder="1" applyAlignment="1">
      <alignment horizontal="center" vertical="center" wrapText="1"/>
    </xf>
    <xf numFmtId="44" fontId="3" fillId="0" borderId="1" xfId="1" applyFont="1" applyBorder="1" applyAlignment="1">
      <alignment horizontal="center" vertical="center" wrapText="1"/>
    </xf>
    <xf numFmtId="0" fontId="3" fillId="0" borderId="1" xfId="0" applyFont="1" applyBorder="1" applyAlignment="1">
      <alignment horizontal="center" vertical="center" wrapText="1"/>
    </xf>
    <xf numFmtId="9" fontId="3" fillId="0" borderId="1" xfId="2" applyFont="1" applyBorder="1" applyAlignment="1">
      <alignment horizontal="center" vertical="center"/>
    </xf>
    <xf numFmtId="0" fontId="3" fillId="0" borderId="1" xfId="0" applyFont="1" applyBorder="1" applyAlignment="1">
      <alignment horizontal="center" vertical="center"/>
    </xf>
    <xf numFmtId="44" fontId="3" fillId="0" borderId="1" xfId="1" applyFont="1" applyBorder="1" applyAlignment="1">
      <alignment horizontal="center" vertical="center"/>
    </xf>
    <xf numFmtId="0" fontId="3" fillId="0" borderId="17" xfId="0" applyFont="1" applyBorder="1" applyAlignment="1">
      <alignment horizontal="center" vertical="center"/>
    </xf>
    <xf numFmtId="0" fontId="2" fillId="0" borderId="19" xfId="0" applyFont="1" applyBorder="1" applyAlignment="1">
      <alignment horizontal="center" vertical="center"/>
    </xf>
    <xf numFmtId="44" fontId="3" fillId="0" borderId="17" xfId="1" applyFont="1" applyFill="1" applyBorder="1" applyAlignment="1">
      <alignment horizontal="center" vertical="center"/>
    </xf>
    <xf numFmtId="44" fontId="3" fillId="0" borderId="1" xfId="1" applyFont="1" applyFill="1" applyBorder="1" applyAlignment="1">
      <alignment horizontal="center" vertical="center"/>
    </xf>
    <xf numFmtId="0" fontId="3" fillId="0" borderId="19" xfId="0" applyFont="1" applyBorder="1" applyAlignment="1">
      <alignment horizontal="center" vertical="center" wrapText="1"/>
    </xf>
    <xf numFmtId="0" fontId="3" fillId="0" borderId="19" xfId="0" applyFont="1" applyBorder="1" applyAlignment="1">
      <alignment horizontal="center" vertical="center"/>
    </xf>
    <xf numFmtId="0" fontId="3" fillId="0" borderId="17" xfId="0" applyFont="1" applyBorder="1" applyAlignment="1">
      <alignment horizontal="center" vertical="center" wrapText="1"/>
    </xf>
    <xf numFmtId="9" fontId="3" fillId="0" borderId="1" xfId="0" applyNumberFormat="1" applyFont="1" applyBorder="1" applyAlignment="1">
      <alignment horizontal="center" vertical="center"/>
    </xf>
    <xf numFmtId="9" fontId="3" fillId="0" borderId="1"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3" fontId="3" fillId="4" borderId="0" xfId="0" applyNumberFormat="1" applyFont="1" applyFill="1" applyAlignment="1">
      <alignment horizontal="center" vertical="center"/>
    </xf>
    <xf numFmtId="0" fontId="3" fillId="0" borderId="3" xfId="0" applyFont="1" applyBorder="1" applyAlignment="1">
      <alignment horizontal="left" vertical="center"/>
    </xf>
    <xf numFmtId="168" fontId="3" fillId="0" borderId="1" xfId="2" applyNumberFormat="1" applyFont="1" applyFill="1" applyBorder="1" applyAlignment="1">
      <alignment vertical="center"/>
    </xf>
    <xf numFmtId="3" fontId="3" fillId="0" borderId="3" xfId="0" applyNumberFormat="1" applyFont="1" applyBorder="1" applyAlignment="1">
      <alignment horizontal="center" vertical="center"/>
    </xf>
    <xf numFmtId="166" fontId="3" fillId="0" borderId="17" xfId="1" applyNumberFormat="1" applyFont="1" applyBorder="1" applyAlignment="1">
      <alignment horizontal="center" vertical="center"/>
    </xf>
    <xf numFmtId="0" fontId="2" fillId="0" borderId="25" xfId="0" applyFont="1" applyBorder="1" applyAlignment="1">
      <alignment horizontal="center" vertical="center"/>
    </xf>
    <xf numFmtId="166" fontId="3" fillId="0" borderId="1" xfId="1" applyNumberFormat="1" applyFont="1" applyBorder="1" applyAlignment="1">
      <alignment horizontal="center" vertical="center"/>
    </xf>
    <xf numFmtId="0" fontId="3" fillId="0" borderId="5" xfId="0" applyFont="1" applyBorder="1" applyAlignment="1">
      <alignment horizontal="left" vertical="center" wrapText="1"/>
    </xf>
    <xf numFmtId="0" fontId="3" fillId="0" borderId="1" xfId="0" applyFont="1" applyBorder="1" applyAlignment="1">
      <alignment vertical="center"/>
    </xf>
    <xf numFmtId="0" fontId="3" fillId="0" borderId="5" xfId="0" applyFont="1" applyBorder="1" applyAlignment="1">
      <alignment vertical="center"/>
    </xf>
    <xf numFmtId="0" fontId="3" fillId="2" borderId="17" xfId="0" applyFont="1" applyFill="1" applyBorder="1"/>
    <xf numFmtId="0" fontId="3" fillId="2" borderId="17" xfId="0" applyFont="1" applyFill="1" applyBorder="1" applyAlignment="1">
      <alignment vertical="center" wrapText="1"/>
    </xf>
    <xf numFmtId="0" fontId="3" fillId="2" borderId="17" xfId="0" applyFont="1" applyFill="1" applyBorder="1" applyAlignment="1">
      <alignment horizontal="center" vertical="center" wrapText="1"/>
    </xf>
    <xf numFmtId="44" fontId="3" fillId="0" borderId="0" xfId="0" applyNumberFormat="1" applyFont="1"/>
    <xf numFmtId="0" fontId="2" fillId="0" borderId="1" xfId="0" applyFont="1" applyBorder="1" applyAlignment="1">
      <alignment horizontal="center" vertical="center" wrapText="1"/>
    </xf>
    <xf numFmtId="169" fontId="3" fillId="0" borderId="0" xfId="0" applyNumberFormat="1" applyFont="1" applyAlignment="1">
      <alignment horizontal="center" vertical="center"/>
    </xf>
    <xf numFmtId="10" fontId="3" fillId="0" borderId="0" xfId="0" applyNumberFormat="1" applyFont="1"/>
    <xf numFmtId="44" fontId="3" fillId="0" borderId="6" xfId="1" applyFont="1" applyFill="1" applyBorder="1" applyAlignment="1">
      <alignment horizontal="center" vertical="center"/>
    </xf>
    <xf numFmtId="0" fontId="3" fillId="0" borderId="0" xfId="0" applyFont="1" applyAlignment="1">
      <alignment horizontal="left" vertical="center"/>
    </xf>
    <xf numFmtId="10" fontId="3" fillId="0" borderId="0" xfId="0" applyNumberFormat="1" applyFont="1" applyAlignment="1">
      <alignment horizontal="center" vertical="center"/>
    </xf>
    <xf numFmtId="0" fontId="3" fillId="0" borderId="22" xfId="0" applyFont="1" applyBorder="1" applyAlignment="1">
      <alignment vertical="center" wrapText="1"/>
    </xf>
    <xf numFmtId="44" fontId="3" fillId="0" borderId="24" xfId="0" applyNumberFormat="1" applyFont="1" applyBorder="1" applyAlignment="1">
      <alignment vertical="center"/>
    </xf>
    <xf numFmtId="3" fontId="3" fillId="0" borderId="6" xfId="0" applyNumberFormat="1" applyFont="1" applyBorder="1" applyAlignment="1">
      <alignment horizontal="center" vertical="center"/>
    </xf>
    <xf numFmtId="44" fontId="3" fillId="4" borderId="32" xfId="1" applyFont="1" applyFill="1" applyBorder="1" applyAlignment="1">
      <alignment horizontal="center" vertical="center"/>
    </xf>
    <xf numFmtId="44" fontId="3" fillId="0" borderId="8" xfId="1" applyFont="1" applyFill="1" applyBorder="1" applyAlignment="1">
      <alignment horizontal="center" vertical="center"/>
    </xf>
    <xf numFmtId="44" fontId="3" fillId="0" borderId="7" xfId="1" applyFont="1" applyFill="1" applyBorder="1" applyAlignment="1">
      <alignment horizontal="center" vertical="center"/>
    </xf>
    <xf numFmtId="3" fontId="3" fillId="0" borderId="30" xfId="0" applyNumberFormat="1" applyFont="1" applyBorder="1" applyAlignment="1">
      <alignment horizontal="center" vertical="center"/>
    </xf>
    <xf numFmtId="3" fontId="3" fillId="0" borderId="11" xfId="0" applyNumberFormat="1" applyFont="1" applyBorder="1" applyAlignment="1">
      <alignment horizontal="center" vertical="center"/>
    </xf>
    <xf numFmtId="3" fontId="3" fillId="0" borderId="5" xfId="0" applyNumberFormat="1" applyFont="1" applyBorder="1" applyAlignment="1">
      <alignment horizontal="center" vertical="center"/>
    </xf>
    <xf numFmtId="164" fontId="3" fillId="0" borderId="1" xfId="0" applyNumberFormat="1" applyFont="1" applyBorder="1" applyAlignment="1">
      <alignment horizontal="center" vertical="center"/>
    </xf>
    <xf numFmtId="164" fontId="3" fillId="0" borderId="1" xfId="0" applyNumberFormat="1" applyFont="1" applyBorder="1" applyAlignment="1">
      <alignment vertical="center"/>
    </xf>
    <xf numFmtId="164" fontId="3" fillId="0" borderId="0" xfId="0" applyNumberFormat="1" applyFont="1" applyAlignment="1">
      <alignment horizontal="center" vertical="center"/>
    </xf>
    <xf numFmtId="44" fontId="3" fillId="5" borderId="1" xfId="0" applyNumberFormat="1" applyFont="1" applyFill="1" applyBorder="1" applyAlignment="1">
      <alignment horizontal="center" vertical="center"/>
    </xf>
    <xf numFmtId="44" fontId="3" fillId="5" borderId="33" xfId="1" applyFont="1" applyFill="1" applyBorder="1" applyAlignment="1">
      <alignment horizontal="center" vertical="center" wrapText="1"/>
    </xf>
    <xf numFmtId="0" fontId="3" fillId="5" borderId="0" xfId="0" applyFont="1" applyFill="1" applyAlignment="1">
      <alignment horizontal="center" vertical="center"/>
    </xf>
    <xf numFmtId="0" fontId="3" fillId="5" borderId="1" xfId="0" applyFont="1" applyFill="1" applyBorder="1" applyAlignment="1">
      <alignment horizontal="center" vertical="center"/>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xf>
    <xf numFmtId="0" fontId="3" fillId="0" borderId="16" xfId="0" applyFont="1" applyBorder="1" applyAlignment="1">
      <alignment horizontal="center" vertical="center"/>
    </xf>
    <xf numFmtId="0" fontId="3" fillId="0" borderId="18" xfId="0" applyFont="1" applyBorder="1" applyAlignment="1">
      <alignment horizontal="center" vertical="center"/>
    </xf>
    <xf numFmtId="44" fontId="3" fillId="0" borderId="17" xfId="1" applyFont="1" applyBorder="1" applyAlignment="1">
      <alignment horizontal="center" vertical="center"/>
    </xf>
    <xf numFmtId="44" fontId="3" fillId="0" borderId="19" xfId="1" applyFont="1" applyBorder="1" applyAlignment="1">
      <alignment horizontal="center" vertical="center"/>
    </xf>
    <xf numFmtId="165" fontId="3" fillId="0" borderId="17" xfId="0" applyNumberFormat="1" applyFont="1" applyBorder="1" applyAlignment="1">
      <alignment horizontal="center" vertical="center"/>
    </xf>
    <xf numFmtId="0" fontId="3" fillId="0" borderId="19" xfId="0" applyFont="1" applyBorder="1" applyAlignment="1">
      <alignment horizontal="center" vertical="center"/>
    </xf>
    <xf numFmtId="0" fontId="3" fillId="0" borderId="0" xfId="0" applyFont="1" applyAlignment="1">
      <alignment horizontal="center" vertical="center"/>
    </xf>
    <xf numFmtId="0" fontId="3" fillId="0" borderId="1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7" xfId="0"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xf>
    <xf numFmtId="9" fontId="3" fillId="0" borderId="17" xfId="0" applyNumberFormat="1" applyFont="1" applyBorder="1" applyAlignment="1">
      <alignment horizontal="center" vertical="center" wrapText="1"/>
    </xf>
    <xf numFmtId="44" fontId="3" fillId="0" borderId="17" xfId="1" applyFont="1" applyFill="1" applyBorder="1" applyAlignment="1">
      <alignment horizontal="center" vertical="center"/>
    </xf>
    <xf numFmtId="44" fontId="3" fillId="0" borderId="1" xfId="1" applyFont="1" applyFill="1" applyBorder="1" applyAlignment="1">
      <alignment horizontal="center" vertical="center"/>
    </xf>
    <xf numFmtId="44" fontId="3" fillId="0" borderId="5" xfId="1" applyFont="1" applyFill="1" applyBorder="1" applyAlignment="1">
      <alignment horizontal="center" vertical="center"/>
    </xf>
    <xf numFmtId="0" fontId="2" fillId="0" borderId="5" xfId="0" applyFont="1" applyBorder="1" applyAlignment="1">
      <alignment horizontal="center" vertical="center" wrapText="1"/>
    </xf>
    <xf numFmtId="0" fontId="2" fillId="0" borderId="15" xfId="0" applyFont="1" applyBorder="1" applyAlignment="1">
      <alignment horizontal="center" vertical="center" wrapText="1"/>
    </xf>
    <xf numFmtId="9" fontId="3" fillId="0" borderId="17" xfId="2" applyFont="1" applyBorder="1" applyAlignment="1">
      <alignment horizontal="center" vertical="center"/>
    </xf>
    <xf numFmtId="9" fontId="3" fillId="0" borderId="1" xfId="2" applyFont="1" applyBorder="1" applyAlignment="1">
      <alignment horizontal="center" vertical="center"/>
    </xf>
    <xf numFmtId="168" fontId="3" fillId="0" borderId="17" xfId="2" applyNumberFormat="1" applyFont="1" applyBorder="1" applyAlignment="1">
      <alignment horizontal="center" vertical="center"/>
    </xf>
    <xf numFmtId="168" fontId="3" fillId="0" borderId="1" xfId="2" applyNumberFormat="1" applyFont="1" applyBorder="1" applyAlignment="1">
      <alignment horizontal="center" vertical="center"/>
    </xf>
    <xf numFmtId="168" fontId="3" fillId="0" borderId="17" xfId="2" applyNumberFormat="1" applyFont="1" applyFill="1" applyBorder="1" applyAlignment="1">
      <alignment horizontal="center" vertical="center"/>
    </xf>
    <xf numFmtId="168" fontId="3" fillId="0" borderId="1" xfId="2" applyNumberFormat="1" applyFont="1" applyFill="1" applyBorder="1" applyAlignment="1">
      <alignment horizontal="center" vertical="center"/>
    </xf>
    <xf numFmtId="0" fontId="3" fillId="0" borderId="1" xfId="0" applyFont="1" applyBorder="1" applyAlignment="1">
      <alignment horizont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7" borderId="16" xfId="0" applyFont="1" applyFill="1" applyBorder="1" applyAlignment="1">
      <alignment horizontal="center" vertical="center" wrapText="1"/>
    </xf>
    <xf numFmtId="0" fontId="2" fillId="7" borderId="17" xfId="0" applyFont="1" applyFill="1" applyBorder="1" applyAlignment="1">
      <alignment horizontal="center" vertical="center" wrapText="1"/>
    </xf>
    <xf numFmtId="0" fontId="2" fillId="0" borderId="4" xfId="0" applyFont="1" applyBorder="1" applyAlignment="1">
      <alignment horizontal="center" vertical="center"/>
    </xf>
    <xf numFmtId="0" fontId="2" fillId="0" borderId="18" xfId="0" applyFont="1" applyBorder="1" applyAlignment="1">
      <alignment horizontal="center" vertical="center"/>
    </xf>
    <xf numFmtId="0" fontId="2" fillId="0" borderId="1" xfId="0" applyFont="1" applyBorder="1" applyAlignment="1">
      <alignment horizontal="center" vertical="center"/>
    </xf>
    <xf numFmtId="0" fontId="2" fillId="0" borderId="19" xfId="0" applyFont="1" applyBorder="1" applyAlignment="1">
      <alignment horizontal="center" vertical="center"/>
    </xf>
    <xf numFmtId="0" fontId="2" fillId="0" borderId="19" xfId="0" applyFont="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0" borderId="8" xfId="0" applyFont="1" applyBorder="1" applyAlignment="1">
      <alignment horizontal="center" vertical="center"/>
    </xf>
    <xf numFmtId="44" fontId="3" fillId="0" borderId="29" xfId="1" applyFont="1" applyFill="1" applyBorder="1" applyAlignment="1">
      <alignment horizontal="center" vertical="center"/>
    </xf>
    <xf numFmtId="44" fontId="3" fillId="0" borderId="6" xfId="1" applyFont="1" applyFill="1" applyBorder="1" applyAlignment="1">
      <alignment horizontal="center" vertical="center"/>
    </xf>
    <xf numFmtId="44" fontId="3" fillId="0" borderId="15" xfId="1" applyFont="1" applyFill="1" applyBorder="1" applyAlignment="1">
      <alignment horizontal="center" vertical="center"/>
    </xf>
    <xf numFmtId="0" fontId="3" fillId="0" borderId="1" xfId="0" applyFont="1" applyBorder="1" applyAlignment="1">
      <alignment horizontal="left" vertical="center" wrapText="1"/>
    </xf>
    <xf numFmtId="0" fontId="3" fillId="0" borderId="2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7" xfId="0" applyFont="1" applyBorder="1" applyAlignment="1">
      <alignment horizontal="left" vertical="center" wrapText="1"/>
    </xf>
    <xf numFmtId="164" fontId="3" fillId="0" borderId="17" xfId="0" applyNumberFormat="1" applyFont="1" applyBorder="1" applyAlignment="1">
      <alignment horizontal="center" vertical="center"/>
    </xf>
    <xf numFmtId="164" fontId="3" fillId="0" borderId="1" xfId="0" applyNumberFormat="1" applyFont="1" applyBorder="1" applyAlignment="1">
      <alignment horizontal="center" vertical="center"/>
    </xf>
    <xf numFmtId="166" fontId="3" fillId="0" borderId="17" xfId="1" applyNumberFormat="1" applyFont="1" applyBorder="1" applyAlignment="1">
      <alignment horizontal="center" vertical="center"/>
    </xf>
    <xf numFmtId="166" fontId="3" fillId="0" borderId="1" xfId="1" applyNumberFormat="1" applyFont="1" applyBorder="1" applyAlignment="1">
      <alignment horizontal="center" vertical="center"/>
    </xf>
    <xf numFmtId="0" fontId="3" fillId="0" borderId="17" xfId="0" applyFont="1" applyBorder="1" applyAlignment="1">
      <alignment horizontal="left" vertical="center"/>
    </xf>
    <xf numFmtId="0" fontId="3" fillId="0" borderId="1" xfId="0" applyFont="1" applyBorder="1" applyAlignment="1">
      <alignment horizontal="left" vertical="center"/>
    </xf>
    <xf numFmtId="44" fontId="3" fillId="0" borderId="17" xfId="1" applyFont="1" applyBorder="1" applyAlignment="1">
      <alignment horizontal="center" vertical="center" wrapText="1"/>
    </xf>
    <xf numFmtId="44" fontId="3" fillId="0" borderId="1" xfId="1" applyFont="1" applyBorder="1" applyAlignment="1">
      <alignment horizontal="center" vertical="center" wrapText="1"/>
    </xf>
    <xf numFmtId="0" fontId="3" fillId="0" borderId="5" xfId="0" applyFont="1" applyBorder="1" applyAlignment="1">
      <alignment horizontal="left" vertical="center"/>
    </xf>
    <xf numFmtId="0" fontId="3" fillId="0" borderId="5" xfId="0" applyFont="1" applyBorder="1" applyAlignment="1">
      <alignment horizontal="left" vertical="center" wrapText="1"/>
    </xf>
    <xf numFmtId="9" fontId="3" fillId="0" borderId="5" xfId="2" applyFont="1" applyBorder="1" applyAlignment="1">
      <alignment horizontal="center" vertical="center"/>
    </xf>
    <xf numFmtId="168" fontId="3" fillId="0" borderId="5" xfId="2" applyNumberFormat="1" applyFont="1" applyBorder="1" applyAlignment="1">
      <alignment horizontal="center" vertical="center"/>
    </xf>
    <xf numFmtId="168" fontId="3" fillId="0" borderId="5" xfId="2" applyNumberFormat="1" applyFont="1" applyFill="1" applyBorder="1" applyAlignment="1">
      <alignment horizontal="center" vertical="center"/>
    </xf>
    <xf numFmtId="3" fontId="3" fillId="0" borderId="17" xfId="0" applyNumberFormat="1" applyFont="1" applyBorder="1" applyAlignment="1">
      <alignment horizontal="center" vertical="center"/>
    </xf>
    <xf numFmtId="3" fontId="3" fillId="0" borderId="1" xfId="0" applyNumberFormat="1" applyFont="1" applyBorder="1" applyAlignment="1">
      <alignment horizontal="center" vertical="center"/>
    </xf>
    <xf numFmtId="0" fontId="3" fillId="0" borderId="4" xfId="0" applyFont="1" applyBorder="1" applyAlignment="1">
      <alignment horizontal="center" vertical="center"/>
    </xf>
    <xf numFmtId="0" fontId="3" fillId="0" borderId="26" xfId="0" applyFont="1" applyBorder="1" applyAlignment="1">
      <alignment horizontal="center" vertical="center"/>
    </xf>
    <xf numFmtId="9" fontId="3" fillId="0" borderId="17" xfId="0" applyNumberFormat="1" applyFont="1" applyBorder="1" applyAlignment="1">
      <alignment horizontal="center" vertical="center"/>
    </xf>
    <xf numFmtId="9" fontId="3" fillId="0" borderId="1" xfId="0" applyNumberFormat="1" applyFont="1" applyBorder="1" applyAlignment="1">
      <alignment horizontal="center" vertical="center"/>
    </xf>
    <xf numFmtId="9" fontId="3" fillId="0" borderId="5" xfId="0" applyNumberFormat="1" applyFont="1" applyBorder="1" applyAlignment="1">
      <alignment horizontal="center" vertical="center"/>
    </xf>
    <xf numFmtId="0" fontId="3" fillId="6" borderId="1" xfId="0" applyFont="1" applyFill="1" applyBorder="1" applyAlignment="1">
      <alignment horizontal="left" vertical="center"/>
    </xf>
    <xf numFmtId="0" fontId="3" fillId="0" borderId="17"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vertical="center"/>
    </xf>
    <xf numFmtId="3" fontId="3" fillId="0" borderId="5" xfId="0" applyNumberFormat="1" applyFont="1" applyBorder="1" applyAlignment="1">
      <alignment horizontal="center" vertical="center"/>
    </xf>
    <xf numFmtId="3" fontId="3" fillId="5" borderId="1" xfId="0" applyNumberFormat="1" applyFont="1" applyFill="1" applyBorder="1" applyAlignment="1">
      <alignment horizontal="center" vertical="center"/>
    </xf>
    <xf numFmtId="44" fontId="3" fillId="0" borderId="19" xfId="1" applyFont="1" applyFill="1" applyBorder="1" applyAlignment="1">
      <alignment horizontal="center" vertical="center"/>
    </xf>
    <xf numFmtId="0" fontId="3" fillId="0" borderId="19" xfId="0" applyFont="1" applyBorder="1" applyAlignment="1">
      <alignment horizontal="center" vertical="center" wrapText="1"/>
    </xf>
    <xf numFmtId="0" fontId="3" fillId="0" borderId="18" xfId="0" applyFont="1" applyBorder="1" applyAlignment="1">
      <alignment horizontal="center" vertical="center" wrapText="1"/>
    </xf>
    <xf numFmtId="9" fontId="3" fillId="0" borderId="1" xfId="0" applyNumberFormat="1" applyFont="1" applyBorder="1" applyAlignment="1">
      <alignment horizontal="center" vertical="center" wrapText="1"/>
    </xf>
    <xf numFmtId="9" fontId="3" fillId="0" borderId="19" xfId="0" applyNumberFormat="1" applyFont="1" applyBorder="1" applyAlignment="1">
      <alignment horizontal="center" vertical="center" wrapText="1"/>
    </xf>
    <xf numFmtId="44" fontId="3" fillId="0" borderId="1" xfId="1" applyFont="1" applyFill="1" applyBorder="1" applyAlignment="1">
      <alignment horizontal="center" vertical="center" wrapText="1"/>
    </xf>
    <xf numFmtId="0" fontId="3" fillId="0" borderId="19" xfId="0" applyFont="1" applyBorder="1" applyAlignment="1">
      <alignment horizontal="left" vertical="center"/>
    </xf>
    <xf numFmtId="0" fontId="3" fillId="0" borderId="19" xfId="0" applyFont="1" applyBorder="1" applyAlignment="1">
      <alignment horizontal="left" vertical="center" wrapText="1"/>
    </xf>
    <xf numFmtId="168" fontId="3" fillId="0" borderId="19" xfId="2" applyNumberFormat="1" applyFont="1" applyBorder="1" applyAlignment="1">
      <alignment horizontal="center" vertical="center"/>
    </xf>
    <xf numFmtId="44" fontId="3" fillId="0" borderId="29" xfId="1" applyFont="1" applyBorder="1" applyAlignment="1">
      <alignment horizontal="center" vertical="center"/>
    </xf>
    <xf numFmtId="44" fontId="3" fillId="0" borderId="6" xfId="1" applyFont="1" applyBorder="1" applyAlignment="1">
      <alignment horizontal="center" vertical="center"/>
    </xf>
    <xf numFmtId="44" fontId="3" fillId="0" borderId="15" xfId="1" applyFont="1" applyBorder="1" applyAlignment="1">
      <alignment horizontal="center" vertical="center"/>
    </xf>
    <xf numFmtId="9" fontId="3" fillId="0" borderId="19" xfId="2" applyFont="1" applyBorder="1" applyAlignment="1">
      <alignment horizontal="center" vertical="center"/>
    </xf>
    <xf numFmtId="168" fontId="3" fillId="0" borderId="19" xfId="2" applyNumberFormat="1" applyFont="1" applyFill="1" applyBorder="1" applyAlignment="1">
      <alignment horizontal="center" vertical="center"/>
    </xf>
    <xf numFmtId="0" fontId="2" fillId="0" borderId="10" xfId="0" applyFont="1" applyBorder="1" applyAlignment="1">
      <alignment horizontal="center"/>
    </xf>
    <xf numFmtId="9" fontId="1" fillId="0" borderId="20" xfId="0" applyNumberFormat="1" applyFont="1" applyBorder="1" applyAlignment="1">
      <alignment horizontal="left" vertical="center" wrapText="1"/>
    </xf>
    <xf numFmtId="9" fontId="1" fillId="0" borderId="21" xfId="0" applyNumberFormat="1" applyFont="1" applyBorder="1" applyAlignment="1">
      <alignment horizontal="left" vertical="center" wrapText="1"/>
    </xf>
    <xf numFmtId="9" fontId="1" fillId="0" borderId="22" xfId="0" applyNumberFormat="1" applyFont="1" applyBorder="1" applyAlignment="1">
      <alignment horizontal="left" vertical="center" wrapText="1"/>
    </xf>
    <xf numFmtId="9" fontId="1" fillId="0" borderId="12" xfId="0" applyNumberFormat="1" applyFont="1" applyBorder="1" applyAlignment="1">
      <alignment horizontal="left" vertical="center" wrapText="1"/>
    </xf>
    <xf numFmtId="9" fontId="1" fillId="0" borderId="0" xfId="0" applyNumberFormat="1" applyFont="1" applyAlignment="1">
      <alignment horizontal="left" vertical="center" wrapText="1"/>
    </xf>
    <xf numFmtId="9" fontId="1" fillId="0" borderId="23" xfId="0" applyNumberFormat="1" applyFont="1" applyBorder="1" applyAlignment="1">
      <alignment horizontal="left" vertical="center" wrapText="1"/>
    </xf>
    <xf numFmtId="9" fontId="1" fillId="0" borderId="13" xfId="0" applyNumberFormat="1" applyFont="1" applyBorder="1" applyAlignment="1">
      <alignment horizontal="left" vertical="center" wrapText="1"/>
    </xf>
    <xf numFmtId="9" fontId="1" fillId="0" borderId="14" xfId="0" applyNumberFormat="1" applyFont="1" applyBorder="1" applyAlignment="1">
      <alignment horizontal="left" vertical="center" wrapText="1"/>
    </xf>
    <xf numFmtId="9" fontId="1" fillId="0" borderId="24" xfId="0" applyNumberFormat="1" applyFont="1" applyBorder="1" applyAlignment="1">
      <alignment horizontal="left" vertical="center" wrapText="1"/>
    </xf>
    <xf numFmtId="0" fontId="3" fillId="0" borderId="31"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529524</xdr:colOff>
      <xdr:row>1</xdr:row>
      <xdr:rowOff>129154</xdr:rowOff>
    </xdr:from>
    <xdr:to>
      <xdr:col>2</xdr:col>
      <xdr:colOff>389524</xdr:colOff>
      <xdr:row>1</xdr:row>
      <xdr:rowOff>700884</xdr:rowOff>
    </xdr:to>
    <xdr:pic>
      <xdr:nvPicPr>
        <xdr:cNvPr id="2" name="Imagen 1" descr="Logo CSJ RGB_01">
          <a:extLst>
            <a:ext uri="{FF2B5EF4-FFF2-40B4-BE49-F238E27FC236}">
              <a16:creationId xmlns:a16="http://schemas.microsoft.com/office/drawing/2014/main" id="{1D889F73-BFA7-45A8-9322-B0EF2A04035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5274" y="291079"/>
          <a:ext cx="1679275" cy="5717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30A84-A4EC-4543-8818-298D5AC0C3C9}">
  <dimension ref="A2:AG88"/>
  <sheetViews>
    <sheetView tabSelected="1" topLeftCell="J1" zoomScale="66" zoomScaleNormal="66" zoomScalePageLayoutView="86" workbookViewId="0">
      <selection activeCell="AD77" sqref="AD77"/>
    </sheetView>
  </sheetViews>
  <sheetFormatPr baseColWidth="10" defaultColWidth="11.42578125" defaultRowHeight="12.75" x14ac:dyDescent="0.2"/>
  <cols>
    <col min="1" max="1" width="4.28515625" style="1" customWidth="1"/>
    <col min="2" max="2" width="27.28515625" style="1" customWidth="1"/>
    <col min="3" max="3" width="10.85546875" style="1" customWidth="1"/>
    <col min="4" max="4" width="11" style="1" customWidth="1"/>
    <col min="5" max="5" width="15" style="1" customWidth="1"/>
    <col min="6" max="6" width="18.7109375" style="1" customWidth="1"/>
    <col min="7" max="7" width="17.28515625" style="1" customWidth="1"/>
    <col min="8" max="8" width="16.85546875" style="1" customWidth="1"/>
    <col min="9" max="9" width="16.140625" style="1" customWidth="1"/>
    <col min="10" max="10" width="19.28515625" style="1" customWidth="1"/>
    <col min="11" max="11" width="16" style="1" customWidth="1"/>
    <col min="12" max="12" width="14.28515625" style="3" customWidth="1"/>
    <col min="13" max="14" width="18" style="3" customWidth="1"/>
    <col min="15" max="15" width="16.85546875" style="3" customWidth="1"/>
    <col min="16" max="16" width="11.85546875" style="3" customWidth="1"/>
    <col min="17" max="17" width="9.7109375" style="3" customWidth="1"/>
    <col min="18" max="18" width="11.7109375" style="3" customWidth="1"/>
    <col min="19" max="19" width="15.85546875" style="3" customWidth="1"/>
    <col min="20" max="20" width="17" style="3" customWidth="1"/>
    <col min="21" max="21" width="16.140625" style="3" customWidth="1"/>
    <col min="22" max="22" width="24.7109375" style="1" customWidth="1"/>
    <col min="23" max="23" width="12" style="1" customWidth="1"/>
    <col min="24" max="24" width="7.7109375" style="1" customWidth="1"/>
    <col min="25" max="25" width="16.5703125" style="1" customWidth="1"/>
    <col min="26" max="26" width="17" style="1" customWidth="1"/>
    <col min="27" max="27" width="14.42578125" style="1" customWidth="1"/>
    <col min="28" max="28" width="17.5703125" style="1" customWidth="1"/>
    <col min="29" max="29" width="23.7109375" style="1" customWidth="1"/>
    <col min="30" max="30" width="15.42578125" style="1" bestFit="1" customWidth="1"/>
    <col min="31" max="31" width="26.42578125" style="1" customWidth="1"/>
    <col min="32" max="32" width="17.28515625" style="1" customWidth="1"/>
    <col min="33" max="33" width="13.42578125" style="1" bestFit="1" customWidth="1"/>
    <col min="34" max="16384" width="11.42578125" style="1"/>
  </cols>
  <sheetData>
    <row r="2" spans="2:33" ht="66" customHeight="1" x14ac:dyDescent="0.2">
      <c r="B2" s="119"/>
      <c r="C2" s="119"/>
      <c r="D2" s="120" t="s">
        <v>0</v>
      </c>
      <c r="E2" s="120"/>
      <c r="F2" s="120"/>
      <c r="G2" s="120"/>
      <c r="H2" s="120"/>
      <c r="I2" s="120"/>
      <c r="J2" s="120"/>
      <c r="K2" s="120"/>
      <c r="L2" s="120"/>
      <c r="M2" s="120"/>
      <c r="N2" s="120"/>
      <c r="O2" s="120"/>
      <c r="P2" s="120"/>
      <c r="Q2" s="120"/>
      <c r="R2" s="120"/>
      <c r="S2" s="120"/>
      <c r="T2" s="120"/>
      <c r="U2" s="120"/>
      <c r="V2" s="120"/>
      <c r="W2" s="120"/>
      <c r="X2" s="120"/>
      <c r="Y2" s="120"/>
      <c r="Z2" s="120"/>
      <c r="AA2" s="120"/>
      <c r="AB2" s="120"/>
    </row>
    <row r="3" spans="2:33" ht="28.5" customHeight="1" x14ac:dyDescent="0.2">
      <c r="B3" s="121" t="s">
        <v>1</v>
      </c>
      <c r="C3" s="121"/>
      <c r="D3" s="121"/>
      <c r="E3" s="121"/>
      <c r="F3" s="121"/>
      <c r="G3" s="121"/>
      <c r="H3" s="121"/>
      <c r="I3" s="121"/>
      <c r="J3" s="121"/>
      <c r="K3" s="121"/>
      <c r="L3" s="121"/>
      <c r="M3" s="121"/>
      <c r="N3" s="121"/>
      <c r="O3" s="121"/>
      <c r="P3" s="121"/>
      <c r="Q3" s="121"/>
      <c r="R3" s="121"/>
      <c r="S3" s="121"/>
      <c r="T3" s="121"/>
      <c r="U3" s="121"/>
      <c r="V3" s="121"/>
      <c r="W3" s="121"/>
      <c r="X3" s="121"/>
      <c r="Y3" s="121"/>
      <c r="Z3" s="121"/>
      <c r="AA3" s="121"/>
      <c r="AB3" s="121"/>
    </row>
    <row r="4" spans="2:33" ht="60.75" customHeight="1" x14ac:dyDescent="0.2">
      <c r="B4" s="88" t="s">
        <v>2</v>
      </c>
      <c r="C4" s="122"/>
      <c r="D4" s="89"/>
      <c r="E4" s="102" t="s">
        <v>3</v>
      </c>
      <c r="F4" s="102"/>
      <c r="G4" s="102"/>
      <c r="H4" s="102"/>
      <c r="I4" s="102"/>
      <c r="J4" s="102"/>
      <c r="K4" s="102"/>
      <c r="L4" s="102"/>
      <c r="M4" s="102"/>
      <c r="N4" s="102"/>
      <c r="O4" s="102"/>
      <c r="P4" s="102"/>
      <c r="Q4" s="102"/>
      <c r="R4" s="102"/>
      <c r="S4" s="88" t="s">
        <v>4</v>
      </c>
      <c r="T4" s="122"/>
      <c r="U4" s="89"/>
      <c r="V4" s="88" t="s">
        <v>5</v>
      </c>
      <c r="W4" s="89"/>
    </row>
    <row r="5" spans="2:33" ht="13.5" thickBot="1" x14ac:dyDescent="0.25">
      <c r="B5" s="90"/>
      <c r="C5" s="90"/>
      <c r="D5" s="90"/>
      <c r="E5" s="90"/>
      <c r="F5" s="90"/>
      <c r="G5" s="90"/>
      <c r="H5" s="90"/>
      <c r="I5" s="90"/>
      <c r="J5" s="90"/>
      <c r="K5" s="90"/>
      <c r="L5" s="90"/>
      <c r="M5" s="90"/>
      <c r="N5" s="90"/>
      <c r="O5" s="90"/>
      <c r="P5" s="90"/>
      <c r="Q5" s="90"/>
      <c r="R5" s="90"/>
      <c r="S5" s="90"/>
      <c r="T5" s="90"/>
      <c r="U5" s="90"/>
      <c r="V5" s="90"/>
      <c r="W5" s="90"/>
      <c r="X5" s="90"/>
      <c r="Y5" s="90"/>
      <c r="Z5" s="90"/>
      <c r="AA5" s="90"/>
      <c r="AB5" s="90"/>
    </row>
    <row r="6" spans="2:33" ht="40.5" customHeight="1" x14ac:dyDescent="0.2">
      <c r="B6" s="91" t="s">
        <v>6</v>
      </c>
      <c r="C6" s="93">
        <v>46496668</v>
      </c>
      <c r="D6" s="93"/>
      <c r="E6" s="93"/>
      <c r="F6" s="95" t="s">
        <v>7</v>
      </c>
      <c r="G6" s="95"/>
      <c r="H6" s="43">
        <f>J73*2</f>
        <v>29837250</v>
      </c>
      <c r="I6" s="101" t="s">
        <v>8</v>
      </c>
      <c r="J6" s="101"/>
      <c r="K6" s="41">
        <v>1.44</v>
      </c>
      <c r="L6" s="47" t="s">
        <v>9</v>
      </c>
      <c r="M6" s="47" t="s">
        <v>10</v>
      </c>
      <c r="N6" s="47">
        <v>60</v>
      </c>
      <c r="O6" s="47"/>
      <c r="P6" s="47" t="s">
        <v>11</v>
      </c>
      <c r="Q6" s="190" t="s">
        <v>12</v>
      </c>
      <c r="R6" s="191"/>
      <c r="S6" s="72"/>
      <c r="T6" s="15"/>
      <c r="U6" s="15"/>
    </row>
    <row r="7" spans="2:33" ht="45" customHeight="1" thickBot="1" x14ac:dyDescent="0.25">
      <c r="B7" s="92"/>
      <c r="C7" s="94"/>
      <c r="D7" s="94"/>
      <c r="E7" s="94"/>
      <c r="F7" s="96" t="s">
        <v>13</v>
      </c>
      <c r="G7" s="96"/>
      <c r="H7" s="31">
        <f>+C6-H6</f>
        <v>16659418</v>
      </c>
      <c r="I7" s="167" t="s">
        <v>14</v>
      </c>
      <c r="J7" s="167"/>
      <c r="K7" s="46">
        <f>2.73-K6</f>
        <v>1.29</v>
      </c>
      <c r="L7" s="45" t="s">
        <v>15</v>
      </c>
      <c r="M7" s="46" t="s">
        <v>16</v>
      </c>
      <c r="N7" s="46">
        <v>45</v>
      </c>
      <c r="O7" s="46"/>
      <c r="P7" s="45" t="s">
        <v>17</v>
      </c>
      <c r="Q7" s="192" t="s">
        <v>18</v>
      </c>
      <c r="R7" s="193"/>
      <c r="S7" s="73"/>
      <c r="T7" s="8"/>
      <c r="U7" s="8"/>
      <c r="AA7" s="65"/>
    </row>
    <row r="8" spans="2:33" ht="12.75" customHeight="1" thickBot="1" x14ac:dyDescent="0.25">
      <c r="B8" s="97"/>
      <c r="C8" s="97"/>
      <c r="D8" s="97"/>
      <c r="E8" s="97"/>
      <c r="F8" s="97"/>
      <c r="G8" s="97"/>
      <c r="H8" s="97"/>
      <c r="I8" s="97"/>
      <c r="J8" s="97"/>
      <c r="K8" s="97"/>
      <c r="L8" s="97"/>
      <c r="M8" s="97"/>
      <c r="N8" s="97"/>
      <c r="O8" s="97"/>
      <c r="P8" s="97"/>
      <c r="Q8" s="97"/>
      <c r="R8" s="97"/>
      <c r="S8" s="97"/>
      <c r="T8" s="97"/>
      <c r="U8" s="97"/>
      <c r="V8" s="97"/>
      <c r="W8" s="97"/>
      <c r="X8" s="97"/>
      <c r="Y8" s="97"/>
      <c r="Z8" s="97"/>
      <c r="AA8" s="97"/>
      <c r="AB8" s="97"/>
    </row>
    <row r="9" spans="2:33" ht="33.75" customHeight="1" x14ac:dyDescent="0.2">
      <c r="B9" s="123" t="s">
        <v>19</v>
      </c>
      <c r="C9" s="124"/>
      <c r="D9" s="124"/>
      <c r="E9" s="124"/>
      <c r="F9" s="124"/>
      <c r="G9" s="124"/>
      <c r="H9" s="124"/>
      <c r="I9" s="124"/>
      <c r="J9" s="124"/>
      <c r="K9" s="130" t="s">
        <v>20</v>
      </c>
      <c r="L9" s="131"/>
      <c r="M9" s="131"/>
      <c r="N9" s="131"/>
      <c r="O9" s="131"/>
      <c r="P9" s="131"/>
      <c r="Q9" s="131"/>
      <c r="R9" s="131"/>
      <c r="S9" s="131"/>
      <c r="T9" s="131"/>
      <c r="U9" s="131"/>
      <c r="V9" s="131"/>
      <c r="W9" s="131"/>
      <c r="X9" s="131"/>
      <c r="Y9" s="131"/>
      <c r="Z9" s="131"/>
      <c r="AA9" s="131"/>
      <c r="AB9" s="131"/>
      <c r="AC9" s="131"/>
      <c r="AD9" s="131"/>
      <c r="AE9" s="131"/>
      <c r="AF9" s="131"/>
      <c r="AG9" s="131"/>
    </row>
    <row r="10" spans="2:33" ht="37.5" customHeight="1" x14ac:dyDescent="0.2">
      <c r="B10" s="125" t="s">
        <v>21</v>
      </c>
      <c r="C10" s="127" t="s">
        <v>22</v>
      </c>
      <c r="D10" s="127" t="s">
        <v>23</v>
      </c>
      <c r="E10" s="120" t="s">
        <v>24</v>
      </c>
      <c r="F10" s="120" t="s">
        <v>25</v>
      </c>
      <c r="G10" s="127" t="s">
        <v>26</v>
      </c>
      <c r="H10" s="127"/>
      <c r="I10" s="127"/>
      <c r="J10" s="120" t="s">
        <v>27</v>
      </c>
      <c r="K10" s="120" t="s">
        <v>28</v>
      </c>
      <c r="L10" s="127" t="s">
        <v>29</v>
      </c>
      <c r="M10" s="111" t="s">
        <v>30</v>
      </c>
      <c r="N10" s="111" t="s">
        <v>31</v>
      </c>
      <c r="O10" s="127" t="s">
        <v>32</v>
      </c>
      <c r="P10" s="34"/>
      <c r="Q10" s="120" t="s">
        <v>33</v>
      </c>
      <c r="R10" s="120"/>
      <c r="S10" s="120"/>
      <c r="T10" s="120" t="s">
        <v>34</v>
      </c>
      <c r="U10" s="111" t="s">
        <v>35</v>
      </c>
      <c r="V10" s="127"/>
      <c r="W10" s="127"/>
      <c r="X10" s="127"/>
      <c r="Y10" s="127"/>
      <c r="Z10" s="127"/>
      <c r="AA10" s="127"/>
      <c r="AB10" s="127"/>
      <c r="AC10" s="127" t="s">
        <v>36</v>
      </c>
      <c r="AD10" s="127"/>
      <c r="AE10" s="132"/>
      <c r="AF10" s="88" t="s">
        <v>37</v>
      </c>
      <c r="AG10" s="89"/>
    </row>
    <row r="11" spans="2:33" ht="37.5" customHeight="1" thickBot="1" x14ac:dyDescent="0.25">
      <c r="B11" s="126"/>
      <c r="C11" s="128"/>
      <c r="D11" s="128"/>
      <c r="E11" s="128"/>
      <c r="F11" s="129"/>
      <c r="G11" s="42" t="s">
        <v>38</v>
      </c>
      <c r="H11" s="42" t="s">
        <v>39</v>
      </c>
      <c r="I11" s="42" t="s">
        <v>40</v>
      </c>
      <c r="J11" s="129"/>
      <c r="K11" s="129"/>
      <c r="L11" s="128"/>
      <c r="M11" s="112"/>
      <c r="N11" s="112"/>
      <c r="O11" s="128"/>
      <c r="P11" s="35" t="s">
        <v>41</v>
      </c>
      <c r="Q11" s="35" t="s">
        <v>42</v>
      </c>
      <c r="R11" s="35" t="s">
        <v>43</v>
      </c>
      <c r="S11" s="35" t="s">
        <v>44</v>
      </c>
      <c r="T11" s="129"/>
      <c r="U11" s="112"/>
      <c r="V11" s="129" t="s">
        <v>45</v>
      </c>
      <c r="W11" s="129"/>
      <c r="X11" s="42" t="s">
        <v>46</v>
      </c>
      <c r="Y11" s="42" t="s">
        <v>47</v>
      </c>
      <c r="Z11" s="42" t="s">
        <v>48</v>
      </c>
      <c r="AA11" s="42" t="s">
        <v>49</v>
      </c>
      <c r="AB11" s="35" t="s">
        <v>50</v>
      </c>
      <c r="AC11" s="42" t="s">
        <v>51</v>
      </c>
      <c r="AD11" s="42" t="s">
        <v>52</v>
      </c>
      <c r="AE11" s="57" t="s">
        <v>53</v>
      </c>
      <c r="AF11" s="66" t="s">
        <v>54</v>
      </c>
      <c r="AG11" s="66" t="s">
        <v>55</v>
      </c>
    </row>
    <row r="12" spans="2:33" ht="24.6" customHeight="1" x14ac:dyDescent="0.2">
      <c r="B12" s="98" t="s">
        <v>56</v>
      </c>
      <c r="C12" s="101" t="s">
        <v>57</v>
      </c>
      <c r="D12" s="104">
        <v>1</v>
      </c>
      <c r="E12" s="107">
        <v>0.5</v>
      </c>
      <c r="F12" s="108">
        <f>5362500/2</f>
        <v>2681250</v>
      </c>
      <c r="G12" s="108" t="s">
        <v>58</v>
      </c>
      <c r="H12" s="108">
        <f>+F12*12.5%</f>
        <v>335156.25</v>
      </c>
      <c r="I12" s="108">
        <f>+H12/30</f>
        <v>11171.875</v>
      </c>
      <c r="J12" s="108">
        <f>+F12*1.78</f>
        <v>4772625</v>
      </c>
      <c r="K12" s="101" t="s">
        <v>59</v>
      </c>
      <c r="L12" s="104" t="s">
        <v>60</v>
      </c>
      <c r="M12" s="133">
        <f>F12*1.71</f>
        <v>4584937.5</v>
      </c>
      <c r="N12" s="133">
        <f>F12*1.29</f>
        <v>3458812.5</v>
      </c>
      <c r="O12" s="108">
        <f>N12*40%</f>
        <v>1383525</v>
      </c>
      <c r="P12" s="108" t="s">
        <v>61</v>
      </c>
      <c r="Q12" s="104">
        <v>0</v>
      </c>
      <c r="R12" s="113">
        <v>0</v>
      </c>
      <c r="S12" s="115">
        <v>0</v>
      </c>
      <c r="T12" s="117"/>
      <c r="U12" s="115"/>
      <c r="V12" s="139" t="s">
        <v>62</v>
      </c>
      <c r="W12" s="47" t="s">
        <v>63</v>
      </c>
      <c r="X12" s="104">
        <v>1</v>
      </c>
      <c r="Y12" s="140">
        <v>43334</v>
      </c>
      <c r="Z12" s="56">
        <v>5500</v>
      </c>
      <c r="AA12" s="142"/>
      <c r="AB12" s="144" t="s">
        <v>64</v>
      </c>
      <c r="AC12" s="146" t="s">
        <v>65</v>
      </c>
      <c r="AD12" s="101" t="s">
        <v>66</v>
      </c>
      <c r="AE12" s="137" t="s">
        <v>67</v>
      </c>
      <c r="AF12" s="84">
        <f>O12-Y15</f>
        <v>83525</v>
      </c>
      <c r="AG12" s="87">
        <v>3.5</v>
      </c>
    </row>
    <row r="13" spans="2:33" ht="24" customHeight="1" x14ac:dyDescent="0.2">
      <c r="B13" s="99"/>
      <c r="C13" s="102"/>
      <c r="D13" s="105"/>
      <c r="E13" s="102"/>
      <c r="F13" s="109"/>
      <c r="G13" s="109"/>
      <c r="H13" s="109"/>
      <c r="I13" s="109"/>
      <c r="J13" s="109"/>
      <c r="K13" s="102"/>
      <c r="L13" s="105"/>
      <c r="M13" s="134"/>
      <c r="N13" s="134"/>
      <c r="O13" s="109"/>
      <c r="P13" s="109"/>
      <c r="Q13" s="105"/>
      <c r="R13" s="114"/>
      <c r="S13" s="116"/>
      <c r="T13" s="118"/>
      <c r="U13" s="116"/>
      <c r="V13" s="136"/>
      <c r="W13" s="37" t="s">
        <v>68</v>
      </c>
      <c r="X13" s="105"/>
      <c r="Y13" s="141"/>
      <c r="Z13" s="58">
        <v>7000</v>
      </c>
      <c r="AA13" s="143"/>
      <c r="AB13" s="145"/>
      <c r="AC13" s="147"/>
      <c r="AD13" s="102"/>
      <c r="AE13" s="138"/>
      <c r="AF13" s="84"/>
      <c r="AG13" s="87"/>
    </row>
    <row r="14" spans="2:33" ht="39" customHeight="1" x14ac:dyDescent="0.2">
      <c r="B14" s="99"/>
      <c r="C14" s="102"/>
      <c r="D14" s="105"/>
      <c r="E14" s="102"/>
      <c r="F14" s="109"/>
      <c r="G14" s="109"/>
      <c r="H14" s="109"/>
      <c r="I14" s="109"/>
      <c r="J14" s="109"/>
      <c r="K14" s="102"/>
      <c r="L14" s="105"/>
      <c r="M14" s="134"/>
      <c r="N14" s="134"/>
      <c r="O14" s="109"/>
      <c r="P14" s="109"/>
      <c r="Q14" s="105"/>
      <c r="R14" s="114"/>
      <c r="S14" s="116"/>
      <c r="T14" s="118"/>
      <c r="U14" s="116"/>
      <c r="V14" s="32" t="s">
        <v>69</v>
      </c>
      <c r="W14" s="37" t="s">
        <v>70</v>
      </c>
      <c r="X14" s="39">
        <v>1</v>
      </c>
      <c r="Y14" s="81">
        <v>43334</v>
      </c>
      <c r="Z14" s="58">
        <v>3100</v>
      </c>
      <c r="AA14" s="58"/>
      <c r="AB14" s="33" t="s">
        <v>64</v>
      </c>
      <c r="AC14" s="147"/>
      <c r="AD14" s="102"/>
      <c r="AE14" s="138"/>
      <c r="AF14" s="84"/>
      <c r="AG14" s="87"/>
    </row>
    <row r="15" spans="2:33" ht="36" customHeight="1" x14ac:dyDescent="0.2">
      <c r="B15" s="99"/>
      <c r="C15" s="102"/>
      <c r="D15" s="105"/>
      <c r="E15" s="102"/>
      <c r="F15" s="109"/>
      <c r="G15" s="109" t="s">
        <v>71</v>
      </c>
      <c r="H15" s="109">
        <f>+F12*16%</f>
        <v>429000</v>
      </c>
      <c r="I15" s="109">
        <f>+H15/30</f>
        <v>14300</v>
      </c>
      <c r="J15" s="109"/>
      <c r="K15" s="102"/>
      <c r="L15" s="105"/>
      <c r="M15" s="134"/>
      <c r="N15" s="134"/>
      <c r="O15" s="109"/>
      <c r="P15" s="109" t="s">
        <v>72</v>
      </c>
      <c r="Q15" s="105">
        <v>3</v>
      </c>
      <c r="R15" s="114">
        <f>+(Q15*E12)/15</f>
        <v>0.1</v>
      </c>
      <c r="S15" s="116">
        <f>+R15*J12</f>
        <v>477262.5</v>
      </c>
      <c r="T15" s="118">
        <f>M12</f>
        <v>4584937.5</v>
      </c>
      <c r="U15" s="116">
        <f>M12-T15</f>
        <v>0</v>
      </c>
      <c r="V15" s="136" t="s">
        <v>73</v>
      </c>
      <c r="W15" s="37" t="s">
        <v>63</v>
      </c>
      <c r="X15" s="105">
        <v>30</v>
      </c>
      <c r="Y15" s="109">
        <v>1300000</v>
      </c>
      <c r="Z15" s="7">
        <v>162500</v>
      </c>
      <c r="AA15" s="109">
        <f>O12-Y15</f>
        <v>83525</v>
      </c>
      <c r="AB15" s="145" t="s">
        <v>64</v>
      </c>
      <c r="AC15" s="147"/>
      <c r="AD15" s="102"/>
      <c r="AE15" s="138"/>
      <c r="AF15" s="84"/>
      <c r="AG15" s="87"/>
    </row>
    <row r="16" spans="2:33" ht="36" customHeight="1" x14ac:dyDescent="0.2">
      <c r="B16" s="99"/>
      <c r="C16" s="102"/>
      <c r="D16" s="105"/>
      <c r="E16" s="102"/>
      <c r="F16" s="109"/>
      <c r="G16" s="109"/>
      <c r="H16" s="109"/>
      <c r="I16" s="109"/>
      <c r="J16" s="109"/>
      <c r="K16" s="102"/>
      <c r="L16" s="105"/>
      <c r="M16" s="134"/>
      <c r="N16" s="134"/>
      <c r="O16" s="109"/>
      <c r="P16" s="109"/>
      <c r="Q16" s="105"/>
      <c r="R16" s="114"/>
      <c r="S16" s="116"/>
      <c r="T16" s="118"/>
      <c r="U16" s="116"/>
      <c r="V16" s="136"/>
      <c r="W16" s="37" t="s">
        <v>68</v>
      </c>
      <c r="X16" s="105"/>
      <c r="Y16" s="109"/>
      <c r="Z16" s="7">
        <f>Y15*16%</f>
        <v>208000</v>
      </c>
      <c r="AA16" s="109"/>
      <c r="AB16" s="145"/>
      <c r="AC16" s="147"/>
      <c r="AD16" s="102"/>
      <c r="AE16" s="138"/>
      <c r="AF16" s="84"/>
      <c r="AG16" s="87"/>
    </row>
    <row r="17" spans="2:33" ht="39" customHeight="1" x14ac:dyDescent="0.2">
      <c r="B17" s="99"/>
      <c r="C17" s="102"/>
      <c r="D17" s="105"/>
      <c r="E17" s="102"/>
      <c r="F17" s="109"/>
      <c r="G17" s="109"/>
      <c r="H17" s="109"/>
      <c r="I17" s="109"/>
      <c r="J17" s="109"/>
      <c r="K17" s="102"/>
      <c r="L17" s="105"/>
      <c r="M17" s="134"/>
      <c r="N17" s="134"/>
      <c r="O17" s="109"/>
      <c r="P17" s="109"/>
      <c r="Q17" s="105"/>
      <c r="R17" s="114"/>
      <c r="S17" s="116"/>
      <c r="T17" s="118"/>
      <c r="U17" s="116"/>
      <c r="V17" s="18" t="s">
        <v>74</v>
      </c>
      <c r="W17" s="37" t="s">
        <v>70</v>
      </c>
      <c r="X17" s="39">
        <v>30</v>
      </c>
      <c r="Y17" s="7">
        <v>1300000</v>
      </c>
      <c r="Z17" s="7">
        <v>90500</v>
      </c>
      <c r="AA17" s="7">
        <f>O12-Y17</f>
        <v>83525</v>
      </c>
      <c r="AB17" s="18" t="s">
        <v>5</v>
      </c>
      <c r="AC17" s="147"/>
      <c r="AD17" s="102"/>
      <c r="AE17" s="138"/>
      <c r="AF17" s="84"/>
      <c r="AG17" s="87"/>
    </row>
    <row r="18" spans="2:33" ht="25.5" customHeight="1" x14ac:dyDescent="0.2">
      <c r="B18" s="99"/>
      <c r="C18" s="102"/>
      <c r="D18" s="105"/>
      <c r="E18" s="102"/>
      <c r="F18" s="109"/>
      <c r="G18" s="105" t="s">
        <v>75</v>
      </c>
      <c r="H18" s="109">
        <f>F12*6.96%</f>
        <v>186615</v>
      </c>
      <c r="I18" s="109">
        <f>ROUND(+H18/30,0)</f>
        <v>6221</v>
      </c>
      <c r="J18" s="109"/>
      <c r="K18" s="102"/>
      <c r="L18" s="105"/>
      <c r="M18" s="134"/>
      <c r="N18" s="134"/>
      <c r="O18" s="109"/>
      <c r="P18" s="109" t="s">
        <v>76</v>
      </c>
      <c r="Q18" s="105">
        <v>10</v>
      </c>
      <c r="R18" s="114">
        <f>+(Q18*E12)/15</f>
        <v>0.33333333333333331</v>
      </c>
      <c r="S18" s="116">
        <f>+R18*J12</f>
        <v>1590875</v>
      </c>
      <c r="T18" s="118">
        <f>M12</f>
        <v>4584937.5</v>
      </c>
      <c r="U18" s="116">
        <f>M12-T18</f>
        <v>0</v>
      </c>
      <c r="V18" s="136" t="s">
        <v>77</v>
      </c>
      <c r="W18" s="37" t="s">
        <v>63</v>
      </c>
      <c r="X18" s="105">
        <v>30</v>
      </c>
      <c r="Y18" s="109">
        <v>1300000</v>
      </c>
      <c r="Z18" s="19">
        <v>162500</v>
      </c>
      <c r="AA18" s="19"/>
      <c r="AB18" s="145" t="s">
        <v>64</v>
      </c>
      <c r="AC18" s="147"/>
      <c r="AD18" s="102"/>
      <c r="AE18" s="138"/>
      <c r="AF18" s="84"/>
      <c r="AG18" s="87"/>
    </row>
    <row r="19" spans="2:33" ht="27" customHeight="1" x14ac:dyDescent="0.2">
      <c r="B19" s="99"/>
      <c r="C19" s="102"/>
      <c r="D19" s="105"/>
      <c r="E19" s="102"/>
      <c r="F19" s="109"/>
      <c r="G19" s="105"/>
      <c r="H19" s="109"/>
      <c r="I19" s="109"/>
      <c r="J19" s="109"/>
      <c r="K19" s="102"/>
      <c r="L19" s="105"/>
      <c r="M19" s="134"/>
      <c r="N19" s="134"/>
      <c r="O19" s="109"/>
      <c r="P19" s="109"/>
      <c r="Q19" s="105"/>
      <c r="R19" s="114"/>
      <c r="S19" s="116"/>
      <c r="T19" s="118"/>
      <c r="U19" s="116"/>
      <c r="V19" s="136"/>
      <c r="W19" s="37" t="s">
        <v>68</v>
      </c>
      <c r="X19" s="105"/>
      <c r="Y19" s="109"/>
      <c r="Z19" s="19">
        <f>Y18*16%</f>
        <v>208000</v>
      </c>
      <c r="AA19" s="19"/>
      <c r="AB19" s="145"/>
      <c r="AC19" s="147"/>
      <c r="AD19" s="102"/>
      <c r="AE19" s="138"/>
      <c r="AF19" s="84"/>
      <c r="AG19" s="87"/>
    </row>
    <row r="20" spans="2:33" ht="22.15" customHeight="1" x14ac:dyDescent="0.2">
      <c r="B20" s="99"/>
      <c r="C20" s="102"/>
      <c r="D20" s="105"/>
      <c r="E20" s="102"/>
      <c r="F20" s="109"/>
      <c r="G20" s="105"/>
      <c r="H20" s="109"/>
      <c r="I20" s="109"/>
      <c r="J20" s="109"/>
      <c r="K20" s="102"/>
      <c r="L20" s="105"/>
      <c r="M20" s="134"/>
      <c r="N20" s="134"/>
      <c r="O20" s="109"/>
      <c r="P20" s="109"/>
      <c r="Q20" s="105"/>
      <c r="R20" s="114"/>
      <c r="S20" s="116"/>
      <c r="T20" s="118"/>
      <c r="U20" s="116"/>
      <c r="V20" s="18" t="s">
        <v>78</v>
      </c>
      <c r="W20" s="37" t="s">
        <v>70</v>
      </c>
      <c r="X20" s="39">
        <v>30</v>
      </c>
      <c r="Y20" s="7">
        <v>1300000</v>
      </c>
      <c r="Z20" s="40">
        <v>90500</v>
      </c>
      <c r="AA20" s="40"/>
      <c r="AB20" s="18" t="s">
        <v>5</v>
      </c>
      <c r="AC20" s="147"/>
      <c r="AD20" s="102"/>
      <c r="AE20" s="138"/>
      <c r="AF20" s="84"/>
      <c r="AG20" s="87"/>
    </row>
    <row r="21" spans="2:33" ht="15" customHeight="1" x14ac:dyDescent="0.2">
      <c r="B21" s="99"/>
      <c r="C21" s="102"/>
      <c r="D21" s="105"/>
      <c r="E21" s="102"/>
      <c r="F21" s="109"/>
      <c r="G21" s="105"/>
      <c r="H21" s="109"/>
      <c r="I21" s="109"/>
      <c r="J21" s="109"/>
      <c r="K21" s="102"/>
      <c r="L21" s="105"/>
      <c r="M21" s="134"/>
      <c r="N21" s="134"/>
      <c r="O21" s="109"/>
      <c r="P21" s="109" t="s">
        <v>79</v>
      </c>
      <c r="Q21" s="105">
        <v>2</v>
      </c>
      <c r="R21" s="114">
        <f>+(Q21*E12)/15</f>
        <v>6.6666666666666666E-2</v>
      </c>
      <c r="S21" s="116">
        <f>+R21*J12</f>
        <v>318175</v>
      </c>
      <c r="T21" s="118"/>
      <c r="U21" s="116"/>
      <c r="V21" s="37"/>
      <c r="W21" s="37" t="s">
        <v>63</v>
      </c>
      <c r="X21" s="39"/>
      <c r="Y21" s="39"/>
      <c r="Z21" s="39"/>
      <c r="AA21" s="39"/>
      <c r="AB21" s="32"/>
      <c r="AC21" s="145" t="s">
        <v>80</v>
      </c>
      <c r="AD21" s="136" t="s">
        <v>80</v>
      </c>
      <c r="AE21" s="145" t="s">
        <v>80</v>
      </c>
    </row>
    <row r="22" spans="2:33" ht="15" customHeight="1" x14ac:dyDescent="0.2">
      <c r="B22" s="99"/>
      <c r="C22" s="102"/>
      <c r="D22" s="105"/>
      <c r="E22" s="102"/>
      <c r="F22" s="109"/>
      <c r="G22" s="105"/>
      <c r="H22" s="109"/>
      <c r="I22" s="109"/>
      <c r="J22" s="109"/>
      <c r="K22" s="102"/>
      <c r="L22" s="105"/>
      <c r="M22" s="134"/>
      <c r="N22" s="134"/>
      <c r="O22" s="109"/>
      <c r="P22" s="109"/>
      <c r="Q22" s="105"/>
      <c r="R22" s="114"/>
      <c r="S22" s="116"/>
      <c r="T22" s="118"/>
      <c r="U22" s="116"/>
      <c r="V22" s="37"/>
      <c r="W22" s="37" t="s">
        <v>68</v>
      </c>
      <c r="X22" s="39"/>
      <c r="Y22" s="19"/>
      <c r="Z22" s="39"/>
      <c r="AA22" s="39"/>
      <c r="AB22" s="32"/>
      <c r="AC22" s="145"/>
      <c r="AD22" s="136"/>
      <c r="AE22" s="145"/>
    </row>
    <row r="23" spans="2:33" ht="15" customHeight="1" x14ac:dyDescent="0.2">
      <c r="B23" s="99"/>
      <c r="C23" s="102"/>
      <c r="D23" s="105"/>
      <c r="E23" s="102"/>
      <c r="F23" s="109"/>
      <c r="G23" s="105"/>
      <c r="H23" s="109"/>
      <c r="I23" s="109"/>
      <c r="J23" s="109"/>
      <c r="K23" s="102"/>
      <c r="L23" s="105"/>
      <c r="M23" s="134"/>
      <c r="N23" s="134"/>
      <c r="O23" s="109"/>
      <c r="P23" s="109"/>
      <c r="Q23" s="105"/>
      <c r="R23" s="114"/>
      <c r="S23" s="116"/>
      <c r="T23" s="118"/>
      <c r="U23" s="116"/>
      <c r="V23" s="37"/>
      <c r="W23" s="37" t="s">
        <v>70</v>
      </c>
      <c r="X23" s="39"/>
      <c r="Y23" s="39"/>
      <c r="Z23" s="39"/>
      <c r="AA23" s="39"/>
      <c r="AB23" s="32"/>
      <c r="AC23" s="145"/>
      <c r="AD23" s="136"/>
      <c r="AE23" s="145"/>
    </row>
    <row r="24" spans="2:33" ht="15" customHeight="1" x14ac:dyDescent="0.2">
      <c r="B24" s="99"/>
      <c r="C24" s="102"/>
      <c r="D24" s="105"/>
      <c r="E24" s="102"/>
      <c r="F24" s="109"/>
      <c r="G24" s="105"/>
      <c r="H24" s="109"/>
      <c r="I24" s="109"/>
      <c r="J24" s="109"/>
      <c r="K24" s="102"/>
      <c r="L24" s="105"/>
      <c r="M24" s="134"/>
      <c r="N24" s="134"/>
      <c r="O24" s="109"/>
      <c r="P24" s="109" t="s">
        <v>81</v>
      </c>
      <c r="Q24" s="105">
        <v>3</v>
      </c>
      <c r="R24" s="114">
        <f>+(Q24*E12)/15</f>
        <v>0.1</v>
      </c>
      <c r="S24" s="116">
        <f>+R24*J12</f>
        <v>477262.5</v>
      </c>
      <c r="T24" s="118"/>
      <c r="U24" s="116"/>
      <c r="V24" s="37"/>
      <c r="W24" s="37" t="s">
        <v>63</v>
      </c>
      <c r="X24" s="39"/>
      <c r="Y24" s="39"/>
      <c r="Z24" s="39"/>
      <c r="AA24" s="39"/>
      <c r="AB24" s="32"/>
      <c r="AC24" s="145"/>
      <c r="AD24" s="136"/>
      <c r="AE24" s="145"/>
    </row>
    <row r="25" spans="2:33" ht="15" customHeight="1" x14ac:dyDescent="0.2">
      <c r="B25" s="99"/>
      <c r="C25" s="102"/>
      <c r="D25" s="105"/>
      <c r="E25" s="102"/>
      <c r="F25" s="109"/>
      <c r="G25" s="105"/>
      <c r="H25" s="109"/>
      <c r="I25" s="109"/>
      <c r="J25" s="109"/>
      <c r="K25" s="102"/>
      <c r="L25" s="105"/>
      <c r="M25" s="134"/>
      <c r="N25" s="134"/>
      <c r="O25" s="109"/>
      <c r="P25" s="109"/>
      <c r="Q25" s="105"/>
      <c r="R25" s="114"/>
      <c r="S25" s="116"/>
      <c r="T25" s="118"/>
      <c r="U25" s="116"/>
      <c r="V25" s="37"/>
      <c r="W25" s="37" t="s">
        <v>68</v>
      </c>
      <c r="X25" s="39"/>
      <c r="Y25" s="39"/>
      <c r="Z25" s="39"/>
      <c r="AA25" s="39"/>
      <c r="AB25" s="32"/>
      <c r="AC25" s="145"/>
      <c r="AD25" s="136"/>
      <c r="AE25" s="145"/>
    </row>
    <row r="26" spans="2:33" ht="38.25" customHeight="1" thickBot="1" x14ac:dyDescent="0.25">
      <c r="B26" s="100"/>
      <c r="C26" s="103"/>
      <c r="D26" s="106"/>
      <c r="E26" s="103"/>
      <c r="F26" s="110"/>
      <c r="G26" s="106"/>
      <c r="H26" s="110"/>
      <c r="I26" s="110"/>
      <c r="J26" s="110"/>
      <c r="K26" s="103"/>
      <c r="L26" s="106"/>
      <c r="M26" s="135"/>
      <c r="N26" s="135"/>
      <c r="O26" s="110"/>
      <c r="P26" s="110"/>
      <c r="Q26" s="106"/>
      <c r="R26" s="150"/>
      <c r="S26" s="151"/>
      <c r="T26" s="152"/>
      <c r="U26" s="151"/>
      <c r="V26" s="50"/>
      <c r="W26" s="50" t="s">
        <v>70</v>
      </c>
      <c r="X26" s="51"/>
      <c r="Y26" s="51"/>
      <c r="Z26" s="51"/>
      <c r="AA26" s="51"/>
      <c r="AB26" s="2"/>
      <c r="AC26" s="148"/>
      <c r="AD26" s="149"/>
      <c r="AE26" s="148"/>
    </row>
    <row r="27" spans="2:33" ht="30" customHeight="1" x14ac:dyDescent="0.2">
      <c r="B27" s="91" t="s">
        <v>82</v>
      </c>
      <c r="C27" s="101" t="s">
        <v>83</v>
      </c>
      <c r="D27" s="104">
        <v>1</v>
      </c>
      <c r="E27" s="157">
        <v>1</v>
      </c>
      <c r="F27" s="108">
        <v>1900000</v>
      </c>
      <c r="G27" s="108" t="s">
        <v>58</v>
      </c>
      <c r="H27" s="108">
        <f>+F27*12.5%</f>
        <v>237500</v>
      </c>
      <c r="I27" s="108">
        <f>+H27/30</f>
        <v>7916.666666666667</v>
      </c>
      <c r="J27" s="108">
        <f>+F27*1.78</f>
        <v>3382000</v>
      </c>
      <c r="K27" s="101" t="s">
        <v>84</v>
      </c>
      <c r="L27" s="153">
        <v>1094976996</v>
      </c>
      <c r="M27" s="133">
        <f>F27*1.71</f>
        <v>3249000</v>
      </c>
      <c r="N27" s="133">
        <f>F27*1.29</f>
        <v>2451000</v>
      </c>
      <c r="O27" s="108">
        <f>N27*40%</f>
        <v>980400</v>
      </c>
      <c r="P27" s="108" t="s">
        <v>61</v>
      </c>
      <c r="Q27" s="104">
        <v>0</v>
      </c>
      <c r="R27" s="113">
        <v>0</v>
      </c>
      <c r="S27" s="115">
        <v>0</v>
      </c>
      <c r="T27" s="117"/>
      <c r="U27" s="115"/>
      <c r="V27" s="29"/>
      <c r="W27" s="47" t="s">
        <v>63</v>
      </c>
      <c r="X27" s="104">
        <v>0</v>
      </c>
      <c r="Y27" s="104">
        <v>0</v>
      </c>
      <c r="Z27" s="104">
        <v>0</v>
      </c>
      <c r="AA27" s="41"/>
      <c r="AB27" s="104"/>
      <c r="AC27" s="161" t="s">
        <v>85</v>
      </c>
      <c r="AD27" s="161" t="s">
        <v>86</v>
      </c>
      <c r="AE27" s="161" t="s">
        <v>87</v>
      </c>
      <c r="AF27" s="85" t="s">
        <v>88</v>
      </c>
      <c r="AG27" s="86">
        <v>3.5</v>
      </c>
    </row>
    <row r="28" spans="2:33" ht="30" customHeight="1" x14ac:dyDescent="0.2">
      <c r="B28" s="155"/>
      <c r="C28" s="102"/>
      <c r="D28" s="105"/>
      <c r="E28" s="158"/>
      <c r="F28" s="109"/>
      <c r="G28" s="109"/>
      <c r="H28" s="109"/>
      <c r="I28" s="109"/>
      <c r="J28" s="109"/>
      <c r="K28" s="102"/>
      <c r="L28" s="154"/>
      <c r="M28" s="134"/>
      <c r="N28" s="134"/>
      <c r="O28" s="109"/>
      <c r="P28" s="109"/>
      <c r="Q28" s="105"/>
      <c r="R28" s="114"/>
      <c r="S28" s="116"/>
      <c r="T28" s="118"/>
      <c r="U28" s="116"/>
      <c r="V28" s="60"/>
      <c r="W28" s="37" t="s">
        <v>68</v>
      </c>
      <c r="X28" s="105"/>
      <c r="Y28" s="105"/>
      <c r="Z28" s="105"/>
      <c r="AA28" s="39"/>
      <c r="AB28" s="105"/>
      <c r="AC28" s="162"/>
      <c r="AD28" s="162"/>
      <c r="AE28" s="163"/>
      <c r="AF28" s="85"/>
      <c r="AG28" s="86"/>
    </row>
    <row r="29" spans="2:33" ht="30" customHeight="1" x14ac:dyDescent="0.2">
      <c r="B29" s="155"/>
      <c r="C29" s="102"/>
      <c r="D29" s="105"/>
      <c r="E29" s="158"/>
      <c r="F29" s="109"/>
      <c r="G29" s="109"/>
      <c r="H29" s="109"/>
      <c r="I29" s="109"/>
      <c r="J29" s="109"/>
      <c r="K29" s="102"/>
      <c r="L29" s="154"/>
      <c r="M29" s="134"/>
      <c r="N29" s="134"/>
      <c r="O29" s="109"/>
      <c r="P29" s="109"/>
      <c r="Q29" s="105"/>
      <c r="R29" s="114"/>
      <c r="S29" s="116"/>
      <c r="T29" s="118"/>
      <c r="U29" s="116"/>
      <c r="V29" s="60"/>
      <c r="W29" s="37" t="s">
        <v>70</v>
      </c>
      <c r="X29" s="105"/>
      <c r="Y29" s="105"/>
      <c r="Z29" s="105"/>
      <c r="AA29" s="39"/>
      <c r="AB29" s="105"/>
      <c r="AC29" s="162"/>
      <c r="AD29" s="162"/>
      <c r="AE29" s="163"/>
      <c r="AF29" s="85"/>
      <c r="AG29" s="86"/>
    </row>
    <row r="30" spans="2:33" ht="30" customHeight="1" x14ac:dyDescent="0.2">
      <c r="B30" s="155"/>
      <c r="C30" s="102"/>
      <c r="D30" s="105"/>
      <c r="E30" s="158"/>
      <c r="F30" s="109"/>
      <c r="G30" s="109"/>
      <c r="H30" s="109"/>
      <c r="I30" s="109"/>
      <c r="J30" s="109"/>
      <c r="K30" s="102"/>
      <c r="L30" s="154"/>
      <c r="M30" s="134"/>
      <c r="N30" s="134"/>
      <c r="O30" s="109"/>
      <c r="P30" s="109" t="s">
        <v>72</v>
      </c>
      <c r="Q30" s="105">
        <v>5</v>
      </c>
      <c r="R30" s="114">
        <f>+(Q30*E27)/30</f>
        <v>0.16666666666666666</v>
      </c>
      <c r="S30" s="116">
        <f>+R30*J27</f>
        <v>563666.66666666663</v>
      </c>
      <c r="T30" s="118">
        <v>2100000</v>
      </c>
      <c r="U30" s="116">
        <f>M27-T30</f>
        <v>1149000</v>
      </c>
      <c r="V30" s="136" t="s">
        <v>89</v>
      </c>
      <c r="W30" s="37" t="s">
        <v>63</v>
      </c>
      <c r="X30" s="105">
        <v>20</v>
      </c>
      <c r="Y30" s="109">
        <v>866667</v>
      </c>
      <c r="Z30" s="40">
        <v>108400</v>
      </c>
      <c r="AA30" s="40"/>
      <c r="AB30" s="160" t="s">
        <v>64</v>
      </c>
      <c r="AC30" s="162"/>
      <c r="AD30" s="162"/>
      <c r="AE30" s="163"/>
      <c r="AF30" s="85"/>
      <c r="AG30" s="86"/>
    </row>
    <row r="31" spans="2:33" ht="30" customHeight="1" x14ac:dyDescent="0.2">
      <c r="B31" s="155"/>
      <c r="C31" s="102"/>
      <c r="D31" s="105"/>
      <c r="E31" s="158"/>
      <c r="F31" s="109"/>
      <c r="G31" s="109" t="s">
        <v>71</v>
      </c>
      <c r="H31" s="109">
        <f>F27*16%</f>
        <v>304000</v>
      </c>
      <c r="I31" s="109">
        <f>+H31/30</f>
        <v>10133.333333333334</v>
      </c>
      <c r="J31" s="109"/>
      <c r="K31" s="102"/>
      <c r="L31" s="154"/>
      <c r="M31" s="134"/>
      <c r="N31" s="134"/>
      <c r="O31" s="109"/>
      <c r="P31" s="109"/>
      <c r="Q31" s="105"/>
      <c r="R31" s="114"/>
      <c r="S31" s="116"/>
      <c r="T31" s="118"/>
      <c r="U31" s="116"/>
      <c r="V31" s="136"/>
      <c r="W31" s="37" t="s">
        <v>68</v>
      </c>
      <c r="X31" s="105"/>
      <c r="Y31" s="109"/>
      <c r="Z31" s="40">
        <v>138700</v>
      </c>
      <c r="AA31" s="40"/>
      <c r="AB31" s="160"/>
      <c r="AC31" s="162"/>
      <c r="AD31" s="162"/>
      <c r="AE31" s="163"/>
      <c r="AF31" s="85"/>
      <c r="AG31" s="86"/>
    </row>
    <row r="32" spans="2:33" ht="30" customHeight="1" x14ac:dyDescent="0.2">
      <c r="B32" s="155"/>
      <c r="C32" s="102"/>
      <c r="D32" s="105"/>
      <c r="E32" s="158"/>
      <c r="F32" s="109"/>
      <c r="G32" s="109"/>
      <c r="H32" s="109"/>
      <c r="I32" s="109"/>
      <c r="J32" s="109"/>
      <c r="K32" s="102"/>
      <c r="L32" s="154"/>
      <c r="M32" s="134"/>
      <c r="N32" s="134"/>
      <c r="O32" s="109"/>
      <c r="P32" s="109"/>
      <c r="Q32" s="105"/>
      <c r="R32" s="114"/>
      <c r="S32" s="116"/>
      <c r="T32" s="118"/>
      <c r="U32" s="116"/>
      <c r="V32" s="136"/>
      <c r="W32" s="37" t="s">
        <v>70</v>
      </c>
      <c r="X32" s="105"/>
      <c r="Y32" s="109"/>
      <c r="Z32" s="40">
        <v>60400</v>
      </c>
      <c r="AA32" s="40"/>
      <c r="AB32" s="160"/>
      <c r="AC32" s="162"/>
      <c r="AD32" s="162"/>
      <c r="AE32" s="163"/>
      <c r="AF32" s="85"/>
      <c r="AG32" s="86"/>
    </row>
    <row r="33" spans="2:33" ht="30" customHeight="1" x14ac:dyDescent="0.2">
      <c r="B33" s="155"/>
      <c r="C33" s="102"/>
      <c r="D33" s="105"/>
      <c r="E33" s="158"/>
      <c r="F33" s="109"/>
      <c r="G33" s="109"/>
      <c r="H33" s="109"/>
      <c r="I33" s="109"/>
      <c r="J33" s="109"/>
      <c r="K33" s="102"/>
      <c r="L33" s="154"/>
      <c r="M33" s="134"/>
      <c r="N33" s="134"/>
      <c r="O33" s="109"/>
      <c r="P33" s="109" t="s">
        <v>76</v>
      </c>
      <c r="Q33" s="105">
        <v>24</v>
      </c>
      <c r="R33" s="114">
        <f>+(Q33*E27)/30</f>
        <v>0.8</v>
      </c>
      <c r="S33" s="116">
        <f>+R33*J27</f>
        <v>2705600</v>
      </c>
      <c r="T33" s="118">
        <v>2100000</v>
      </c>
      <c r="U33" s="116">
        <f>M27-T33</f>
        <v>1149000</v>
      </c>
      <c r="V33" s="136" t="s">
        <v>90</v>
      </c>
      <c r="W33" s="37" t="s">
        <v>63</v>
      </c>
      <c r="X33" s="105">
        <v>30</v>
      </c>
      <c r="Y33" s="109">
        <v>1300000</v>
      </c>
      <c r="Z33" s="40">
        <v>162500</v>
      </c>
      <c r="AA33" s="40"/>
      <c r="AB33" s="160" t="s">
        <v>64</v>
      </c>
      <c r="AC33" s="162"/>
      <c r="AD33" s="162"/>
      <c r="AE33" s="163"/>
      <c r="AF33" s="85"/>
      <c r="AG33" s="86"/>
    </row>
    <row r="34" spans="2:33" ht="30" customHeight="1" x14ac:dyDescent="0.2">
      <c r="B34" s="155"/>
      <c r="C34" s="102"/>
      <c r="D34" s="105"/>
      <c r="E34" s="158"/>
      <c r="F34" s="109"/>
      <c r="G34" s="109"/>
      <c r="H34" s="109"/>
      <c r="I34" s="109"/>
      <c r="J34" s="109"/>
      <c r="K34" s="102"/>
      <c r="L34" s="154"/>
      <c r="M34" s="134"/>
      <c r="N34" s="134"/>
      <c r="O34" s="109"/>
      <c r="P34" s="109"/>
      <c r="Q34" s="105"/>
      <c r="R34" s="114"/>
      <c r="S34" s="116"/>
      <c r="T34" s="118"/>
      <c r="U34" s="116"/>
      <c r="V34" s="136"/>
      <c r="W34" s="37" t="s">
        <v>68</v>
      </c>
      <c r="X34" s="105"/>
      <c r="Y34" s="109"/>
      <c r="Z34" s="40">
        <f>Y33*16%</f>
        <v>208000</v>
      </c>
      <c r="AA34" s="40"/>
      <c r="AB34" s="160"/>
      <c r="AC34" s="162"/>
      <c r="AD34" s="162"/>
      <c r="AE34" s="163"/>
      <c r="AF34" s="85"/>
      <c r="AG34" s="86"/>
    </row>
    <row r="35" spans="2:33" ht="30" customHeight="1" x14ac:dyDescent="0.2">
      <c r="B35" s="155"/>
      <c r="C35" s="102"/>
      <c r="D35" s="105"/>
      <c r="E35" s="158"/>
      <c r="F35" s="109"/>
      <c r="G35" s="109"/>
      <c r="H35" s="109"/>
      <c r="I35" s="109"/>
      <c r="J35" s="109"/>
      <c r="K35" s="102"/>
      <c r="L35" s="154"/>
      <c r="M35" s="134"/>
      <c r="N35" s="134"/>
      <c r="O35" s="109"/>
      <c r="P35" s="109"/>
      <c r="Q35" s="105"/>
      <c r="R35" s="114"/>
      <c r="S35" s="116"/>
      <c r="T35" s="118"/>
      <c r="U35" s="116"/>
      <c r="V35" s="136"/>
      <c r="W35" s="37" t="s">
        <v>70</v>
      </c>
      <c r="X35" s="105"/>
      <c r="Y35" s="109"/>
      <c r="Z35" s="40">
        <v>90500</v>
      </c>
      <c r="AA35" s="40"/>
      <c r="AB35" s="160"/>
      <c r="AC35" s="162"/>
      <c r="AD35" s="162"/>
      <c r="AE35" s="163"/>
      <c r="AF35" s="85"/>
      <c r="AG35" s="86"/>
    </row>
    <row r="36" spans="2:33" ht="39.6" customHeight="1" x14ac:dyDescent="0.2">
      <c r="B36" s="155"/>
      <c r="C36" s="102"/>
      <c r="D36" s="105"/>
      <c r="E36" s="158"/>
      <c r="F36" s="109"/>
      <c r="G36" s="109"/>
      <c r="H36" s="109"/>
      <c r="I36" s="109"/>
      <c r="J36" s="109"/>
      <c r="K36" s="102" t="s">
        <v>91</v>
      </c>
      <c r="L36" s="154">
        <v>1651188</v>
      </c>
      <c r="M36" s="134"/>
      <c r="N36" s="134"/>
      <c r="O36" s="109"/>
      <c r="P36" s="109" t="s">
        <v>79</v>
      </c>
      <c r="Q36" s="105">
        <v>2</v>
      </c>
      <c r="R36" s="114">
        <f>+(Q36*E27)/30</f>
        <v>6.6666666666666666E-2</v>
      </c>
      <c r="S36" s="116">
        <f>+R36*J27</f>
        <v>225466.66666666666</v>
      </c>
      <c r="T36" s="118"/>
      <c r="U36" s="116"/>
      <c r="V36" s="60"/>
      <c r="W36" s="37" t="s">
        <v>63</v>
      </c>
      <c r="X36" s="39"/>
      <c r="Y36" s="39"/>
      <c r="Z36" s="39"/>
      <c r="AA36" s="39"/>
      <c r="AB36" s="60"/>
      <c r="AC36" s="145" t="s">
        <v>80</v>
      </c>
      <c r="AD36" s="136" t="s">
        <v>80</v>
      </c>
      <c r="AE36" s="145" t="s">
        <v>80</v>
      </c>
    </row>
    <row r="37" spans="2:33" x14ac:dyDescent="0.2">
      <c r="B37" s="155"/>
      <c r="C37" s="102"/>
      <c r="D37" s="105"/>
      <c r="E37" s="158"/>
      <c r="F37" s="109"/>
      <c r="G37" s="105" t="s">
        <v>75</v>
      </c>
      <c r="H37" s="109">
        <f>F27*6.96%</f>
        <v>132240</v>
      </c>
      <c r="I37" s="109">
        <f>+H37/30</f>
        <v>4408</v>
      </c>
      <c r="J37" s="109"/>
      <c r="K37" s="102"/>
      <c r="L37" s="154"/>
      <c r="M37" s="134"/>
      <c r="N37" s="134"/>
      <c r="O37" s="109"/>
      <c r="P37" s="109"/>
      <c r="Q37" s="105"/>
      <c r="R37" s="114"/>
      <c r="S37" s="116"/>
      <c r="T37" s="118"/>
      <c r="U37" s="116"/>
      <c r="V37" s="60"/>
      <c r="W37" s="37" t="s">
        <v>68</v>
      </c>
      <c r="X37" s="39"/>
      <c r="Y37" s="39"/>
      <c r="Z37" s="39"/>
      <c r="AA37" s="39"/>
      <c r="AB37" s="60"/>
      <c r="AC37" s="145"/>
      <c r="AD37" s="136"/>
      <c r="AE37" s="145"/>
    </row>
    <row r="38" spans="2:33" x14ac:dyDescent="0.2">
      <c r="B38" s="155"/>
      <c r="C38" s="102"/>
      <c r="D38" s="105"/>
      <c r="E38" s="158"/>
      <c r="F38" s="109"/>
      <c r="G38" s="105"/>
      <c r="H38" s="109"/>
      <c r="I38" s="109"/>
      <c r="J38" s="109"/>
      <c r="K38" s="102"/>
      <c r="L38" s="154"/>
      <c r="M38" s="134"/>
      <c r="N38" s="134"/>
      <c r="O38" s="109"/>
      <c r="P38" s="109"/>
      <c r="Q38" s="105"/>
      <c r="R38" s="114"/>
      <c r="S38" s="116"/>
      <c r="T38" s="118"/>
      <c r="U38" s="116"/>
      <c r="V38" s="60"/>
      <c r="W38" s="37" t="s">
        <v>70</v>
      </c>
      <c r="X38" s="39"/>
      <c r="Y38" s="39"/>
      <c r="Z38" s="39"/>
      <c r="AA38" s="39"/>
      <c r="AB38" s="60"/>
      <c r="AC38" s="145"/>
      <c r="AD38" s="136"/>
      <c r="AE38" s="145"/>
    </row>
    <row r="39" spans="2:33" x14ac:dyDescent="0.2">
      <c r="B39" s="155"/>
      <c r="C39" s="102"/>
      <c r="D39" s="105"/>
      <c r="E39" s="158"/>
      <c r="F39" s="109"/>
      <c r="G39" s="105"/>
      <c r="H39" s="109"/>
      <c r="I39" s="109"/>
      <c r="J39" s="109"/>
      <c r="K39" s="102"/>
      <c r="L39" s="154"/>
      <c r="M39" s="134"/>
      <c r="N39" s="134"/>
      <c r="O39" s="109"/>
      <c r="P39" s="109" t="s">
        <v>81</v>
      </c>
      <c r="Q39" s="105">
        <v>5</v>
      </c>
      <c r="R39" s="114">
        <f>+(Q39*E27)/30</f>
        <v>0.16666666666666666</v>
      </c>
      <c r="S39" s="116">
        <f>+R39*J27</f>
        <v>563666.66666666663</v>
      </c>
      <c r="T39" s="118"/>
      <c r="U39" s="116"/>
      <c r="V39" s="32"/>
      <c r="W39" s="37" t="s">
        <v>63</v>
      </c>
      <c r="X39" s="39"/>
      <c r="Y39" s="39"/>
      <c r="Z39" s="39"/>
      <c r="AA39" s="39"/>
      <c r="AB39" s="60"/>
      <c r="AC39" s="145"/>
      <c r="AD39" s="136"/>
      <c r="AE39" s="145"/>
    </row>
    <row r="40" spans="2:33" ht="15" customHeight="1" x14ac:dyDescent="0.2">
      <c r="B40" s="155"/>
      <c r="C40" s="102"/>
      <c r="D40" s="105"/>
      <c r="E40" s="158"/>
      <c r="F40" s="109"/>
      <c r="G40" s="105"/>
      <c r="H40" s="109"/>
      <c r="I40" s="109"/>
      <c r="J40" s="109"/>
      <c r="K40" s="102"/>
      <c r="L40" s="154"/>
      <c r="M40" s="134"/>
      <c r="N40" s="134"/>
      <c r="O40" s="109"/>
      <c r="P40" s="109"/>
      <c r="Q40" s="105"/>
      <c r="R40" s="114"/>
      <c r="S40" s="116"/>
      <c r="T40" s="118"/>
      <c r="U40" s="116"/>
      <c r="V40" s="32"/>
      <c r="W40" s="37" t="s">
        <v>68</v>
      </c>
      <c r="X40" s="39"/>
      <c r="Y40" s="39"/>
      <c r="Z40" s="39"/>
      <c r="AA40" s="39"/>
      <c r="AB40" s="60"/>
      <c r="AC40" s="145"/>
      <c r="AD40" s="136"/>
      <c r="AE40" s="145"/>
    </row>
    <row r="41" spans="2:33" ht="15.75" customHeight="1" thickBot="1" x14ac:dyDescent="0.25">
      <c r="B41" s="156"/>
      <c r="C41" s="103"/>
      <c r="D41" s="106"/>
      <c r="E41" s="159"/>
      <c r="F41" s="110"/>
      <c r="G41" s="106"/>
      <c r="H41" s="110"/>
      <c r="I41" s="110"/>
      <c r="J41" s="110"/>
      <c r="K41" s="103"/>
      <c r="L41" s="164"/>
      <c r="M41" s="135"/>
      <c r="N41" s="135"/>
      <c r="O41" s="110"/>
      <c r="P41" s="110"/>
      <c r="Q41" s="106"/>
      <c r="R41" s="150"/>
      <c r="S41" s="151"/>
      <c r="T41" s="152"/>
      <c r="U41" s="151"/>
      <c r="V41" s="2"/>
      <c r="W41" s="50" t="s">
        <v>70</v>
      </c>
      <c r="X41" s="51"/>
      <c r="Y41" s="51"/>
      <c r="Z41" s="51"/>
      <c r="AA41" s="51"/>
      <c r="AB41" s="61"/>
      <c r="AC41" s="148"/>
      <c r="AD41" s="149"/>
      <c r="AE41" s="148"/>
    </row>
    <row r="42" spans="2:33" ht="24.6" customHeight="1" x14ac:dyDescent="0.2">
      <c r="B42" s="98" t="s">
        <v>92</v>
      </c>
      <c r="C42" s="101" t="s">
        <v>83</v>
      </c>
      <c r="D42" s="104">
        <v>1</v>
      </c>
      <c r="E42" s="157">
        <v>1</v>
      </c>
      <c r="F42" s="108">
        <v>1900000</v>
      </c>
      <c r="G42" s="108" t="s">
        <v>58</v>
      </c>
      <c r="H42" s="108">
        <f>+F42*12.5%</f>
        <v>237500</v>
      </c>
      <c r="I42" s="108">
        <f>+H42/30</f>
        <v>7916.666666666667</v>
      </c>
      <c r="J42" s="108">
        <f>+F42*1.78</f>
        <v>3382000</v>
      </c>
      <c r="K42" s="101" t="s">
        <v>93</v>
      </c>
      <c r="L42" s="153" t="s">
        <v>94</v>
      </c>
      <c r="M42" s="175">
        <f>F42*1.71</f>
        <v>3249000</v>
      </c>
      <c r="N42" s="175">
        <f>F42*1.29</f>
        <v>2451000</v>
      </c>
      <c r="O42" s="108">
        <f>N42*40%</f>
        <v>980400</v>
      </c>
      <c r="P42" s="108" t="s">
        <v>61</v>
      </c>
      <c r="Q42" s="153">
        <v>0</v>
      </c>
      <c r="R42" s="113">
        <v>0</v>
      </c>
      <c r="S42" s="115">
        <f>+M42*R42</f>
        <v>0</v>
      </c>
      <c r="T42" s="117"/>
      <c r="U42" s="115"/>
      <c r="V42" s="139" t="s">
        <v>95</v>
      </c>
      <c r="W42" s="47" t="s">
        <v>63</v>
      </c>
      <c r="X42" s="104">
        <v>30</v>
      </c>
      <c r="Y42" s="108">
        <v>1300000</v>
      </c>
      <c r="Z42" s="43">
        <v>52000</v>
      </c>
      <c r="AA42" s="43"/>
      <c r="AB42" s="101" t="s">
        <v>96</v>
      </c>
      <c r="AC42" s="101" t="s">
        <v>97</v>
      </c>
      <c r="AD42" s="101" t="s">
        <v>86</v>
      </c>
      <c r="AE42" s="101" t="s">
        <v>87</v>
      </c>
    </row>
    <row r="43" spans="2:33" ht="23.45" customHeight="1" x14ac:dyDescent="0.2">
      <c r="B43" s="99"/>
      <c r="C43" s="102"/>
      <c r="D43" s="105"/>
      <c r="E43" s="158"/>
      <c r="F43" s="109"/>
      <c r="G43" s="109"/>
      <c r="H43" s="109"/>
      <c r="I43" s="109"/>
      <c r="J43" s="109"/>
      <c r="K43" s="102"/>
      <c r="L43" s="154"/>
      <c r="M43" s="176"/>
      <c r="N43" s="176"/>
      <c r="O43" s="109"/>
      <c r="P43" s="109"/>
      <c r="Q43" s="154"/>
      <c r="R43" s="114"/>
      <c r="S43" s="116"/>
      <c r="T43" s="118"/>
      <c r="U43" s="116"/>
      <c r="V43" s="136"/>
      <c r="W43" s="37" t="s">
        <v>68</v>
      </c>
      <c r="X43" s="105"/>
      <c r="Y43" s="109"/>
      <c r="Z43" s="19">
        <f>Y42*16%</f>
        <v>208000</v>
      </c>
      <c r="AA43" s="19"/>
      <c r="AB43" s="102"/>
      <c r="AC43" s="102"/>
      <c r="AD43" s="102"/>
      <c r="AE43" s="102"/>
    </row>
    <row r="44" spans="2:33" ht="21" customHeight="1" x14ac:dyDescent="0.2">
      <c r="B44" s="99"/>
      <c r="C44" s="102"/>
      <c r="D44" s="105"/>
      <c r="E44" s="158"/>
      <c r="F44" s="109"/>
      <c r="G44" s="109"/>
      <c r="H44" s="109"/>
      <c r="I44" s="109"/>
      <c r="J44" s="109"/>
      <c r="K44" s="102"/>
      <c r="L44" s="154"/>
      <c r="M44" s="176"/>
      <c r="N44" s="176"/>
      <c r="O44" s="109"/>
      <c r="P44" s="109"/>
      <c r="Q44" s="154"/>
      <c r="R44" s="114"/>
      <c r="S44" s="116"/>
      <c r="T44" s="118"/>
      <c r="U44" s="116"/>
      <c r="V44" s="32" t="s">
        <v>69</v>
      </c>
      <c r="W44" s="37" t="s">
        <v>70</v>
      </c>
      <c r="X44" s="39">
        <v>1</v>
      </c>
      <c r="Y44" s="82">
        <v>43334</v>
      </c>
      <c r="Z44" s="44">
        <v>3100</v>
      </c>
      <c r="AA44" s="44"/>
      <c r="AB44" s="18" t="s">
        <v>5</v>
      </c>
      <c r="AC44" s="102"/>
      <c r="AD44" s="102"/>
      <c r="AE44" s="102"/>
    </row>
    <row r="45" spans="2:33" ht="14.45" customHeight="1" x14ac:dyDescent="0.2">
      <c r="B45" s="99"/>
      <c r="C45" s="102"/>
      <c r="D45" s="105"/>
      <c r="E45" s="158"/>
      <c r="F45" s="109"/>
      <c r="G45" s="109"/>
      <c r="H45" s="109"/>
      <c r="I45" s="109"/>
      <c r="J45" s="109"/>
      <c r="K45" s="102"/>
      <c r="L45" s="154"/>
      <c r="M45" s="176"/>
      <c r="N45" s="176"/>
      <c r="O45" s="109"/>
      <c r="P45" s="109" t="s">
        <v>72</v>
      </c>
      <c r="Q45" s="165">
        <v>0</v>
      </c>
      <c r="R45" s="114">
        <f>+(Q45*E42)/30</f>
        <v>0</v>
      </c>
      <c r="S45" s="116"/>
      <c r="T45" s="118">
        <v>3382000</v>
      </c>
      <c r="U45" s="116"/>
      <c r="V45" s="136" t="s">
        <v>98</v>
      </c>
      <c r="W45" s="37" t="s">
        <v>63</v>
      </c>
      <c r="X45" s="105">
        <v>30</v>
      </c>
      <c r="Y45" s="109">
        <v>1300000</v>
      </c>
      <c r="Z45" s="44">
        <v>52000</v>
      </c>
      <c r="AA45" s="44"/>
      <c r="AB45" s="102" t="s">
        <v>99</v>
      </c>
      <c r="AC45" s="102"/>
      <c r="AD45" s="102"/>
      <c r="AE45" s="102"/>
    </row>
    <row r="46" spans="2:33" ht="30" customHeight="1" x14ac:dyDescent="0.2">
      <c r="B46" s="99"/>
      <c r="C46" s="102"/>
      <c r="D46" s="105"/>
      <c r="E46" s="158"/>
      <c r="F46" s="109"/>
      <c r="G46" s="109"/>
      <c r="H46" s="109"/>
      <c r="I46" s="109"/>
      <c r="J46" s="109"/>
      <c r="K46" s="102"/>
      <c r="L46" s="154"/>
      <c r="M46" s="176"/>
      <c r="N46" s="176"/>
      <c r="O46" s="109"/>
      <c r="P46" s="109"/>
      <c r="Q46" s="165"/>
      <c r="R46" s="114"/>
      <c r="S46" s="116"/>
      <c r="T46" s="118"/>
      <c r="U46" s="116"/>
      <c r="V46" s="136"/>
      <c r="W46" s="37" t="s">
        <v>68</v>
      </c>
      <c r="X46" s="105"/>
      <c r="Y46" s="109"/>
      <c r="Z46" s="19">
        <f>Y45*16%</f>
        <v>208000</v>
      </c>
      <c r="AA46" s="19"/>
      <c r="AB46" s="102"/>
      <c r="AC46" s="102"/>
      <c r="AD46" s="102"/>
      <c r="AE46" s="102"/>
    </row>
    <row r="47" spans="2:33" ht="22.15" customHeight="1" x14ac:dyDescent="0.2">
      <c r="B47" s="99"/>
      <c r="C47" s="102"/>
      <c r="D47" s="105"/>
      <c r="E47" s="158"/>
      <c r="F47" s="109"/>
      <c r="G47" s="109" t="s">
        <v>71</v>
      </c>
      <c r="H47" s="109">
        <f>+F42*16%</f>
        <v>304000</v>
      </c>
      <c r="I47" s="109">
        <f>+H47/30</f>
        <v>10133.333333333334</v>
      </c>
      <c r="J47" s="109"/>
      <c r="K47" s="102"/>
      <c r="L47" s="154"/>
      <c r="M47" s="176"/>
      <c r="N47" s="176"/>
      <c r="O47" s="109"/>
      <c r="P47" s="109"/>
      <c r="Q47" s="165"/>
      <c r="R47" s="114"/>
      <c r="S47" s="116"/>
      <c r="T47" s="118"/>
      <c r="U47" s="116"/>
      <c r="V47" s="32" t="s">
        <v>74</v>
      </c>
      <c r="W47" s="37" t="s">
        <v>70</v>
      </c>
      <c r="X47" s="39">
        <v>30</v>
      </c>
      <c r="Y47" s="109"/>
      <c r="Z47" s="44">
        <v>90500</v>
      </c>
      <c r="AA47" s="44"/>
      <c r="AB47" s="18" t="s">
        <v>5</v>
      </c>
      <c r="AC47" s="102"/>
      <c r="AD47" s="102"/>
      <c r="AE47" s="102"/>
    </row>
    <row r="48" spans="2:33" ht="24.6" customHeight="1" x14ac:dyDescent="0.2">
      <c r="B48" s="99"/>
      <c r="C48" s="102"/>
      <c r="D48" s="105"/>
      <c r="E48" s="158"/>
      <c r="F48" s="109"/>
      <c r="G48" s="109"/>
      <c r="H48" s="109"/>
      <c r="I48" s="109"/>
      <c r="J48" s="109"/>
      <c r="K48" s="102"/>
      <c r="L48" s="154"/>
      <c r="M48" s="176"/>
      <c r="N48" s="176"/>
      <c r="O48" s="109"/>
      <c r="P48" s="109" t="s">
        <v>76</v>
      </c>
      <c r="Q48" s="154">
        <v>0</v>
      </c>
      <c r="R48" s="114">
        <f>+(Q48*E42)/30</f>
        <v>0</v>
      </c>
      <c r="S48" s="116"/>
      <c r="T48" s="118">
        <v>3382000</v>
      </c>
      <c r="U48" s="116"/>
      <c r="V48" s="145" t="s">
        <v>100</v>
      </c>
      <c r="W48" s="37" t="s">
        <v>63</v>
      </c>
      <c r="X48" s="105">
        <v>30</v>
      </c>
      <c r="Y48" s="109">
        <v>1300000</v>
      </c>
      <c r="Z48" s="44">
        <v>52000</v>
      </c>
      <c r="AA48" s="44"/>
      <c r="AB48" s="102" t="s">
        <v>99</v>
      </c>
      <c r="AC48" s="102"/>
      <c r="AD48" s="102"/>
      <c r="AE48" s="102"/>
    </row>
    <row r="49" spans="2:33" x14ac:dyDescent="0.2">
      <c r="B49" s="99"/>
      <c r="C49" s="102"/>
      <c r="D49" s="105"/>
      <c r="E49" s="158"/>
      <c r="F49" s="109"/>
      <c r="G49" s="109"/>
      <c r="H49" s="109"/>
      <c r="I49" s="109"/>
      <c r="J49" s="109"/>
      <c r="K49" s="102"/>
      <c r="L49" s="154"/>
      <c r="M49" s="176"/>
      <c r="N49" s="176"/>
      <c r="O49" s="109"/>
      <c r="P49" s="109"/>
      <c r="Q49" s="154"/>
      <c r="R49" s="114"/>
      <c r="S49" s="116"/>
      <c r="T49" s="118"/>
      <c r="U49" s="116"/>
      <c r="V49" s="145"/>
      <c r="W49" s="37" t="s">
        <v>68</v>
      </c>
      <c r="X49" s="105"/>
      <c r="Y49" s="109"/>
      <c r="Z49" s="19">
        <f>Y48*16%</f>
        <v>208000</v>
      </c>
      <c r="AA49" s="19"/>
      <c r="AB49" s="102"/>
      <c r="AC49" s="102"/>
      <c r="AD49" s="102"/>
      <c r="AE49" s="102"/>
    </row>
    <row r="50" spans="2:33" ht="18.75" customHeight="1" x14ac:dyDescent="0.2">
      <c r="B50" s="99"/>
      <c r="C50" s="102"/>
      <c r="D50" s="105"/>
      <c r="E50" s="158"/>
      <c r="F50" s="109"/>
      <c r="G50" s="109"/>
      <c r="H50" s="109"/>
      <c r="I50" s="109"/>
      <c r="J50" s="109"/>
      <c r="K50" s="102"/>
      <c r="L50" s="154"/>
      <c r="M50" s="176"/>
      <c r="N50" s="176"/>
      <c r="O50" s="109"/>
      <c r="P50" s="109"/>
      <c r="Q50" s="154"/>
      <c r="R50" s="114"/>
      <c r="S50" s="116"/>
      <c r="T50" s="118"/>
      <c r="U50" s="116"/>
      <c r="V50" s="32" t="s">
        <v>78</v>
      </c>
      <c r="W50" s="37" t="s">
        <v>70</v>
      </c>
      <c r="X50" s="39">
        <v>30</v>
      </c>
      <c r="Y50" s="109"/>
      <c r="Z50" s="44">
        <v>90500</v>
      </c>
      <c r="AA50" s="44"/>
      <c r="AB50" s="18" t="s">
        <v>5</v>
      </c>
      <c r="AC50" s="102"/>
      <c r="AD50" s="102"/>
      <c r="AE50" s="102"/>
    </row>
    <row r="51" spans="2:33" x14ac:dyDescent="0.2">
      <c r="B51" s="99"/>
      <c r="C51" s="102"/>
      <c r="D51" s="105"/>
      <c r="E51" s="158"/>
      <c r="F51" s="109"/>
      <c r="G51" s="109"/>
      <c r="H51" s="109"/>
      <c r="I51" s="109"/>
      <c r="J51" s="109"/>
      <c r="K51" s="102"/>
      <c r="L51" s="154"/>
      <c r="M51" s="176"/>
      <c r="N51" s="176"/>
      <c r="O51" s="109"/>
      <c r="P51" s="109" t="s">
        <v>79</v>
      </c>
      <c r="Q51" s="154">
        <v>2</v>
      </c>
      <c r="R51" s="114">
        <f>+(Q51*E42)/30</f>
        <v>6.6666666666666666E-2</v>
      </c>
      <c r="S51" s="116">
        <f>+R51*M42</f>
        <v>216600</v>
      </c>
      <c r="T51" s="118"/>
      <c r="U51" s="116"/>
      <c r="V51" s="32"/>
      <c r="W51" s="37" t="s">
        <v>63</v>
      </c>
      <c r="X51" s="39"/>
      <c r="Y51" s="39"/>
      <c r="Z51" s="39"/>
      <c r="AA51" s="39"/>
      <c r="AB51" s="37"/>
      <c r="AC51" s="145" t="s">
        <v>80</v>
      </c>
      <c r="AD51" s="136" t="s">
        <v>80</v>
      </c>
      <c r="AE51" s="145" t="s">
        <v>80</v>
      </c>
    </row>
    <row r="52" spans="2:33" ht="14.45" customHeight="1" x14ac:dyDescent="0.2">
      <c r="B52" s="99"/>
      <c r="C52" s="102"/>
      <c r="D52" s="105"/>
      <c r="E52" s="158"/>
      <c r="F52" s="109"/>
      <c r="G52" s="105" t="s">
        <v>75</v>
      </c>
      <c r="H52" s="109">
        <f>F42*6.96%</f>
        <v>132240</v>
      </c>
      <c r="I52" s="109">
        <f>+H52/30</f>
        <v>4408</v>
      </c>
      <c r="J52" s="109"/>
      <c r="K52" s="102"/>
      <c r="L52" s="154"/>
      <c r="M52" s="176"/>
      <c r="N52" s="176"/>
      <c r="O52" s="109"/>
      <c r="P52" s="109"/>
      <c r="Q52" s="154"/>
      <c r="R52" s="114"/>
      <c r="S52" s="116"/>
      <c r="T52" s="118"/>
      <c r="U52" s="116"/>
      <c r="V52" s="32"/>
      <c r="W52" s="37" t="s">
        <v>68</v>
      </c>
      <c r="X52" s="39"/>
      <c r="Y52" s="39"/>
      <c r="Z52" s="39"/>
      <c r="AA52" s="39"/>
      <c r="AB52" s="37"/>
      <c r="AC52" s="145"/>
      <c r="AD52" s="136"/>
      <c r="AE52" s="145"/>
      <c r="AG52" s="65"/>
    </row>
    <row r="53" spans="2:33" x14ac:dyDescent="0.2">
      <c r="B53" s="99"/>
      <c r="C53" s="102"/>
      <c r="D53" s="105"/>
      <c r="E53" s="158"/>
      <c r="F53" s="109"/>
      <c r="G53" s="105"/>
      <c r="H53" s="109"/>
      <c r="I53" s="109"/>
      <c r="J53" s="109"/>
      <c r="K53" s="102"/>
      <c r="L53" s="154"/>
      <c r="M53" s="176"/>
      <c r="N53" s="176"/>
      <c r="O53" s="109"/>
      <c r="P53" s="109"/>
      <c r="Q53" s="154"/>
      <c r="R53" s="114"/>
      <c r="S53" s="116"/>
      <c r="T53" s="118"/>
      <c r="U53" s="116"/>
      <c r="V53" s="32"/>
      <c r="W53" s="37" t="s">
        <v>70</v>
      </c>
      <c r="X53" s="39"/>
      <c r="Y53" s="39"/>
      <c r="Z53" s="39"/>
      <c r="AA53" s="39"/>
      <c r="AB53" s="37"/>
      <c r="AC53" s="145"/>
      <c r="AD53" s="136"/>
      <c r="AE53" s="145"/>
    </row>
    <row r="54" spans="2:33" x14ac:dyDescent="0.2">
      <c r="B54" s="99"/>
      <c r="C54" s="102"/>
      <c r="D54" s="105"/>
      <c r="E54" s="158"/>
      <c r="F54" s="109"/>
      <c r="G54" s="105"/>
      <c r="H54" s="109"/>
      <c r="I54" s="109"/>
      <c r="J54" s="109"/>
      <c r="K54" s="102"/>
      <c r="L54" s="154"/>
      <c r="M54" s="176"/>
      <c r="N54" s="176"/>
      <c r="O54" s="109"/>
      <c r="P54" s="109" t="s">
        <v>81</v>
      </c>
      <c r="Q54" s="154">
        <v>1</v>
      </c>
      <c r="R54" s="114">
        <f>+(Q54*E42)/30</f>
        <v>3.3333333333333333E-2</v>
      </c>
      <c r="S54" s="116">
        <f>+R54*M42</f>
        <v>108300</v>
      </c>
      <c r="T54" s="118"/>
      <c r="U54" s="116"/>
      <c r="V54" s="32"/>
      <c r="W54" s="37" t="s">
        <v>63</v>
      </c>
      <c r="X54" s="39"/>
      <c r="Y54" s="39"/>
      <c r="Z54" s="39"/>
      <c r="AA54" s="39"/>
      <c r="AB54" s="37"/>
      <c r="AC54" s="145"/>
      <c r="AD54" s="136"/>
      <c r="AE54" s="145"/>
    </row>
    <row r="55" spans="2:33" ht="15" customHeight="1" x14ac:dyDescent="0.2">
      <c r="B55" s="99"/>
      <c r="C55" s="102"/>
      <c r="D55" s="105"/>
      <c r="E55" s="158"/>
      <c r="F55" s="109"/>
      <c r="G55" s="105"/>
      <c r="H55" s="109"/>
      <c r="I55" s="109"/>
      <c r="J55" s="109"/>
      <c r="K55" s="102"/>
      <c r="L55" s="154"/>
      <c r="M55" s="176"/>
      <c r="N55" s="176"/>
      <c r="O55" s="109"/>
      <c r="P55" s="109"/>
      <c r="Q55" s="154"/>
      <c r="R55" s="114"/>
      <c r="S55" s="116"/>
      <c r="T55" s="118"/>
      <c r="U55" s="116"/>
      <c r="V55" s="32"/>
      <c r="W55" s="37" t="s">
        <v>68</v>
      </c>
      <c r="X55" s="39"/>
      <c r="Y55" s="39"/>
      <c r="Z55" s="39"/>
      <c r="AA55" s="39"/>
      <c r="AB55" s="37"/>
      <c r="AC55" s="145"/>
      <c r="AD55" s="136"/>
      <c r="AE55" s="145"/>
    </row>
    <row r="56" spans="2:33" ht="15.75" customHeight="1" thickBot="1" x14ac:dyDescent="0.25">
      <c r="B56" s="100"/>
      <c r="C56" s="103"/>
      <c r="D56" s="106"/>
      <c r="E56" s="159"/>
      <c r="F56" s="110"/>
      <c r="G56" s="106"/>
      <c r="H56" s="110"/>
      <c r="I56" s="110"/>
      <c r="J56" s="110"/>
      <c r="K56" s="103"/>
      <c r="L56" s="164"/>
      <c r="M56" s="177"/>
      <c r="N56" s="177"/>
      <c r="O56" s="110"/>
      <c r="P56" s="110"/>
      <c r="Q56" s="164"/>
      <c r="R56" s="150"/>
      <c r="S56" s="151"/>
      <c r="T56" s="152"/>
      <c r="U56" s="151"/>
      <c r="V56" s="2"/>
      <c r="W56" s="50"/>
      <c r="X56" s="51"/>
      <c r="Y56" s="51"/>
      <c r="Z56" s="51"/>
      <c r="AA56" s="51"/>
      <c r="AB56" s="2"/>
      <c r="AC56" s="148"/>
      <c r="AD56" s="149"/>
      <c r="AE56" s="148"/>
    </row>
    <row r="57" spans="2:33" ht="24" customHeight="1" x14ac:dyDescent="0.2">
      <c r="B57" s="98" t="s">
        <v>101</v>
      </c>
      <c r="C57" s="101" t="s">
        <v>102</v>
      </c>
      <c r="D57" s="104">
        <v>1</v>
      </c>
      <c r="E57" s="107">
        <v>1</v>
      </c>
      <c r="F57" s="108">
        <v>1900000</v>
      </c>
      <c r="G57" s="108" t="s">
        <v>58</v>
      </c>
      <c r="H57" s="108">
        <f>+F57*12.5%</f>
        <v>237500</v>
      </c>
      <c r="I57" s="108">
        <f>+H57/30</f>
        <v>7916.666666666667</v>
      </c>
      <c r="J57" s="108">
        <f>+F57*1.78</f>
        <v>3382000</v>
      </c>
      <c r="K57" s="101" t="s">
        <v>103</v>
      </c>
      <c r="L57" s="104" t="s">
        <v>104</v>
      </c>
      <c r="M57" s="175">
        <f>F57*1.71</f>
        <v>3249000</v>
      </c>
      <c r="N57" s="175">
        <f>F57*1.29</f>
        <v>2451000</v>
      </c>
      <c r="O57" s="108">
        <f>N57*40%</f>
        <v>980400</v>
      </c>
      <c r="P57" s="108" t="s">
        <v>61</v>
      </c>
      <c r="Q57" s="104">
        <v>0</v>
      </c>
      <c r="R57" s="113">
        <f>+(Q57*M57)/30</f>
        <v>0</v>
      </c>
      <c r="S57" s="115">
        <f>+M57*R57</f>
        <v>0</v>
      </c>
      <c r="T57" s="117"/>
      <c r="U57" s="115"/>
      <c r="V57" s="62"/>
      <c r="W57" s="47" t="s">
        <v>63</v>
      </c>
      <c r="X57" s="63"/>
      <c r="Y57" s="47"/>
      <c r="Z57" s="64"/>
      <c r="AA57" s="64"/>
      <c r="AB57" s="62"/>
      <c r="AC57" s="139" t="s">
        <v>105</v>
      </c>
      <c r="AD57" s="101" t="s">
        <v>86</v>
      </c>
      <c r="AE57" s="139" t="s">
        <v>106</v>
      </c>
    </row>
    <row r="58" spans="2:33" ht="24" customHeight="1" x14ac:dyDescent="0.2">
      <c r="B58" s="99"/>
      <c r="C58" s="102"/>
      <c r="D58" s="105"/>
      <c r="E58" s="169"/>
      <c r="F58" s="109"/>
      <c r="G58" s="109"/>
      <c r="H58" s="109"/>
      <c r="I58" s="109"/>
      <c r="J58" s="109"/>
      <c r="K58" s="102"/>
      <c r="L58" s="105"/>
      <c r="M58" s="176"/>
      <c r="N58" s="176"/>
      <c r="O58" s="109"/>
      <c r="P58" s="109"/>
      <c r="Q58" s="105"/>
      <c r="R58" s="114"/>
      <c r="S58" s="116"/>
      <c r="T58" s="118"/>
      <c r="U58" s="116"/>
      <c r="V58" s="5"/>
      <c r="W58" s="37" t="s">
        <v>68</v>
      </c>
      <c r="X58" s="5"/>
      <c r="Y58" s="37"/>
      <c r="Z58" s="6"/>
      <c r="AA58" s="6"/>
      <c r="AB58" s="5"/>
      <c r="AC58" s="136"/>
      <c r="AD58" s="102"/>
      <c r="AE58" s="145"/>
    </row>
    <row r="59" spans="2:33" ht="24" customHeight="1" x14ac:dyDescent="0.2">
      <c r="B59" s="99"/>
      <c r="C59" s="102"/>
      <c r="D59" s="105"/>
      <c r="E59" s="169"/>
      <c r="F59" s="109"/>
      <c r="G59" s="109"/>
      <c r="H59" s="109"/>
      <c r="I59" s="109"/>
      <c r="J59" s="109"/>
      <c r="K59" s="102"/>
      <c r="L59" s="105"/>
      <c r="M59" s="176"/>
      <c r="N59" s="176"/>
      <c r="O59" s="109"/>
      <c r="P59" s="109"/>
      <c r="Q59" s="105"/>
      <c r="R59" s="114"/>
      <c r="S59" s="116"/>
      <c r="T59" s="118"/>
      <c r="U59" s="116"/>
      <c r="V59" s="32" t="s">
        <v>107</v>
      </c>
      <c r="W59" s="37" t="s">
        <v>70</v>
      </c>
      <c r="X59" s="37">
        <v>1</v>
      </c>
      <c r="Y59" s="82">
        <v>43334</v>
      </c>
      <c r="Z59" s="36">
        <v>3100</v>
      </c>
      <c r="AA59" s="36"/>
      <c r="AB59" s="32" t="s">
        <v>5</v>
      </c>
      <c r="AC59" s="136"/>
      <c r="AD59" s="102"/>
      <c r="AE59" s="145"/>
    </row>
    <row r="60" spans="2:33" ht="24" customHeight="1" x14ac:dyDescent="0.2">
      <c r="B60" s="99"/>
      <c r="C60" s="102"/>
      <c r="D60" s="105"/>
      <c r="E60" s="169"/>
      <c r="F60" s="109"/>
      <c r="G60" s="109"/>
      <c r="H60" s="109"/>
      <c r="I60" s="109"/>
      <c r="J60" s="109"/>
      <c r="K60" s="102"/>
      <c r="L60" s="105"/>
      <c r="M60" s="176"/>
      <c r="N60" s="176"/>
      <c r="O60" s="109"/>
      <c r="P60" s="109" t="s">
        <v>72</v>
      </c>
      <c r="Q60" s="87">
        <v>0</v>
      </c>
      <c r="R60" s="114">
        <f>+(Q60*M57)/30</f>
        <v>0</v>
      </c>
      <c r="S60" s="116">
        <f>+M60*R60</f>
        <v>0</v>
      </c>
      <c r="T60" s="118">
        <v>1200000</v>
      </c>
      <c r="U60" s="116" t="s">
        <v>108</v>
      </c>
      <c r="V60" s="32" t="s">
        <v>109</v>
      </c>
      <c r="W60" s="37" t="s">
        <v>63</v>
      </c>
      <c r="X60" s="102">
        <v>23</v>
      </c>
      <c r="Y60" s="171">
        <v>996667</v>
      </c>
      <c r="Z60" s="20">
        <v>124600</v>
      </c>
      <c r="AA60" s="20"/>
      <c r="AB60" s="136" t="s">
        <v>103</v>
      </c>
      <c r="AC60" s="136"/>
      <c r="AD60" s="102"/>
      <c r="AE60" s="145"/>
    </row>
    <row r="61" spans="2:33" ht="24" customHeight="1" x14ac:dyDescent="0.2">
      <c r="B61" s="99"/>
      <c r="C61" s="102"/>
      <c r="D61" s="105"/>
      <c r="E61" s="169"/>
      <c r="F61" s="109"/>
      <c r="G61" s="109"/>
      <c r="H61" s="109"/>
      <c r="I61" s="109"/>
      <c r="J61" s="109"/>
      <c r="K61" s="102"/>
      <c r="L61" s="105"/>
      <c r="M61" s="176"/>
      <c r="N61" s="176"/>
      <c r="O61" s="109"/>
      <c r="P61" s="109"/>
      <c r="Q61" s="87"/>
      <c r="R61" s="114"/>
      <c r="S61" s="116"/>
      <c r="T61" s="118"/>
      <c r="U61" s="116"/>
      <c r="V61" s="32"/>
      <c r="W61" s="37" t="s">
        <v>68</v>
      </c>
      <c r="X61" s="102"/>
      <c r="Y61" s="171"/>
      <c r="Z61" s="20">
        <v>159500</v>
      </c>
      <c r="AA61" s="20"/>
      <c r="AB61" s="136"/>
      <c r="AC61" s="136"/>
      <c r="AD61" s="102"/>
      <c r="AE61" s="145"/>
    </row>
    <row r="62" spans="2:33" ht="24" customHeight="1" x14ac:dyDescent="0.2">
      <c r="B62" s="99"/>
      <c r="C62" s="102"/>
      <c r="D62" s="105"/>
      <c r="E62" s="169"/>
      <c r="F62" s="109"/>
      <c r="G62" s="109" t="s">
        <v>71</v>
      </c>
      <c r="H62" s="109">
        <f>F57*16%</f>
        <v>304000</v>
      </c>
      <c r="I62" s="109">
        <f>+H62/30</f>
        <v>10133.333333333334</v>
      </c>
      <c r="J62" s="109"/>
      <c r="K62" s="102"/>
      <c r="L62" s="105"/>
      <c r="M62" s="176"/>
      <c r="N62" s="176"/>
      <c r="O62" s="109"/>
      <c r="P62" s="109"/>
      <c r="Q62" s="87"/>
      <c r="R62" s="114"/>
      <c r="S62" s="116"/>
      <c r="T62" s="118"/>
      <c r="U62" s="116"/>
      <c r="V62" s="32" t="s">
        <v>110</v>
      </c>
      <c r="W62" s="37" t="s">
        <v>70</v>
      </c>
      <c r="X62" s="37">
        <v>30</v>
      </c>
      <c r="Y62" s="20">
        <v>1300000</v>
      </c>
      <c r="Z62" s="20">
        <v>90500</v>
      </c>
      <c r="AA62" s="20"/>
      <c r="AB62" s="32" t="s">
        <v>5</v>
      </c>
      <c r="AC62" s="136"/>
      <c r="AD62" s="102"/>
      <c r="AE62" s="145"/>
    </row>
    <row r="63" spans="2:33" ht="24" customHeight="1" x14ac:dyDescent="0.2">
      <c r="B63" s="99"/>
      <c r="C63" s="102"/>
      <c r="D63" s="105"/>
      <c r="E63" s="169"/>
      <c r="F63" s="109"/>
      <c r="G63" s="109"/>
      <c r="H63" s="109"/>
      <c r="I63" s="109"/>
      <c r="J63" s="109"/>
      <c r="K63" s="102"/>
      <c r="L63" s="105"/>
      <c r="M63" s="176"/>
      <c r="N63" s="176"/>
      <c r="O63" s="109"/>
      <c r="P63" s="109" t="s">
        <v>76</v>
      </c>
      <c r="Q63" s="87">
        <v>0</v>
      </c>
      <c r="R63" s="114">
        <f>(Q63*M57)/30</f>
        <v>0</v>
      </c>
      <c r="S63" s="116">
        <f>+M63*R63</f>
        <v>0</v>
      </c>
      <c r="T63" s="118">
        <v>2800000</v>
      </c>
      <c r="U63" s="116">
        <f>M57-T63</f>
        <v>449000</v>
      </c>
      <c r="V63" s="136" t="s">
        <v>111</v>
      </c>
      <c r="W63" s="37" t="s">
        <v>63</v>
      </c>
      <c r="X63" s="102">
        <v>30</v>
      </c>
      <c r="Y63" s="171">
        <v>1300000</v>
      </c>
      <c r="Z63" s="44">
        <v>162500</v>
      </c>
      <c r="AA63" s="44"/>
      <c r="AB63" s="136" t="s">
        <v>103</v>
      </c>
      <c r="AC63" s="136"/>
      <c r="AD63" s="102"/>
      <c r="AE63" s="145"/>
    </row>
    <row r="64" spans="2:33" ht="24" customHeight="1" x14ac:dyDescent="0.2">
      <c r="B64" s="99"/>
      <c r="C64" s="102"/>
      <c r="D64" s="105"/>
      <c r="E64" s="169"/>
      <c r="F64" s="109"/>
      <c r="G64" s="109"/>
      <c r="H64" s="109"/>
      <c r="I64" s="109"/>
      <c r="J64" s="109"/>
      <c r="K64" s="102"/>
      <c r="L64" s="105"/>
      <c r="M64" s="176"/>
      <c r="N64" s="176"/>
      <c r="O64" s="109"/>
      <c r="P64" s="109"/>
      <c r="Q64" s="87"/>
      <c r="R64" s="114"/>
      <c r="S64" s="116"/>
      <c r="T64" s="118"/>
      <c r="U64" s="116"/>
      <c r="V64" s="136"/>
      <c r="W64" s="37" t="s">
        <v>68</v>
      </c>
      <c r="X64" s="102"/>
      <c r="Y64" s="171"/>
      <c r="Z64" s="20">
        <f>Y63*16%</f>
        <v>208000</v>
      </c>
      <c r="AA64" s="20"/>
      <c r="AB64" s="136"/>
      <c r="AC64" s="136"/>
      <c r="AD64" s="102"/>
      <c r="AE64" s="145"/>
    </row>
    <row r="65" spans="1:33" ht="24" customHeight="1" x14ac:dyDescent="0.2">
      <c r="B65" s="99"/>
      <c r="C65" s="102"/>
      <c r="D65" s="105"/>
      <c r="E65" s="169"/>
      <c r="F65" s="109"/>
      <c r="G65" s="109"/>
      <c r="H65" s="109"/>
      <c r="I65" s="109"/>
      <c r="J65" s="109"/>
      <c r="K65" s="102"/>
      <c r="L65" s="105"/>
      <c r="M65" s="176"/>
      <c r="N65" s="176"/>
      <c r="O65" s="109"/>
      <c r="P65" s="109"/>
      <c r="Q65" s="87"/>
      <c r="R65" s="114"/>
      <c r="S65" s="116"/>
      <c r="T65" s="118"/>
      <c r="U65" s="116"/>
      <c r="V65" s="32" t="s">
        <v>74</v>
      </c>
      <c r="W65" s="37" t="s">
        <v>70</v>
      </c>
      <c r="X65" s="37">
        <v>30</v>
      </c>
      <c r="Y65" s="171"/>
      <c r="Z65" s="20">
        <v>90500</v>
      </c>
      <c r="AA65" s="20"/>
      <c r="AB65" s="32" t="s">
        <v>5</v>
      </c>
      <c r="AC65" s="136"/>
      <c r="AD65" s="102"/>
      <c r="AE65" s="145"/>
    </row>
    <row r="66" spans="1:33" ht="27.75" customHeight="1" x14ac:dyDescent="0.2">
      <c r="B66" s="99"/>
      <c r="C66" s="102"/>
      <c r="D66" s="105"/>
      <c r="E66" s="169"/>
      <c r="F66" s="109"/>
      <c r="G66" s="109"/>
      <c r="H66" s="109"/>
      <c r="I66" s="109"/>
      <c r="J66" s="109"/>
      <c r="K66" s="102" t="s">
        <v>112</v>
      </c>
      <c r="L66" s="105" t="s">
        <v>113</v>
      </c>
      <c r="M66" s="176"/>
      <c r="N66" s="176"/>
      <c r="O66" s="109"/>
      <c r="P66" s="44" t="s">
        <v>76</v>
      </c>
      <c r="Q66" s="39">
        <v>3</v>
      </c>
      <c r="R66" s="38">
        <f>+(Q66*E57)/30</f>
        <v>0.1</v>
      </c>
      <c r="S66" s="27">
        <f>+R66*J57</f>
        <v>338200</v>
      </c>
      <c r="T66" s="54"/>
      <c r="U66" s="27"/>
      <c r="V66" s="32" t="s">
        <v>110</v>
      </c>
      <c r="W66" s="37" t="s">
        <v>70</v>
      </c>
      <c r="X66" s="37">
        <v>1</v>
      </c>
      <c r="Y66" s="82">
        <v>43334</v>
      </c>
      <c r="Z66" s="20">
        <v>3100</v>
      </c>
      <c r="AA66" s="20"/>
      <c r="AB66" s="32" t="s">
        <v>5</v>
      </c>
      <c r="AC66" s="145" t="s">
        <v>80</v>
      </c>
      <c r="AD66" s="136" t="s">
        <v>80</v>
      </c>
      <c r="AE66" s="145" t="s">
        <v>80</v>
      </c>
    </row>
    <row r="67" spans="1:33" ht="14.45" customHeight="1" x14ac:dyDescent="0.2">
      <c r="B67" s="99"/>
      <c r="C67" s="102"/>
      <c r="D67" s="105"/>
      <c r="E67" s="169"/>
      <c r="F67" s="109"/>
      <c r="G67" s="109"/>
      <c r="H67" s="109"/>
      <c r="I67" s="109"/>
      <c r="J67" s="109"/>
      <c r="K67" s="102"/>
      <c r="L67" s="105"/>
      <c r="M67" s="176"/>
      <c r="N67" s="176"/>
      <c r="O67" s="109"/>
      <c r="P67" s="109" t="s">
        <v>79</v>
      </c>
      <c r="Q67" s="105">
        <v>17</v>
      </c>
      <c r="R67" s="114">
        <f>+(Q67*E57)/30</f>
        <v>0.56666666666666665</v>
      </c>
      <c r="S67" s="116">
        <f>+R67*J57</f>
        <v>1916466.6666666665</v>
      </c>
      <c r="T67" s="118"/>
      <c r="U67" s="116"/>
      <c r="V67" s="32"/>
      <c r="W67" s="37" t="s">
        <v>63</v>
      </c>
      <c r="X67" s="37"/>
      <c r="Y67" s="37"/>
      <c r="Z67" s="37"/>
      <c r="AA67" s="37"/>
      <c r="AB67" s="32"/>
      <c r="AC67" s="145"/>
      <c r="AD67" s="136"/>
      <c r="AE67" s="145"/>
      <c r="AG67" s="65"/>
    </row>
    <row r="68" spans="1:33" ht="15" customHeight="1" x14ac:dyDescent="0.2">
      <c r="B68" s="99"/>
      <c r="C68" s="102"/>
      <c r="D68" s="105"/>
      <c r="E68" s="169"/>
      <c r="F68" s="109"/>
      <c r="G68" s="109"/>
      <c r="H68" s="109"/>
      <c r="I68" s="109"/>
      <c r="J68" s="109"/>
      <c r="K68" s="102"/>
      <c r="L68" s="105"/>
      <c r="M68" s="176"/>
      <c r="N68" s="176"/>
      <c r="O68" s="109"/>
      <c r="P68" s="109"/>
      <c r="Q68" s="105"/>
      <c r="R68" s="114"/>
      <c r="S68" s="116"/>
      <c r="T68" s="118"/>
      <c r="U68" s="116"/>
      <c r="V68" s="32"/>
      <c r="W68" s="37" t="s">
        <v>68</v>
      </c>
      <c r="X68" s="37"/>
      <c r="Y68" s="37"/>
      <c r="Z68" s="37"/>
      <c r="AA68" s="37"/>
      <c r="AB68" s="32"/>
      <c r="AC68" s="145"/>
      <c r="AD68" s="136"/>
      <c r="AE68" s="145"/>
    </row>
    <row r="69" spans="1:33" ht="14.45" customHeight="1" x14ac:dyDescent="0.2">
      <c r="B69" s="99"/>
      <c r="C69" s="102"/>
      <c r="D69" s="105"/>
      <c r="E69" s="169"/>
      <c r="F69" s="109"/>
      <c r="G69" s="105" t="s">
        <v>75</v>
      </c>
      <c r="H69" s="109">
        <f>F57*6.96%</f>
        <v>132240</v>
      </c>
      <c r="I69" s="109">
        <f>+H69/30</f>
        <v>4408</v>
      </c>
      <c r="J69" s="109"/>
      <c r="K69" s="102"/>
      <c r="L69" s="105"/>
      <c r="M69" s="176"/>
      <c r="N69" s="176"/>
      <c r="O69" s="109"/>
      <c r="P69" s="109"/>
      <c r="Q69" s="105"/>
      <c r="R69" s="114"/>
      <c r="S69" s="116"/>
      <c r="T69" s="118"/>
      <c r="U69" s="116"/>
      <c r="V69" s="32"/>
      <c r="W69" s="37" t="s">
        <v>70</v>
      </c>
      <c r="X69" s="37"/>
      <c r="Y69" s="37"/>
      <c r="Z69" s="37"/>
      <c r="AA69" s="37"/>
      <c r="AB69" s="32"/>
      <c r="AC69" s="145"/>
      <c r="AD69" s="136"/>
      <c r="AE69" s="145"/>
    </row>
    <row r="70" spans="1:33" ht="15" customHeight="1" x14ac:dyDescent="0.2">
      <c r="B70" s="99"/>
      <c r="C70" s="102"/>
      <c r="D70" s="105"/>
      <c r="E70" s="169"/>
      <c r="F70" s="109"/>
      <c r="G70" s="105"/>
      <c r="H70" s="109"/>
      <c r="I70" s="109"/>
      <c r="J70" s="109"/>
      <c r="K70" s="102"/>
      <c r="L70" s="105"/>
      <c r="M70" s="176"/>
      <c r="N70" s="176"/>
      <c r="O70" s="109"/>
      <c r="P70" s="109" t="s">
        <v>81</v>
      </c>
      <c r="Q70" s="105">
        <v>6</v>
      </c>
      <c r="R70" s="114">
        <f>+(Q70*E57)/30</f>
        <v>0.2</v>
      </c>
      <c r="S70" s="116">
        <f>+R70*M57</f>
        <v>649800</v>
      </c>
      <c r="T70" s="118"/>
      <c r="U70" s="116"/>
      <c r="V70" s="32"/>
      <c r="W70" s="37" t="s">
        <v>63</v>
      </c>
      <c r="X70" s="37"/>
      <c r="Y70" s="37"/>
      <c r="Z70" s="37"/>
      <c r="AA70" s="37"/>
      <c r="AB70" s="32"/>
      <c r="AC70" s="145"/>
      <c r="AD70" s="136"/>
      <c r="AE70" s="145"/>
    </row>
    <row r="71" spans="1:33" ht="15" customHeight="1" x14ac:dyDescent="0.2">
      <c r="B71" s="99"/>
      <c r="C71" s="102"/>
      <c r="D71" s="105"/>
      <c r="E71" s="169"/>
      <c r="F71" s="109"/>
      <c r="G71" s="105"/>
      <c r="H71" s="109"/>
      <c r="I71" s="109"/>
      <c r="J71" s="109"/>
      <c r="K71" s="102"/>
      <c r="L71" s="105"/>
      <c r="M71" s="176"/>
      <c r="N71" s="176"/>
      <c r="O71" s="109"/>
      <c r="P71" s="109"/>
      <c r="Q71" s="105"/>
      <c r="R71" s="114"/>
      <c r="S71" s="116"/>
      <c r="T71" s="118"/>
      <c r="U71" s="116"/>
      <c r="V71" s="32"/>
      <c r="W71" s="37" t="s">
        <v>68</v>
      </c>
      <c r="X71" s="37"/>
      <c r="Y71" s="37"/>
      <c r="Z71" s="37"/>
      <c r="AA71" s="37"/>
      <c r="AB71" s="32"/>
      <c r="AC71" s="145"/>
      <c r="AD71" s="136"/>
      <c r="AE71" s="145"/>
    </row>
    <row r="72" spans="1:33" ht="15.75" customHeight="1" thickBot="1" x14ac:dyDescent="0.25">
      <c r="B72" s="168"/>
      <c r="C72" s="167"/>
      <c r="D72" s="96"/>
      <c r="E72" s="170"/>
      <c r="F72" s="166"/>
      <c r="G72" s="96"/>
      <c r="H72" s="166"/>
      <c r="I72" s="166"/>
      <c r="J72" s="166"/>
      <c r="K72" s="167"/>
      <c r="L72" s="96"/>
      <c r="M72" s="177"/>
      <c r="N72" s="177"/>
      <c r="O72" s="166"/>
      <c r="P72" s="166"/>
      <c r="Q72" s="96"/>
      <c r="R72" s="178"/>
      <c r="S72" s="174"/>
      <c r="T72" s="179"/>
      <c r="U72" s="174"/>
      <c r="V72" s="28"/>
      <c r="W72" s="45" t="s">
        <v>70</v>
      </c>
      <c r="X72" s="45"/>
      <c r="Y72" s="45"/>
      <c r="Z72" s="45"/>
      <c r="AA72" s="45"/>
      <c r="AB72" s="28"/>
      <c r="AC72" s="172"/>
      <c r="AD72" s="173"/>
      <c r="AE72" s="172"/>
    </row>
    <row r="73" spans="1:33" ht="36" customHeight="1" thickBot="1" x14ac:dyDescent="0.25">
      <c r="B73" s="22"/>
      <c r="C73" s="23"/>
      <c r="D73" s="24"/>
      <c r="E73" s="25"/>
      <c r="F73" s="26">
        <f>SUM(F12:F72)</f>
        <v>8381250</v>
      </c>
      <c r="G73" s="26"/>
      <c r="H73" s="26">
        <f>SUM(H12:H72)</f>
        <v>2971991.25</v>
      </c>
      <c r="I73" s="69">
        <f>SUM(I12:I72)</f>
        <v>99066.875</v>
      </c>
      <c r="J73" s="75">
        <f>SUM(J12:J72)</f>
        <v>14918625</v>
      </c>
      <c r="K73" s="4"/>
      <c r="L73" s="9"/>
      <c r="M73" s="30">
        <f>SUM(M12:M72)</f>
        <v>14331937.5</v>
      </c>
      <c r="N73" s="9"/>
      <c r="O73" s="9"/>
      <c r="P73" s="9"/>
      <c r="Q73" s="9"/>
      <c r="R73" s="9"/>
      <c r="S73" s="74">
        <f>SUM(S12:S72)</f>
        <v>10151341.666666666</v>
      </c>
      <c r="T73" s="55">
        <f>SUM(T12:T72)</f>
        <v>24133875</v>
      </c>
      <c r="U73" s="52">
        <f>SUM(U12:U72)</f>
        <v>2747000</v>
      </c>
      <c r="V73" s="8"/>
      <c r="W73" s="8"/>
      <c r="X73" s="8"/>
      <c r="Y73" s="83"/>
      <c r="Z73" s="14"/>
      <c r="AA73" s="14"/>
      <c r="AB73" s="8"/>
      <c r="AC73" s="17"/>
    </row>
    <row r="74" spans="1:33" ht="36" customHeight="1" thickBot="1" x14ac:dyDescent="0.25">
      <c r="B74" s="15"/>
      <c r="C74" s="15"/>
      <c r="D74" s="8"/>
      <c r="E74" s="16"/>
      <c r="F74" s="10"/>
      <c r="G74" s="10"/>
      <c r="H74" s="10"/>
      <c r="I74" s="76" t="s">
        <v>114</v>
      </c>
      <c r="J74" s="77">
        <f>J73*2</f>
        <v>29837250</v>
      </c>
      <c r="K74" s="4"/>
      <c r="L74" s="9"/>
      <c r="M74" s="9">
        <f>M73*2</f>
        <v>28663875</v>
      </c>
      <c r="N74" s="9"/>
      <c r="O74" s="9"/>
      <c r="P74" s="67"/>
      <c r="Q74" s="9"/>
      <c r="R74" s="78" t="s">
        <v>115</v>
      </c>
      <c r="S74" s="79">
        <f>Z14+Z17+Z20+Z23+Z26+Z32+Z35+Z44+Z47+Z50+Z59+Z62+Z65+Z66</f>
        <v>706300</v>
      </c>
      <c r="T74" s="80">
        <f>J74-T73</f>
        <v>5703375</v>
      </c>
      <c r="U74" s="9"/>
      <c r="V74" s="21"/>
      <c r="W74" s="8"/>
      <c r="X74" s="8"/>
      <c r="Y74" s="8"/>
      <c r="Z74" s="14"/>
      <c r="AA74" s="14"/>
      <c r="AB74" s="9"/>
    </row>
    <row r="75" spans="1:33" ht="29.45" customHeight="1" x14ac:dyDescent="0.2">
      <c r="A75" s="138" t="s">
        <v>116</v>
      </c>
      <c r="B75" s="121"/>
      <c r="C75" s="196"/>
      <c r="F75" s="194" t="s">
        <v>117</v>
      </c>
      <c r="G75" s="195"/>
      <c r="H75" s="195"/>
      <c r="I75" s="195"/>
      <c r="K75" s="102" t="s">
        <v>118</v>
      </c>
      <c r="L75" s="102"/>
      <c r="M75" s="102"/>
      <c r="N75" s="102"/>
      <c r="Q75" s="181"/>
      <c r="R75" s="182"/>
      <c r="S75" s="182"/>
      <c r="T75" s="182"/>
      <c r="U75" s="182"/>
      <c r="V75" s="182"/>
      <c r="W75" s="182"/>
      <c r="X75" s="182"/>
      <c r="Y75" s="183"/>
    </row>
    <row r="76" spans="1:33" ht="32.25" customHeight="1" x14ac:dyDescent="0.2">
      <c r="A76" s="39" t="s">
        <v>119</v>
      </c>
      <c r="B76" s="59" t="s">
        <v>120</v>
      </c>
      <c r="C76" s="49">
        <v>1</v>
      </c>
      <c r="F76" s="39" t="s">
        <v>119</v>
      </c>
      <c r="G76" s="102" t="s">
        <v>120</v>
      </c>
      <c r="H76" s="102"/>
      <c r="I76" s="49">
        <v>1</v>
      </c>
      <c r="K76" s="39" t="s">
        <v>119</v>
      </c>
      <c r="L76" s="102" t="s">
        <v>120</v>
      </c>
      <c r="M76" s="102"/>
      <c r="N76" s="49">
        <v>1</v>
      </c>
      <c r="Q76" s="184"/>
      <c r="R76" s="185"/>
      <c r="S76" s="185"/>
      <c r="T76" s="185"/>
      <c r="U76" s="185"/>
      <c r="V76" s="185"/>
      <c r="W76" s="185"/>
      <c r="X76" s="185"/>
      <c r="Y76" s="186"/>
    </row>
    <row r="77" spans="1:33" ht="32.25" customHeight="1" x14ac:dyDescent="0.2">
      <c r="A77" s="8" t="s">
        <v>121</v>
      </c>
      <c r="B77" s="33" t="s">
        <v>122</v>
      </c>
      <c r="C77" s="11">
        <v>0.3629</v>
      </c>
      <c r="F77" s="39" t="s">
        <v>121</v>
      </c>
      <c r="G77" s="105" t="s">
        <v>122</v>
      </c>
      <c r="H77" s="105"/>
      <c r="I77" s="11">
        <v>0.3629</v>
      </c>
      <c r="K77" s="39" t="s">
        <v>121</v>
      </c>
      <c r="L77" s="105" t="s">
        <v>123</v>
      </c>
      <c r="M77" s="105"/>
      <c r="N77" s="48">
        <v>0.02</v>
      </c>
      <c r="Q77" s="184"/>
      <c r="R77" s="185"/>
      <c r="S77" s="185"/>
      <c r="T77" s="185"/>
      <c r="U77" s="185"/>
      <c r="V77" s="185"/>
      <c r="W77" s="185"/>
      <c r="X77" s="185"/>
      <c r="Y77" s="186"/>
    </row>
    <row r="78" spans="1:33" ht="32.25" customHeight="1" x14ac:dyDescent="0.2">
      <c r="A78" s="39" t="s">
        <v>124</v>
      </c>
      <c r="B78" s="53" t="s">
        <v>125</v>
      </c>
      <c r="C78" s="11">
        <v>0.27460000000000001</v>
      </c>
      <c r="F78" s="39" t="s">
        <v>124</v>
      </c>
      <c r="G78" s="105" t="s">
        <v>126</v>
      </c>
      <c r="H78" s="105"/>
      <c r="I78" s="11">
        <f>27.46%-6.96%</f>
        <v>0.20500000000000002</v>
      </c>
      <c r="K78" s="39" t="s">
        <v>124</v>
      </c>
      <c r="L78" s="105" t="s">
        <v>125</v>
      </c>
      <c r="M78" s="105"/>
      <c r="N78" s="11">
        <v>0.27460000000000001</v>
      </c>
      <c r="Q78" s="184"/>
      <c r="R78" s="185"/>
      <c r="S78" s="185"/>
      <c r="T78" s="185"/>
      <c r="U78" s="185"/>
      <c r="V78" s="185"/>
      <c r="W78" s="185"/>
      <c r="X78" s="185"/>
      <c r="Y78" s="186"/>
    </row>
    <row r="79" spans="1:33" ht="32.25" customHeight="1" x14ac:dyDescent="0.2">
      <c r="A79" s="39" t="s">
        <v>127</v>
      </c>
      <c r="B79" s="33" t="s">
        <v>128</v>
      </c>
      <c r="C79" s="48">
        <v>0.09</v>
      </c>
      <c r="F79" s="39" t="s">
        <v>127</v>
      </c>
      <c r="G79" s="105" t="s">
        <v>128</v>
      </c>
      <c r="H79" s="105"/>
      <c r="I79" s="48">
        <v>0.09</v>
      </c>
      <c r="K79" s="39" t="s">
        <v>127</v>
      </c>
      <c r="L79" s="105" t="s">
        <v>128</v>
      </c>
      <c r="M79" s="105"/>
      <c r="N79" s="48">
        <v>0</v>
      </c>
      <c r="Q79" s="184"/>
      <c r="R79" s="185"/>
      <c r="S79" s="185"/>
      <c r="T79" s="185"/>
      <c r="U79" s="185"/>
      <c r="V79" s="185"/>
      <c r="W79" s="185"/>
      <c r="X79" s="185"/>
      <c r="Y79" s="186"/>
    </row>
    <row r="80" spans="1:33" ht="32.25" customHeight="1" x14ac:dyDescent="0.2">
      <c r="A80" s="39" t="s">
        <v>129</v>
      </c>
      <c r="B80" s="18" t="s">
        <v>130</v>
      </c>
      <c r="C80" s="11">
        <v>3.5000000000000003E-2</v>
      </c>
      <c r="F80" s="39" t="s">
        <v>129</v>
      </c>
      <c r="G80" s="102" t="s">
        <v>130</v>
      </c>
      <c r="H80" s="102"/>
      <c r="I80" s="11">
        <v>3.5000000000000003E-2</v>
      </c>
      <c r="K80" s="39" t="s">
        <v>129</v>
      </c>
      <c r="L80" s="102" t="s">
        <v>130</v>
      </c>
      <c r="M80" s="102"/>
      <c r="N80" s="11">
        <v>0</v>
      </c>
      <c r="Q80" s="184"/>
      <c r="R80" s="185"/>
      <c r="S80" s="185"/>
      <c r="T80" s="185"/>
      <c r="U80" s="185"/>
      <c r="V80" s="185"/>
      <c r="W80" s="185"/>
      <c r="X80" s="185"/>
      <c r="Y80" s="186"/>
    </row>
    <row r="81" spans="1:25" ht="45.75" customHeight="1" x14ac:dyDescent="0.2">
      <c r="A81" s="39" t="s">
        <v>131</v>
      </c>
      <c r="B81" s="18" t="s">
        <v>132</v>
      </c>
      <c r="C81" s="48">
        <v>0.02</v>
      </c>
      <c r="F81" s="39" t="s">
        <v>131</v>
      </c>
      <c r="G81" s="102" t="s">
        <v>132</v>
      </c>
      <c r="H81" s="102"/>
      <c r="I81" s="48">
        <v>0.02</v>
      </c>
      <c r="K81" s="39" t="s">
        <v>131</v>
      </c>
      <c r="L81" s="102" t="s">
        <v>132</v>
      </c>
      <c r="M81" s="102"/>
      <c r="N81" s="48">
        <v>0</v>
      </c>
      <c r="Q81" s="184"/>
      <c r="R81" s="185"/>
      <c r="S81" s="185"/>
      <c r="T81" s="185"/>
      <c r="U81" s="185"/>
      <c r="V81" s="185"/>
      <c r="W81" s="185"/>
      <c r="X81" s="185"/>
      <c r="Y81" s="186"/>
    </row>
    <row r="82" spans="1:25" ht="42" customHeight="1" thickBot="1" x14ac:dyDescent="0.25">
      <c r="A82" s="88" t="s">
        <v>133</v>
      </c>
      <c r="B82" s="89"/>
      <c r="C82" s="12">
        <f>SUM(C76:C81)/100</f>
        <v>1.7825000000000001E-2</v>
      </c>
      <c r="F82" s="88" t="s">
        <v>133</v>
      </c>
      <c r="G82" s="122"/>
      <c r="H82" s="89"/>
      <c r="I82" s="12">
        <f>SUM(I76:I81)/100</f>
        <v>1.7129000000000002E-2</v>
      </c>
      <c r="K82" s="88" t="s">
        <v>133</v>
      </c>
      <c r="L82" s="122"/>
      <c r="M82" s="89"/>
      <c r="N82" s="12">
        <f>SUM(N76:N81)/100</f>
        <v>1.2945999999999999E-2</v>
      </c>
      <c r="Q82" s="187"/>
      <c r="R82" s="188"/>
      <c r="S82" s="188"/>
      <c r="T82" s="188"/>
      <c r="U82" s="188"/>
      <c r="V82" s="188"/>
      <c r="W82" s="188"/>
      <c r="X82" s="188"/>
      <c r="Y82" s="189"/>
    </row>
    <row r="83" spans="1:25" x14ac:dyDescent="0.2">
      <c r="K83" s="4"/>
      <c r="L83" s="13"/>
      <c r="M83" s="13"/>
      <c r="N83" s="13"/>
      <c r="O83" s="13"/>
      <c r="P83" s="13"/>
    </row>
    <row r="84" spans="1:25" x14ac:dyDescent="0.2">
      <c r="K84" s="4"/>
      <c r="L84" s="13"/>
      <c r="M84" s="13"/>
      <c r="N84" s="13"/>
      <c r="O84" s="13"/>
      <c r="P84" s="13"/>
    </row>
    <row r="86" spans="1:25" ht="15" customHeight="1" x14ac:dyDescent="0.2">
      <c r="A86" s="180" t="s">
        <v>134</v>
      </c>
      <c r="B86" s="180"/>
      <c r="C86" s="180"/>
    </row>
    <row r="87" spans="1:25" ht="38.25" customHeight="1" x14ac:dyDescent="0.2">
      <c r="A87" s="39" t="s">
        <v>121</v>
      </c>
      <c r="B87" s="33" t="s">
        <v>122</v>
      </c>
      <c r="C87" s="11">
        <f>36.29%-2%</f>
        <v>0.34289999999999998</v>
      </c>
      <c r="F87" s="8"/>
      <c r="G87" s="70"/>
      <c r="H87" s="71"/>
    </row>
    <row r="88" spans="1:25" x14ac:dyDescent="0.2">
      <c r="C88" s="68"/>
      <c r="H88" s="68"/>
    </row>
  </sheetData>
  <mergeCells count="335">
    <mergeCell ref="A86:C86"/>
    <mergeCell ref="Q75:Y82"/>
    <mergeCell ref="S4:U4"/>
    <mergeCell ref="I6:J6"/>
    <mergeCell ref="I7:J7"/>
    <mergeCell ref="Q6:R6"/>
    <mergeCell ref="Q7:R7"/>
    <mergeCell ref="L77:M77"/>
    <mergeCell ref="L78:M78"/>
    <mergeCell ref="L79:M79"/>
    <mergeCell ref="L80:M80"/>
    <mergeCell ref="L81:M81"/>
    <mergeCell ref="K82:M82"/>
    <mergeCell ref="N27:N41"/>
    <mergeCell ref="N42:N56"/>
    <mergeCell ref="N57:N72"/>
    <mergeCell ref="F75:I75"/>
    <mergeCell ref="K75:N75"/>
    <mergeCell ref="L76:M76"/>
    <mergeCell ref="A82:B82"/>
    <mergeCell ref="A75:C75"/>
    <mergeCell ref="G76:H76"/>
    <mergeCell ref="G77:H77"/>
    <mergeCell ref="G78:H78"/>
    <mergeCell ref="G79:H79"/>
    <mergeCell ref="G80:H80"/>
    <mergeCell ref="G81:H81"/>
    <mergeCell ref="U10:U11"/>
    <mergeCell ref="M57:M72"/>
    <mergeCell ref="M42:M56"/>
    <mergeCell ref="M27:M41"/>
    <mergeCell ref="F82:H82"/>
    <mergeCell ref="G69:G72"/>
    <mergeCell ref="H69:H72"/>
    <mergeCell ref="I69:I72"/>
    <mergeCell ref="P70:P72"/>
    <mergeCell ref="Q70:Q72"/>
    <mergeCell ref="R70:R72"/>
    <mergeCell ref="S70:S72"/>
    <mergeCell ref="T70:T72"/>
    <mergeCell ref="T63:T65"/>
    <mergeCell ref="U63:U65"/>
    <mergeCell ref="U57:U59"/>
    <mergeCell ref="H57:H61"/>
    <mergeCell ref="I57:I61"/>
    <mergeCell ref="J57:J72"/>
    <mergeCell ref="K57:K65"/>
    <mergeCell ref="L57:L65"/>
    <mergeCell ref="Y60:Y61"/>
    <mergeCell ref="AB60:AB61"/>
    <mergeCell ref="AC66:AC72"/>
    <mergeCell ref="AD66:AD72"/>
    <mergeCell ref="AE66:AE72"/>
    <mergeCell ref="P67:P69"/>
    <mergeCell ref="Q67:Q69"/>
    <mergeCell ref="R67:R69"/>
    <mergeCell ref="S67:S69"/>
    <mergeCell ref="T67:T69"/>
    <mergeCell ref="U67:U69"/>
    <mergeCell ref="U70:U72"/>
    <mergeCell ref="AC57:AC65"/>
    <mergeCell ref="AD57:AD65"/>
    <mergeCell ref="AE57:AE65"/>
    <mergeCell ref="V63:V64"/>
    <mergeCell ref="X63:X64"/>
    <mergeCell ref="Y63:Y65"/>
    <mergeCell ref="AB63:AB64"/>
    <mergeCell ref="U60:U62"/>
    <mergeCell ref="X60:X61"/>
    <mergeCell ref="Q57:Q59"/>
    <mergeCell ref="R57:R59"/>
    <mergeCell ref="S57:S59"/>
    <mergeCell ref="T57:T59"/>
    <mergeCell ref="P63:P65"/>
    <mergeCell ref="Q63:Q65"/>
    <mergeCell ref="R63:R65"/>
    <mergeCell ref="S63:S65"/>
    <mergeCell ref="P60:P62"/>
    <mergeCell ref="Q60:Q62"/>
    <mergeCell ref="R60:R62"/>
    <mergeCell ref="S60:S62"/>
    <mergeCell ref="T60:T62"/>
    <mergeCell ref="B42:B56"/>
    <mergeCell ref="C42:C56"/>
    <mergeCell ref="D42:D56"/>
    <mergeCell ref="E42:E56"/>
    <mergeCell ref="F42:F56"/>
    <mergeCell ref="G42:G46"/>
    <mergeCell ref="G52:G56"/>
    <mergeCell ref="O57:O72"/>
    <mergeCell ref="P57:P59"/>
    <mergeCell ref="H62:H68"/>
    <mergeCell ref="I62:I68"/>
    <mergeCell ref="K66:K72"/>
    <mergeCell ref="L66:L72"/>
    <mergeCell ref="B57:B72"/>
    <mergeCell ref="C57:C72"/>
    <mergeCell ref="D57:D72"/>
    <mergeCell ref="E57:E72"/>
    <mergeCell ref="F57:F72"/>
    <mergeCell ref="G57:G61"/>
    <mergeCell ref="G62:G68"/>
    <mergeCell ref="O42:O56"/>
    <mergeCell ref="G47:G51"/>
    <mergeCell ref="AC51:AC56"/>
    <mergeCell ref="AD51:AD56"/>
    <mergeCell ref="AE51:AE56"/>
    <mergeCell ref="U48:U50"/>
    <mergeCell ref="V48:V49"/>
    <mergeCell ref="X48:X49"/>
    <mergeCell ref="Y48:Y50"/>
    <mergeCell ref="AB48:AB49"/>
    <mergeCell ref="AB45:AB46"/>
    <mergeCell ref="U54:U56"/>
    <mergeCell ref="AD42:AD50"/>
    <mergeCell ref="AE42:AE50"/>
    <mergeCell ref="AB42:AB43"/>
    <mergeCell ref="AC42:AC50"/>
    <mergeCell ref="U51:U53"/>
    <mergeCell ref="U42:U44"/>
    <mergeCell ref="V42:V43"/>
    <mergeCell ref="X42:X43"/>
    <mergeCell ref="Y42:Y43"/>
    <mergeCell ref="U45:U47"/>
    <mergeCell ref="V45:V46"/>
    <mergeCell ref="X45:X46"/>
    <mergeCell ref="Y45:Y47"/>
    <mergeCell ref="T48:T50"/>
    <mergeCell ref="H42:H46"/>
    <mergeCell ref="I42:I46"/>
    <mergeCell ref="J42:J56"/>
    <mergeCell ref="K42:K56"/>
    <mergeCell ref="L42:L56"/>
    <mergeCell ref="H52:H56"/>
    <mergeCell ref="I52:I56"/>
    <mergeCell ref="H47:H51"/>
    <mergeCell ref="I47:I51"/>
    <mergeCell ref="P48:P50"/>
    <mergeCell ref="Q48:Q50"/>
    <mergeCell ref="R48:R50"/>
    <mergeCell ref="S48:S50"/>
    <mergeCell ref="P54:P56"/>
    <mergeCell ref="Q54:Q56"/>
    <mergeCell ref="R54:R56"/>
    <mergeCell ref="S54:S56"/>
    <mergeCell ref="T54:T56"/>
    <mergeCell ref="P51:P53"/>
    <mergeCell ref="Q51:Q53"/>
    <mergeCell ref="P45:P47"/>
    <mergeCell ref="Q45:Q47"/>
    <mergeCell ref="R45:R47"/>
    <mergeCell ref="P39:P41"/>
    <mergeCell ref="Q39:Q41"/>
    <mergeCell ref="P42:P44"/>
    <mergeCell ref="Q42:Q44"/>
    <mergeCell ref="T39:T41"/>
    <mergeCell ref="R42:R44"/>
    <mergeCell ref="S42:S44"/>
    <mergeCell ref="T42:T44"/>
    <mergeCell ref="R51:R53"/>
    <mergeCell ref="S51:S53"/>
    <mergeCell ref="T51:T53"/>
    <mergeCell ref="S45:S47"/>
    <mergeCell ref="T45:T47"/>
    <mergeCell ref="K36:K41"/>
    <mergeCell ref="L36:L41"/>
    <mergeCell ref="P36:P38"/>
    <mergeCell ref="Q36:Q38"/>
    <mergeCell ref="R36:R38"/>
    <mergeCell ref="S36:S38"/>
    <mergeCell ref="T36:T38"/>
    <mergeCell ref="U36:U38"/>
    <mergeCell ref="O27:O41"/>
    <mergeCell ref="P27:P29"/>
    <mergeCell ref="Q27:Q29"/>
    <mergeCell ref="R27:R29"/>
    <mergeCell ref="S27:S29"/>
    <mergeCell ref="T27:T29"/>
    <mergeCell ref="T33:T35"/>
    <mergeCell ref="P30:P32"/>
    <mergeCell ref="Q30:Q32"/>
    <mergeCell ref="R30:R32"/>
    <mergeCell ref="S30:S32"/>
    <mergeCell ref="T30:T32"/>
    <mergeCell ref="AC36:AC41"/>
    <mergeCell ref="U33:U35"/>
    <mergeCell ref="V33:V35"/>
    <mergeCell ref="X33:X35"/>
    <mergeCell ref="Y33:Y35"/>
    <mergeCell ref="AB33:AB35"/>
    <mergeCell ref="AD36:AD41"/>
    <mergeCell ref="AE36:AE41"/>
    <mergeCell ref="AB30:AB32"/>
    <mergeCell ref="AD27:AD35"/>
    <mergeCell ref="AE27:AE35"/>
    <mergeCell ref="AC27:AC35"/>
    <mergeCell ref="U27:U29"/>
    <mergeCell ref="X27:X29"/>
    <mergeCell ref="Y27:Y29"/>
    <mergeCell ref="Z27:Z29"/>
    <mergeCell ref="AB27:AB29"/>
    <mergeCell ref="U30:U32"/>
    <mergeCell ref="V30:V32"/>
    <mergeCell ref="X30:X32"/>
    <mergeCell ref="Y30:Y32"/>
    <mergeCell ref="U39:U41"/>
    <mergeCell ref="U21:U23"/>
    <mergeCell ref="H27:H30"/>
    <mergeCell ref="I27:I30"/>
    <mergeCell ref="J27:J41"/>
    <mergeCell ref="K27:K35"/>
    <mergeCell ref="L27:L35"/>
    <mergeCell ref="H37:H41"/>
    <mergeCell ref="I37:I41"/>
    <mergeCell ref="B27:B41"/>
    <mergeCell ref="C27:C41"/>
    <mergeCell ref="D27:D41"/>
    <mergeCell ref="E27:E41"/>
    <mergeCell ref="F27:F41"/>
    <mergeCell ref="G27:G30"/>
    <mergeCell ref="G37:G41"/>
    <mergeCell ref="G31:G36"/>
    <mergeCell ref="H31:H36"/>
    <mergeCell ref="I31:I36"/>
    <mergeCell ref="P33:P35"/>
    <mergeCell ref="Q33:Q35"/>
    <mergeCell ref="R33:R35"/>
    <mergeCell ref="S33:S35"/>
    <mergeCell ref="R39:R41"/>
    <mergeCell ref="S39:S41"/>
    <mergeCell ref="AC21:AC26"/>
    <mergeCell ref="AD21:AD26"/>
    <mergeCell ref="AE21:AE26"/>
    <mergeCell ref="U18:U20"/>
    <mergeCell ref="V18:V19"/>
    <mergeCell ref="X18:X19"/>
    <mergeCell ref="Y18:Y19"/>
    <mergeCell ref="AB18:AB19"/>
    <mergeCell ref="G18:G26"/>
    <mergeCell ref="H18:H26"/>
    <mergeCell ref="I18:I26"/>
    <mergeCell ref="P18:P20"/>
    <mergeCell ref="Q18:Q20"/>
    <mergeCell ref="R18:R20"/>
    <mergeCell ref="S18:S20"/>
    <mergeCell ref="T18:T20"/>
    <mergeCell ref="P24:P26"/>
    <mergeCell ref="Q24:Q26"/>
    <mergeCell ref="R24:R26"/>
    <mergeCell ref="S24:S26"/>
    <mergeCell ref="T24:T26"/>
    <mergeCell ref="U24:U26"/>
    <mergeCell ref="P21:P23"/>
    <mergeCell ref="Q21:Q23"/>
    <mergeCell ref="U15:U17"/>
    <mergeCell ref="V15:V16"/>
    <mergeCell ref="X15:X16"/>
    <mergeCell ref="AD12:AD20"/>
    <mergeCell ref="AE12:AE20"/>
    <mergeCell ref="G15:G17"/>
    <mergeCell ref="H15:H17"/>
    <mergeCell ref="I15:I17"/>
    <mergeCell ref="P15:P17"/>
    <mergeCell ref="Q15:Q17"/>
    <mergeCell ref="V12:V13"/>
    <mergeCell ref="X12:X13"/>
    <mergeCell ref="Y12:Y13"/>
    <mergeCell ref="AA12:AA13"/>
    <mergeCell ref="AB12:AB13"/>
    <mergeCell ref="AC12:AC20"/>
    <mergeCell ref="Y15:Y16"/>
    <mergeCell ref="AA15:AA16"/>
    <mergeCell ref="AB15:AB16"/>
    <mergeCell ref="P12:P14"/>
    <mergeCell ref="Q12:Q14"/>
    <mergeCell ref="J12:J26"/>
    <mergeCell ref="K12:K26"/>
    <mergeCell ref="L12:L26"/>
    <mergeCell ref="M12:M26"/>
    <mergeCell ref="O12:O26"/>
    <mergeCell ref="N12:N26"/>
    <mergeCell ref="R15:R17"/>
    <mergeCell ref="S15:S17"/>
    <mergeCell ref="T15:T17"/>
    <mergeCell ref="R21:R23"/>
    <mergeCell ref="S21:S23"/>
    <mergeCell ref="T21:T23"/>
    <mergeCell ref="B2:C2"/>
    <mergeCell ref="D2:AB2"/>
    <mergeCell ref="B3:AB3"/>
    <mergeCell ref="B4:D4"/>
    <mergeCell ref="E4:R4"/>
    <mergeCell ref="V4:W4"/>
    <mergeCell ref="B9:J9"/>
    <mergeCell ref="B10:B11"/>
    <mergeCell ref="C10:C11"/>
    <mergeCell ref="D10:D11"/>
    <mergeCell ref="E10:E11"/>
    <mergeCell ref="F10:F11"/>
    <mergeCell ref="G10:I10"/>
    <mergeCell ref="J10:J11"/>
    <mergeCell ref="K10:K11"/>
    <mergeCell ref="K9:AG9"/>
    <mergeCell ref="AC10:AE10"/>
    <mergeCell ref="V11:W11"/>
    <mergeCell ref="L10:L11"/>
    <mergeCell ref="M10:M11"/>
    <mergeCell ref="O10:O11"/>
    <mergeCell ref="Q10:S10"/>
    <mergeCell ref="T10:T11"/>
    <mergeCell ref="V10:AB10"/>
    <mergeCell ref="AF12:AF20"/>
    <mergeCell ref="AF27:AF35"/>
    <mergeCell ref="AG27:AG35"/>
    <mergeCell ref="AG12:AG20"/>
    <mergeCell ref="AF10:AG10"/>
    <mergeCell ref="B5:AB5"/>
    <mergeCell ref="B6:B7"/>
    <mergeCell ref="C6:E7"/>
    <mergeCell ref="F6:G6"/>
    <mergeCell ref="F7:G7"/>
    <mergeCell ref="B8:AB8"/>
    <mergeCell ref="B12:B26"/>
    <mergeCell ref="C12:C26"/>
    <mergeCell ref="D12:D26"/>
    <mergeCell ref="E12:E26"/>
    <mergeCell ref="F12:F26"/>
    <mergeCell ref="G12:G14"/>
    <mergeCell ref="H12:H14"/>
    <mergeCell ref="N10:N11"/>
    <mergeCell ref="R12:R14"/>
    <mergeCell ref="S12:S14"/>
    <mergeCell ref="T12:T14"/>
    <mergeCell ref="U12:U14"/>
    <mergeCell ref="I12:I14"/>
  </mergeCells>
  <printOptions horizontalCentered="1"/>
  <pageMargins left="0.31496062992125984" right="0.31496062992125984" top="0.35433070866141736" bottom="0.35433070866141736" header="0.31496062992125984" footer="0.31496062992125984"/>
  <pageSetup paperSize="14" scale="4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EB947113BF81A4DBED144AF26B037C3" ma:contentTypeVersion="18" ma:contentTypeDescription="Crear nuevo documento." ma:contentTypeScope="" ma:versionID="d47d6d6b9a13a66e487b3fee8f08315a">
  <xsd:schema xmlns:xsd="http://www.w3.org/2001/XMLSchema" xmlns:xs="http://www.w3.org/2001/XMLSchema" xmlns:p="http://schemas.microsoft.com/office/2006/metadata/properties" xmlns:ns3="e74a8a9c-290b-4b32-844c-a04f24fa40db" xmlns:ns4="ff9e9658-3ff9-4ea3-a783-e89e40813621" targetNamespace="http://schemas.microsoft.com/office/2006/metadata/properties" ma:root="true" ma:fieldsID="7cb07dd6a6d9e600b7cb36479abbd583" ns3:_="" ns4:_="">
    <xsd:import namespace="e74a8a9c-290b-4b32-844c-a04f24fa40db"/>
    <xsd:import namespace="ff9e9658-3ff9-4ea3-a783-e89e4081362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4a8a9c-290b-4b32-844c-a04f24fa40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9e9658-3ff9-4ea3-a783-e89e4081362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e74a8a9c-290b-4b32-844c-a04f24fa40db" xsi:nil="true"/>
  </documentManagement>
</p:properties>
</file>

<file path=customXml/itemProps1.xml><?xml version="1.0" encoding="utf-8"?>
<ds:datastoreItem xmlns:ds="http://schemas.openxmlformats.org/officeDocument/2006/customXml" ds:itemID="{C3336A33-EE2B-4C22-86AD-11DF4ED560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4a8a9c-290b-4b32-844c-a04f24fa40db"/>
    <ds:schemaRef ds:uri="ff9e9658-3ff9-4ea3-a783-e89e408136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04CB679-AD45-4C1B-B905-EA41D719B2C7}">
  <ds:schemaRefs>
    <ds:schemaRef ds:uri="http://schemas.microsoft.com/sharepoint/v3/contenttype/forms"/>
  </ds:schemaRefs>
</ds:datastoreItem>
</file>

<file path=customXml/itemProps3.xml><?xml version="1.0" encoding="utf-8"?>
<ds:datastoreItem xmlns:ds="http://schemas.openxmlformats.org/officeDocument/2006/customXml" ds:itemID="{83B2634B-6A01-46F7-8ACD-DB133DF0BD0E}">
  <ds:schemaRefs>
    <ds:schemaRef ds:uri="http://schemas.openxmlformats.org/package/2006/metadata/core-properties"/>
    <ds:schemaRef ds:uri="http://schemas.microsoft.com/office/2006/documentManagement/types"/>
    <ds:schemaRef ds:uri="http://purl.org/dc/dcmitype/"/>
    <ds:schemaRef ds:uri="http://purl.org/dc/terms/"/>
    <ds:schemaRef ds:uri="e74a8a9c-290b-4b32-844c-a04f24fa40db"/>
    <ds:schemaRef ds:uri="ff9e9658-3ff9-4ea3-a783-e89e40813621"/>
    <ds:schemaRef ds:uri="http://schemas.microsoft.com/office/2006/metadata/properties"/>
    <ds:schemaRef ds:uri="http://purl.org/dc/elements/1.1/"/>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PERSONAL  DE EQUIPO DE INTE (2)</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Edwin Reinaldo Cante Cruz</dc:creator>
  <cp:keywords/>
  <dc:description/>
  <cp:lastModifiedBy>Piedad Lorena Hernandez Fernandez</cp:lastModifiedBy>
  <cp:revision/>
  <dcterms:created xsi:type="dcterms:W3CDTF">2022-04-25T15:25:46Z</dcterms:created>
  <dcterms:modified xsi:type="dcterms:W3CDTF">2024-10-08T21:43:09Z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0x010100EEB947113BF81A4DBED144AF26B037C3</vt:lpwstr>
  </property>
</Properties>
</file>