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1bd98088e383cc5/Desktop/CONTABILIDADES/JULIO CERSAR MARTINEZ/LICITACIONES/2024/INVIA/NUEVO INVIAS/"/>
    </mc:Choice>
  </mc:AlternateContent>
  <xr:revisionPtr revIDLastSave="0" documentId="8_{B80A6DFE-F9BE-4498-88CD-79D04AF17AFF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ESUPUESTO " sheetId="7" r:id="rId1"/>
    <sheet name="OFERTA ECONOMICA" sheetId="6" r:id="rId2"/>
  </sheets>
  <definedNames>
    <definedName name="_xlnm.Print_Area" localSheetId="1">'OFERTA ECONOMICA'!$A$2:$I$157</definedName>
    <definedName name="_xlnm.Print_Area" localSheetId="0">'PRESUPUESTO '!$A$1:$I$156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  <definedName name="_xlnm.Print_Titles" localSheetId="1">'OFERTA ECONOMICA'!$2:$12</definedName>
    <definedName name="_xlnm.Print_Titles" localSheetId="0">'PRESUPUESTO 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7" i="6" l="1"/>
  <c r="J114" i="6"/>
  <c r="J72" i="6"/>
  <c r="J150" i="6"/>
  <c r="J149" i="6"/>
  <c r="J148" i="6"/>
  <c r="J151" i="6" s="1"/>
  <c r="J143" i="6"/>
  <c r="J144" i="6" s="1"/>
  <c r="J140" i="6"/>
  <c r="J139" i="6"/>
  <c r="J141" i="6" s="1"/>
  <c r="J136" i="6"/>
  <c r="J135" i="6"/>
  <c r="J137" i="6" s="1"/>
  <c r="J132" i="6"/>
  <c r="J133" i="6" s="1"/>
  <c r="J129" i="6"/>
  <c r="J128" i="6"/>
  <c r="J127" i="6"/>
  <c r="J130" i="6" s="1"/>
  <c r="J126" i="6"/>
  <c r="J123" i="6"/>
  <c r="J122" i="6"/>
  <c r="J121" i="6"/>
  <c r="J120" i="6"/>
  <c r="J119" i="6"/>
  <c r="J124" i="6" s="1"/>
  <c r="J116" i="6"/>
  <c r="J113" i="6"/>
  <c r="J112" i="6"/>
  <c r="J111" i="6"/>
  <c r="J108" i="6"/>
  <c r="J109" i="6" s="1"/>
  <c r="J105" i="6"/>
  <c r="J104" i="6"/>
  <c r="J103" i="6"/>
  <c r="J102" i="6"/>
  <c r="J101" i="6"/>
  <c r="J100" i="6"/>
  <c r="J99" i="6"/>
  <c r="J98" i="6"/>
  <c r="J97" i="6"/>
  <c r="J106" i="6" s="1"/>
  <c r="J94" i="6"/>
  <c r="J95" i="6" s="1"/>
  <c r="J91" i="6"/>
  <c r="J90" i="6"/>
  <c r="J92" i="6" s="1"/>
  <c r="J87" i="6"/>
  <c r="J86" i="6"/>
  <c r="J85" i="6"/>
  <c r="J84" i="6"/>
  <c r="J83" i="6"/>
  <c r="J82" i="6"/>
  <c r="J81" i="6"/>
  <c r="J88" i="6" s="1"/>
  <c r="J78" i="6"/>
  <c r="J77" i="6"/>
  <c r="J79" i="6" s="1"/>
  <c r="J74" i="6"/>
  <c r="J75" i="6" s="1"/>
  <c r="J71" i="6"/>
  <c r="J70" i="6"/>
  <c r="J69" i="6"/>
  <c r="J66" i="6"/>
  <c r="J65" i="6"/>
  <c r="J64" i="6"/>
  <c r="J63" i="6"/>
  <c r="J62" i="6"/>
  <c r="J61" i="6"/>
  <c r="J60" i="6"/>
  <c r="J59" i="6"/>
  <c r="J58" i="6"/>
  <c r="J57" i="6"/>
  <c r="J67" i="6" s="1"/>
  <c r="J54" i="6"/>
  <c r="J53" i="6"/>
  <c r="J55" i="6" s="1"/>
  <c r="J50" i="6"/>
  <c r="J49" i="6"/>
  <c r="J48" i="6"/>
  <c r="J47" i="6"/>
  <c r="J46" i="6"/>
  <c r="J45" i="6"/>
  <c r="J44" i="6"/>
  <c r="J43" i="6"/>
  <c r="J51" i="6" s="1"/>
  <c r="J40" i="6"/>
  <c r="J39" i="6"/>
  <c r="J38" i="6"/>
  <c r="J41" i="6" s="1"/>
  <c r="J34" i="6"/>
  <c r="J35" i="6"/>
  <c r="J33" i="6"/>
  <c r="J36" i="6" s="1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14" i="6"/>
  <c r="J31" i="6" s="1"/>
  <c r="J145" i="6" l="1"/>
  <c r="J152" i="6" s="1"/>
  <c r="J153" i="6" s="1"/>
  <c r="H149" i="7"/>
  <c r="I149" i="7" s="1"/>
  <c r="H148" i="7"/>
  <c r="I148" i="7" s="1"/>
  <c r="H147" i="7"/>
  <c r="I147" i="7" s="1"/>
  <c r="I150" i="7" s="1"/>
  <c r="H142" i="7"/>
  <c r="I142" i="7" s="1"/>
  <c r="I143" i="7" s="1"/>
  <c r="H139" i="7"/>
  <c r="I139" i="7" s="1"/>
  <c r="H138" i="7"/>
  <c r="I138" i="7" s="1"/>
  <c r="I140" i="7" s="1"/>
  <c r="H135" i="7"/>
  <c r="I135" i="7" s="1"/>
  <c r="H134" i="7"/>
  <c r="I134" i="7" s="1"/>
  <c r="I136" i="7" s="1"/>
  <c r="H131" i="7"/>
  <c r="I131" i="7" s="1"/>
  <c r="I132" i="7" s="1"/>
  <c r="H128" i="7"/>
  <c r="I128" i="7" s="1"/>
  <c r="H127" i="7"/>
  <c r="I127" i="7" s="1"/>
  <c r="H126" i="7"/>
  <c r="I126" i="7" s="1"/>
  <c r="H125" i="7"/>
  <c r="I125" i="7" s="1"/>
  <c r="H122" i="7"/>
  <c r="I122" i="7" s="1"/>
  <c r="H121" i="7"/>
  <c r="I121" i="7" s="1"/>
  <c r="H120" i="7"/>
  <c r="I120" i="7" s="1"/>
  <c r="H119" i="7"/>
  <c r="I119" i="7" s="1"/>
  <c r="H118" i="7"/>
  <c r="I118" i="7" s="1"/>
  <c r="I123" i="7" s="1"/>
  <c r="H115" i="7"/>
  <c r="I115" i="7" s="1"/>
  <c r="I116" i="7" s="1"/>
  <c r="H112" i="7"/>
  <c r="I112" i="7" s="1"/>
  <c r="H111" i="7"/>
  <c r="I111" i="7" s="1"/>
  <c r="H110" i="7"/>
  <c r="I110" i="7" s="1"/>
  <c r="I113" i="7" s="1"/>
  <c r="I107" i="7"/>
  <c r="I108" i="7" s="1"/>
  <c r="H107" i="7"/>
  <c r="H104" i="7"/>
  <c r="I104" i="7" s="1"/>
  <c r="H103" i="7"/>
  <c r="I103" i="7" s="1"/>
  <c r="H102" i="7"/>
  <c r="I102" i="7" s="1"/>
  <c r="H101" i="7"/>
  <c r="I101" i="7" s="1"/>
  <c r="H100" i="7"/>
  <c r="I100" i="7" s="1"/>
  <c r="I99" i="7"/>
  <c r="H99" i="7"/>
  <c r="H98" i="7"/>
  <c r="I98" i="7" s="1"/>
  <c r="H97" i="7"/>
  <c r="I97" i="7" s="1"/>
  <c r="H96" i="7"/>
  <c r="I96" i="7" s="1"/>
  <c r="I105" i="7" s="1"/>
  <c r="H93" i="7"/>
  <c r="I93" i="7" s="1"/>
  <c r="I94" i="7" s="1"/>
  <c r="I90" i="7"/>
  <c r="H90" i="7"/>
  <c r="H89" i="7"/>
  <c r="I89" i="7" s="1"/>
  <c r="I91" i="7" s="1"/>
  <c r="H86" i="7"/>
  <c r="I86" i="7" s="1"/>
  <c r="H85" i="7"/>
  <c r="I85" i="7" s="1"/>
  <c r="H84" i="7"/>
  <c r="I84" i="7" s="1"/>
  <c r="I83" i="7"/>
  <c r="H83" i="7"/>
  <c r="H82" i="7"/>
  <c r="I82" i="7" s="1"/>
  <c r="H81" i="7"/>
  <c r="I81" i="7" s="1"/>
  <c r="H80" i="7"/>
  <c r="I80" i="7" s="1"/>
  <c r="I87" i="7" s="1"/>
  <c r="H77" i="7"/>
  <c r="I77" i="7" s="1"/>
  <c r="H76" i="7"/>
  <c r="I76" i="7" s="1"/>
  <c r="I78" i="7" s="1"/>
  <c r="H73" i="7"/>
  <c r="I73" i="7" s="1"/>
  <c r="I74" i="7" s="1"/>
  <c r="H70" i="7"/>
  <c r="I70" i="7" s="1"/>
  <c r="H69" i="7"/>
  <c r="I69" i="7" s="1"/>
  <c r="H68" i="7"/>
  <c r="I68" i="7" s="1"/>
  <c r="I71" i="7" s="1"/>
  <c r="I65" i="7"/>
  <c r="H65" i="7"/>
  <c r="H64" i="7"/>
  <c r="I64" i="7" s="1"/>
  <c r="H63" i="7"/>
  <c r="I63" i="7" s="1"/>
  <c r="H62" i="7"/>
  <c r="I62" i="7" s="1"/>
  <c r="H61" i="7"/>
  <c r="I61" i="7" s="1"/>
  <c r="H60" i="7"/>
  <c r="I60" i="7" s="1"/>
  <c r="I59" i="7"/>
  <c r="H59" i="7"/>
  <c r="H58" i="7"/>
  <c r="I58" i="7" s="1"/>
  <c r="H57" i="7"/>
  <c r="I57" i="7" s="1"/>
  <c r="H56" i="7"/>
  <c r="I56" i="7" s="1"/>
  <c r="H53" i="7"/>
  <c r="I53" i="7" s="1"/>
  <c r="H52" i="7"/>
  <c r="I52" i="7" s="1"/>
  <c r="I54" i="7" s="1"/>
  <c r="H49" i="7"/>
  <c r="I49" i="7" s="1"/>
  <c r="H48" i="7"/>
  <c r="I48" i="7" s="1"/>
  <c r="H47" i="7"/>
  <c r="I47" i="7" s="1"/>
  <c r="H46" i="7"/>
  <c r="I46" i="7" s="1"/>
  <c r="H45" i="7"/>
  <c r="I45" i="7" s="1"/>
  <c r="I44" i="7"/>
  <c r="H44" i="7"/>
  <c r="H43" i="7"/>
  <c r="I43" i="7" s="1"/>
  <c r="H42" i="7"/>
  <c r="I42" i="7" s="1"/>
  <c r="H39" i="7"/>
  <c r="I39" i="7" s="1"/>
  <c r="H38" i="7"/>
  <c r="I38" i="7" s="1"/>
  <c r="H37" i="7"/>
  <c r="I37" i="7" s="1"/>
  <c r="I40" i="7" s="1"/>
  <c r="H34" i="7"/>
  <c r="I34" i="7" s="1"/>
  <c r="H33" i="7"/>
  <c r="I33" i="7" s="1"/>
  <c r="H32" i="7"/>
  <c r="I32" i="7" s="1"/>
  <c r="I35" i="7" s="1"/>
  <c r="H29" i="7"/>
  <c r="I29" i="7" s="1"/>
  <c r="H28" i="7"/>
  <c r="I28" i="7" s="1"/>
  <c r="I27" i="7"/>
  <c r="H27" i="7"/>
  <c r="H26" i="7"/>
  <c r="I26" i="7" s="1"/>
  <c r="H25" i="7"/>
  <c r="I25" i="7" s="1"/>
  <c r="H24" i="7"/>
  <c r="I24" i="7" s="1"/>
  <c r="H23" i="7"/>
  <c r="I23" i="7" s="1"/>
  <c r="H22" i="7"/>
  <c r="I22" i="7" s="1"/>
  <c r="I21" i="7"/>
  <c r="H21" i="7"/>
  <c r="H20" i="7"/>
  <c r="I20" i="7" s="1"/>
  <c r="H19" i="7"/>
  <c r="I19" i="7" s="1"/>
  <c r="H18" i="7"/>
  <c r="I18" i="7" s="1"/>
  <c r="H17" i="7"/>
  <c r="I17" i="7" s="1"/>
  <c r="H16" i="7"/>
  <c r="I16" i="7" s="1"/>
  <c r="I15" i="7"/>
  <c r="H15" i="7"/>
  <c r="H14" i="7"/>
  <c r="I14" i="7" s="1"/>
  <c r="H13" i="7"/>
  <c r="I13" i="7" s="1"/>
  <c r="H150" i="6"/>
  <c r="H149" i="6"/>
  <c r="H148" i="6"/>
  <c r="H143" i="6"/>
  <c r="H140" i="6"/>
  <c r="H139" i="6"/>
  <c r="H136" i="6"/>
  <c r="H135" i="6"/>
  <c r="H132" i="6"/>
  <c r="H129" i="6"/>
  <c r="H128" i="6"/>
  <c r="H127" i="6"/>
  <c r="H126" i="6"/>
  <c r="H123" i="6"/>
  <c r="H122" i="6"/>
  <c r="H121" i="6"/>
  <c r="H120" i="6"/>
  <c r="H119" i="6"/>
  <c r="H116" i="6"/>
  <c r="H113" i="6"/>
  <c r="H112" i="6"/>
  <c r="H111" i="6"/>
  <c r="H108" i="6"/>
  <c r="H105" i="6"/>
  <c r="H104" i="6"/>
  <c r="H103" i="6"/>
  <c r="H102" i="6"/>
  <c r="H101" i="6"/>
  <c r="H100" i="6"/>
  <c r="H99" i="6"/>
  <c r="H98" i="6"/>
  <c r="H97" i="6"/>
  <c r="H94" i="6"/>
  <c r="H91" i="6"/>
  <c r="H90" i="6"/>
  <c r="H87" i="6"/>
  <c r="H86" i="6"/>
  <c r="H85" i="6"/>
  <c r="H84" i="6"/>
  <c r="H83" i="6"/>
  <c r="H82" i="6"/>
  <c r="H81" i="6"/>
  <c r="H78" i="6"/>
  <c r="H77" i="6"/>
  <c r="H74" i="6"/>
  <c r="H69" i="6"/>
  <c r="H71" i="6"/>
  <c r="J154" i="6" l="1"/>
  <c r="J155" i="6"/>
  <c r="J156" i="6" s="1"/>
  <c r="I30" i="7"/>
  <c r="I66" i="7"/>
  <c r="I50" i="7"/>
  <c r="I129" i="7"/>
  <c r="I144" i="7" s="1"/>
  <c r="I151" i="7" s="1"/>
  <c r="H70" i="6"/>
  <c r="H66" i="6"/>
  <c r="H65" i="6"/>
  <c r="H64" i="6"/>
  <c r="H63" i="6"/>
  <c r="H62" i="6"/>
  <c r="H61" i="6"/>
  <c r="H60" i="6"/>
  <c r="H59" i="6"/>
  <c r="H58" i="6"/>
  <c r="H57" i="6"/>
  <c r="H54" i="6"/>
  <c r="H53" i="6"/>
  <c r="H50" i="6"/>
  <c r="H49" i="6"/>
  <c r="H48" i="6"/>
  <c r="H47" i="6"/>
  <c r="H46" i="6"/>
  <c r="H45" i="6"/>
  <c r="H44" i="6"/>
  <c r="H43" i="6"/>
  <c r="H40" i="6"/>
  <c r="H39" i="6"/>
  <c r="H38" i="6"/>
  <c r="H35" i="6"/>
  <c r="H34" i="6"/>
  <c r="H33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J157" i="6" l="1"/>
  <c r="I154" i="7"/>
  <c r="I155" i="7" s="1"/>
  <c r="I153" i="7"/>
  <c r="I152" i="7"/>
  <c r="I156" i="7" s="1"/>
  <c r="I109" i="6"/>
  <c r="I114" i="6" l="1"/>
  <c r="I144" i="6"/>
  <c r="I133" i="6"/>
  <c r="I117" i="6"/>
  <c r="I55" i="6" l="1"/>
  <c r="I151" i="6"/>
  <c r="I88" i="6"/>
  <c r="I67" i="6"/>
  <c r="I130" i="6"/>
  <c r="I124" i="6"/>
  <c r="I137" i="6"/>
  <c r="I141" i="6"/>
  <c r="I95" i="6"/>
  <c r="I75" i="6"/>
  <c r="I106" i="6"/>
  <c r="I92" i="6"/>
  <c r="I79" i="6"/>
  <c r="I72" i="6"/>
  <c r="I51" i="6"/>
  <c r="I41" i="6"/>
  <c r="I36" i="6"/>
  <c r="I31" i="6"/>
  <c r="I145" i="6" l="1"/>
  <c r="I152" i="6" s="1"/>
  <c r="I155" i="6" l="1"/>
  <c r="I156" i="6" s="1"/>
  <c r="I153" i="6"/>
  <c r="I154" i="6"/>
  <c r="I157" i="6" l="1"/>
</calcChain>
</file>

<file path=xl/sharedStrings.xml><?xml version="1.0" encoding="utf-8"?>
<sst xmlns="http://schemas.openxmlformats.org/spreadsheetml/2006/main" count="700" uniqueCount="262">
  <si>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</si>
  <si>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</si>
  <si>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</si>
  <si>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</si>
  <si>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</si>
  <si>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</si>
  <si>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</si>
  <si>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 xml:space="preserve">VALOR TOTAL                                </t>
  </si>
  <si>
    <t>GENERAL</t>
  </si>
  <si>
    <t>PARTICULAR</t>
  </si>
  <si>
    <t>TOTAL A.I.U</t>
  </si>
  <si>
    <t>INSTITUTO NACIONAL DE VIAS</t>
  </si>
  <si>
    <t>SUBDIRECCIÓN ADMINISTRATIVA</t>
  </si>
  <si>
    <t xml:space="preserve">VALOR UNITARIO </t>
  </si>
  <si>
    <t>UND</t>
  </si>
  <si>
    <t>ML</t>
  </si>
  <si>
    <t>SUB TOTAL 2</t>
  </si>
  <si>
    <t>SUB TOTAL  4</t>
  </si>
  <si>
    <t>SUB TOTAL  5</t>
  </si>
  <si>
    <t>2.1</t>
  </si>
  <si>
    <t>2.2</t>
  </si>
  <si>
    <t>2.3</t>
  </si>
  <si>
    <t>3.1</t>
  </si>
  <si>
    <t>I. CUBIERTA</t>
  </si>
  <si>
    <t>M2.</t>
  </si>
  <si>
    <t>ML.</t>
  </si>
  <si>
    <t>1.1</t>
  </si>
  <si>
    <t>1.2</t>
  </si>
  <si>
    <t>1.4</t>
  </si>
  <si>
    <t>1.3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</si>
  <si>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</si>
  <si>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</si>
  <si>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</si>
  <si>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</si>
  <si>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</si>
  <si>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</si>
  <si>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</si>
  <si>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</si>
  <si>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</si>
  <si>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6.1</t>
  </si>
  <si>
    <t>3.2</t>
  </si>
  <si>
    <t>3.3</t>
  </si>
  <si>
    <t>REPARACIÓN DE TABLEROS ELÉCTRICOS (INCLUYE LIMPIEZA, PINTURA, CAMBIO DE TACOS SI SE REQUIERE)</t>
  </si>
  <si>
    <t>4.1</t>
  </si>
  <si>
    <t>4.2</t>
  </si>
  <si>
    <t>4.3</t>
  </si>
  <si>
    <t>SUMINISTRO E INSTALACION DE TABLERO PARCIAL DE 24 CIRCUITOS CON PUERTA.</t>
  </si>
  <si>
    <t>SALIDA ELÉCTRICA PARA INTERRUPTOR DOBLE - EMT</t>
  </si>
  <si>
    <t>SALIDA ELÉCTRICA PARA INTERRUPTOR SENCILLO - EMT</t>
  </si>
  <si>
    <t>SALIDA ELÉCTRICA PARA ALUMBRADO TECHO - EMT</t>
  </si>
  <si>
    <t>SALIDA ELÉCTRICA PARA TOMACORRIENTE DOBLE - EMT</t>
  </si>
  <si>
    <t>SUMINISTRO E INSTALACIÓN DE TUBERIA EMT 3/4" (INCLUYE ACCESORIOS)</t>
  </si>
  <si>
    <t>SUMINISTRO E INSTALACIÓN DE TUBERIA EMT 1" (INCLUYE ACCESORIOS)</t>
  </si>
  <si>
    <t>SUMINISTRO E INSTALACIÓN DE CABLE TRENSADO 3X12 COLOR ROJO, AMARILLO, BLANCO, VERDE, AZUL</t>
  </si>
  <si>
    <t>DIAGNOSTICO   Y   DISEÑO   DE   LAS   REDES   ELECTRICAS,   INCLUYE   ESQUEMA   ELECTRICO,   DISEÑO ARQUITECTONICO DE LUMINACION - (ARCHIVO CENTRAL DE FONTIBÓN)</t>
  </si>
  <si>
    <t>5.1</t>
  </si>
  <si>
    <t>5.2</t>
  </si>
  <si>
    <t>7.2</t>
  </si>
  <si>
    <t>6.2</t>
  </si>
  <si>
    <t>6.3</t>
  </si>
  <si>
    <t>6.4</t>
  </si>
  <si>
    <t>7.1</t>
  </si>
  <si>
    <t>7.3</t>
  </si>
  <si>
    <t>TOTAL</t>
  </si>
  <si>
    <t>SUB TOTAL  3</t>
  </si>
  <si>
    <t>SUB TOTAL 1</t>
  </si>
  <si>
    <t>SONDEO Y DESTAPE DE DESAGÜES 2", 3" y 4"</t>
  </si>
  <si>
    <t>PRUEBAS Y MANTENIMIENTO GENERAL EQUIPO DE PRESIÓN</t>
  </si>
  <si>
    <t>M2</t>
  </si>
  <si>
    <t>M3</t>
  </si>
  <si>
    <t>1.14</t>
  </si>
  <si>
    <t>1.15</t>
  </si>
  <si>
    <t>1.16</t>
  </si>
  <si>
    <t>1.17</t>
  </si>
  <si>
    <t>II. ESTRUCTURAS EN CONCRETO</t>
  </si>
  <si>
    <t>III. REPARACIONES / MANTENIMIENTO - HIDROSANITARIOS</t>
  </si>
  <si>
    <t>IV. OBRA NUEVA HIDROSANITARIA</t>
  </si>
  <si>
    <r>
      <rPr>
        <sz val="10"/>
        <rFont val="Arial MT"/>
        <family val="2"/>
      </rPr>
      <t>PUNTO AGUA FRÍA PVC  1/2"</t>
    </r>
  </si>
  <si>
    <r>
      <rPr>
        <sz val="10"/>
        <rFont val="Arial MT"/>
        <family val="2"/>
      </rPr>
      <t>SALIDA SANITARIA PVC 2"</t>
    </r>
  </si>
  <si>
    <r>
      <rPr>
        <sz val="10"/>
        <rFont val="Arial MT"/>
        <family val="2"/>
      </rPr>
      <t>SALIDA SANITARIA PVC 4"</t>
    </r>
  </si>
  <si>
    <r>
      <rPr>
        <sz val="10"/>
        <rFont val="Arial MT"/>
        <family val="2"/>
      </rPr>
      <t>SUMINISTRO E INSTALACIÓN DE REGISTRO 1/2"</t>
    </r>
  </si>
  <si>
    <r>
      <rPr>
        <sz val="10"/>
        <rFont val="Arial MT"/>
        <family val="2"/>
      </rPr>
      <t>SUMINISTRO E INSTALACIÓN DE TUBERIA 1/2" RDE 9 (INCLUYE ACCESORIOS)</t>
    </r>
  </si>
  <si>
    <t>4.4</t>
  </si>
  <si>
    <t>4.5</t>
  </si>
  <si>
    <t>4.6</t>
  </si>
  <si>
    <t>4.7</t>
  </si>
  <si>
    <t>4.8</t>
  </si>
  <si>
    <t>MURO EN SUPERBOARD DOBLE CARA E=10CM A 12 CM INCLUYE ESTRUCTURA METALICA, MASILLA, CINTA Y PINTURA KORAZA DOS MANOS, VISTO DOS CARAS (LÁMINA POR CADA CARA)</t>
  </si>
  <si>
    <t>MANTENIMIENTO    DE    PERFILERÍA    METALICA    EN    VENTANERÍA EXISTENTE:    INCLUYE    (SOLDADURA, ANTICORROSIVO, ESMALTE, Y FIJACIÓN VIDRIOS CON SILICONA)</t>
  </si>
  <si>
    <t>SUMINISTRO E INSTALACION DE PUERTAS  A ACCESO A BAÑOS EN LAMINA CAL 20  GALVANIZADA PINTURA ELECTROSTATICA.</t>
  </si>
  <si>
    <r>
      <rPr>
        <sz val="10"/>
        <rFont val="Arial MT"/>
        <family val="2"/>
      </rPr>
      <t>M2</t>
    </r>
  </si>
  <si>
    <r>
      <rPr>
        <sz val="10"/>
        <rFont val="Arial MT"/>
        <family val="2"/>
      </rPr>
      <t>ML</t>
    </r>
  </si>
  <si>
    <t>8.1</t>
  </si>
  <si>
    <t>9.1</t>
  </si>
  <si>
    <t>9.2</t>
  </si>
  <si>
    <r>
      <rPr>
        <sz val="10"/>
        <rFont val="Arial MT"/>
        <family val="2"/>
      </rPr>
      <t>SUMINISTRO E INSTALACIÓN DE SANITARIO (INCLUYE GRIFERIA AHORRADORA)</t>
    </r>
  </si>
  <si>
    <t>SUMINISTRO E INSTALACIÓN DE LAVAMANOS INCRUSTAR (INCLUYE GRIFERIA AHORRADORA)</t>
  </si>
  <si>
    <t>SUB TOTAL 7</t>
  </si>
  <si>
    <t>SUB TOTAL 9</t>
  </si>
  <si>
    <t>SUMINISTRO E INSTALACIÓN DE INCRUSTACIONES</t>
  </si>
  <si>
    <t>SUMINISTRO E INSTALACIÓN DE WING ALUMINIO</t>
  </si>
  <si>
    <t>SUMINISTRO E INSTALACIÓN DE REJILLA PISO 3 X 2"</t>
  </si>
  <si>
    <t>SUMINISTRO E INSTALACIÓN DE REJILLAS DE VENTILACIÓN 20cm x 20cm</t>
  </si>
  <si>
    <t>SUMINISTRO E INSTALACIÓN DE SIFON 2" PVC SANTIARIO</t>
  </si>
  <si>
    <t>SUMINISTRO E INSTALACIÓN DE TAPA REGISTRO 20CM X 20CM</t>
  </si>
  <si>
    <t>SUMINISTRO E INSTALACIÓN DE ARBOL SANITARIO</t>
  </si>
  <si>
    <t>10.1</t>
  </si>
  <si>
    <t>10.2</t>
  </si>
  <si>
    <t>SUB TOTAL 10</t>
  </si>
  <si>
    <t>SUB TOTAL 11</t>
  </si>
  <si>
    <t>11.1</t>
  </si>
  <si>
    <t>11.2</t>
  </si>
  <si>
    <t>SUMINISTRO E INSTALACIÓN DE ENCHAPE CERÁMICO PARA PARED (INCLUYE EMBOQUILLADO)</t>
  </si>
  <si>
    <t>SUMINSTRO E INSTALACIÓN DE LINEALE  EN ENCHAPE CERÁMICO PARA POYOS DUCHA Y OTROS (INCLUYE EMBOQUILLADO)</t>
  </si>
  <si>
    <t>PAÑETE LISO 1:3 S/MUROS (INCLUYE FILOS Y DILATACIONES)</t>
  </si>
  <si>
    <t>12.1</t>
  </si>
  <si>
    <r>
      <rPr>
        <sz val="10"/>
        <rFont val="Arial MT"/>
        <family val="2"/>
      </rPr>
      <t>BARNIZ SOBRE MADERA</t>
    </r>
  </si>
  <si>
    <r>
      <rPr>
        <sz val="10"/>
        <rFont val="Arial MT"/>
        <family val="2"/>
      </rPr>
      <t>LACA SOBRE MADERA</t>
    </r>
  </si>
  <si>
    <t>ESMALTE ANTICORROSIVO SECADO RÁPIDO -  SOBRE CARPINTERÍA Y ESTRUCTURAS  METÁLICAS  (INCLUYE LINEALES DE PINTURA)</t>
  </si>
  <si>
    <t>SIKA TRANSPARENTE 10 AÑOS LADRILLO A LA VISTA / FACHALETAS Ó SIMILAR (2 CAPAS)</t>
  </si>
  <si>
    <t>PINTURA ACRÍLICA ALTA ASEPSIA PARA MUROS - 3 MANOS (INCLUYE LINEALES DE PINTURA)</t>
  </si>
  <si>
    <t>13.1</t>
  </si>
  <si>
    <t>13.2</t>
  </si>
  <si>
    <t>SUMINISTRO E INSTALACIÓN DE CIELO RASO EN DRYWALL  (INCLUYE PINTURA DOS MANOS)</t>
  </si>
  <si>
    <t>14.1</t>
  </si>
  <si>
    <t>SUMINISTRO E INSTALACIÓN DE CUBIERTA EN TEJA TIPO SANDWICH 12 X 1M X 18MM CON AISLAMIENTO EN POLIURETANO</t>
  </si>
  <si>
    <t>SUMINISTRO E INSTALACIÓN DE CORREA METALICA+ANTICORROSIVO+PINTURA</t>
  </si>
  <si>
    <t>SUMINISTRO E INSTALACIÓN FLANCHE EN LAMINA GALVANIZADA</t>
  </si>
  <si>
    <t>MANTENIMIENTO Y REFORZAMIENTO DE ESTRUCTURA METALICA PARA CUBIERTA, (INCLUYE ANTICORROSIVO Y PINTURA)</t>
  </si>
  <si>
    <t>SUB TOTAL 12</t>
  </si>
  <si>
    <t>SUB TOTAL 13</t>
  </si>
  <si>
    <t>SUB TOTAL 14</t>
  </si>
  <si>
    <t>SUB TOTAL 16</t>
  </si>
  <si>
    <t>16.1</t>
  </si>
  <si>
    <t>17.1</t>
  </si>
  <si>
    <t>SUMINISTRO E INSTALACIÓN DE CERRADURA PARA PUERTAS (MADERA / ALUMINIO / METÁLICAS)</t>
  </si>
  <si>
    <t>18.1</t>
  </si>
  <si>
    <t>SUMINISTRO E INSTALACIÓN DE ESPEJO BISELADO 60 X 50 CM</t>
  </si>
  <si>
    <t>SUMINISTRO E INSTALACIÓN DE VIDRIO CRUDO INCOLORO 4 mm  -  TIPO PELDAR Ó SIMILAR</t>
  </si>
  <si>
    <t>19.1</t>
  </si>
  <si>
    <t>ASEO GENERAL INTERIOR (INCLUYE LIMPIEZA Y/O DESMANCHE DE PISOS, MUROS, CARPINTERIAS, APARATOS, LUMINARIAS,  ETC)  -  NOTA:  SE  MEDIRÁ  Y SE  PAGARÁ  POR  METROS  CUADRADOS  (M2)  EN  PROYECCIÓN HORIZONTAL DE ZONAS ASEADAS Y DEBIDAMENTE INTERVENIDAS</t>
  </si>
  <si>
    <t>LIMPIEZA  Y  MANTENIMIENTO  DE VIGAS  CANALES  DE  CUBIERTA (INCLUYE ASEO,  RETIRO  DE SEDIMENTOS, REACOMODACIÓN, COLOCACIÓN DE SOPORTES Y SOLDADURA  DE ELEMENTOS EN CASO DE SER NECESARIO; LO ANTERIOR PARA GARANTIZAR UN CORRECTO FUNCIONAMIENTO PARA LA EVACUACIÓN DE AGUAS LLUVIAS)</t>
  </si>
  <si>
    <t>20.1</t>
  </si>
  <si>
    <t xml:space="preserve">DESMONTE, TRASLADO Y UBICACIÓN DE ARCHIVO (INCLUYE EL DESMONTE, TRASLADO Y REUBICACIÒN DE LAS CAJAS DE MÓDULO DE ARCHIVO. CADA MODULO CUENTA CON 20 O 25 CAJAS APROXIMADAMENTE; INCLUYE ADICIONALMENTE EL DESMONTE, ARMADO, AJUSTE Y REUBICACIÓN DE ESTANTERIA EXISTENTE E INCLUYE ESTIBA) </t>
  </si>
  <si>
    <t>V. INSTALACIÓNES ELECTRICAS</t>
  </si>
  <si>
    <t>ADECUACIÓN DE LA PLANTA FISICA DE LA ARCHIVO DE CENTRAL</t>
  </si>
  <si>
    <t>I. INSTALACIÓNES ELECTRICAS</t>
  </si>
  <si>
    <t xml:space="preserve">GRAN SUB TOTAL </t>
  </si>
  <si>
    <t>VI. OBRA NUEVA ELECTRICA</t>
  </si>
  <si>
    <t>6.5</t>
  </si>
  <si>
    <t>6.6</t>
  </si>
  <si>
    <t>6.7</t>
  </si>
  <si>
    <t>6.9</t>
  </si>
  <si>
    <t>6.10</t>
  </si>
  <si>
    <t>6.11</t>
  </si>
  <si>
    <t>SUB TOTAL  6</t>
  </si>
  <si>
    <t>VII. MAMPOSTERIA - MUROS</t>
  </si>
  <si>
    <t>17.2</t>
  </si>
  <si>
    <t>17.3</t>
  </si>
  <si>
    <t>SUB TOTAL 17</t>
  </si>
  <si>
    <t>SUB TOTAL 18</t>
  </si>
  <si>
    <t>SUB TOTAL 19</t>
  </si>
  <si>
    <t>20.2</t>
  </si>
  <si>
    <t>SUB TOTAL 20</t>
  </si>
  <si>
    <t>21.1</t>
  </si>
  <si>
    <t>SUB TOTAL 21</t>
  </si>
  <si>
    <t>ADMINISTRACION</t>
  </si>
  <si>
    <t>IMPREVISTOS</t>
  </si>
  <si>
    <t>UTILIDAD</t>
  </si>
  <si>
    <t>IVA/UTILIDAD</t>
  </si>
  <si>
    <t>SUB TOTAL  1</t>
  </si>
  <si>
    <t>ARCHIVO CENTRAL - ARCHIVO DE TERRITORIALES - FONTIBON</t>
  </si>
  <si>
    <t>SUMINISTRO E INSTALACION DE LUMINARIA LED HERMETICA 50W DL</t>
  </si>
  <si>
    <t>SUMINISTRO E INSTALACIÓN DE LAMPARA LED PANEL 60 X 60 CM 48W</t>
  </si>
  <si>
    <t>SUMINISTRO E INSTALACION MARCO EN ALUMINIO PARA SOBREPONER LAMPARAS 60x60</t>
  </si>
  <si>
    <t>AFINADO IMPERMEABILIZADO EN MORTERO 1:3 E= 0,04</t>
  </si>
  <si>
    <t xml:space="preserve">SUMINISTRO E INSTALACIÓN DE PISO EN CERÁMICA 30 x 60 BLANCO CARA PLANA </t>
  </si>
  <si>
    <t xml:space="preserve">SUMINISTRO E INSTALACION DE CINTA ANTIDESLIZANTE  FOTOLUMINISCENTE PARA ESCALERAS Y ACCESOS ANCHO 48 MM  </t>
  </si>
  <si>
    <t>REMOCIÓN DE ENCHAPES EXISTENTES EN PISOS Y MUROS</t>
  </si>
  <si>
    <t>DESMONTE CIELO RASO FALSO (INCLUYE ESTRUCTURA DE SOPORTE)</t>
  </si>
  <si>
    <t>DESMONTE DE APARATOS SANITARIOS Y LAVAPLATOS EXISTENTES</t>
  </si>
  <si>
    <t>DESMONTE CANALES Y BAJANTES</t>
  </si>
  <si>
    <t>DESMONTE DE ESTRUCTURA DE CUBIERTAS EXISTENTES, EN GENERAL</t>
  </si>
  <si>
    <t>DESMONTE DE REJAS EXISTENTES</t>
  </si>
  <si>
    <t>DESMONTE DE TEJAS DE CUBIERTA, EN GENERAL</t>
  </si>
  <si>
    <t>ESCARIFICACIÓN DE  AFINADOS DE PISO</t>
  </si>
  <si>
    <t>DEMOLICION DE MESONES EN CONCRETO</t>
  </si>
  <si>
    <t>BASE EN CONCRETO PARA TANQUE ELEVADO H=0.10 (INCLUYE REFUERZO)</t>
  </si>
  <si>
    <t>INSTALACION LAVAMANOS Y SANITARIO EXISTENTES</t>
  </si>
  <si>
    <t>REVISIÓN Y REPARACIÓN DE PUNTO ELÉCTRICO</t>
  </si>
  <si>
    <t>REVISION Y REPARACIÓN DE CABLEADO ELÉCTRICO</t>
  </si>
  <si>
    <t>VINILO MUROS INTERIORES - 3 MANOS (INCLUYE LINEALES DE PINTURA)</t>
  </si>
  <si>
    <t>VINILO BAJO PLACA  -  2 MANOS (INCLUYE LINEALES DE PINTURA)</t>
  </si>
  <si>
    <t>DEMARCACIÓN EN PISO CON PINTURA EPÓXICA - ZONA ARCHIVO</t>
  </si>
  <si>
    <t>SUMINISTRO E INSTALACIÓN DE CABALLETE TERMOACUSTIC/ LÁMINA GALVANIZADA</t>
  </si>
  <si>
    <t>SUMINISTRO E INSTALACION DE LUMINARIA LED PANEL RD 24W DL MV SP</t>
  </si>
  <si>
    <t>DESMONTE DE TANQUES ELEVADOS (INCLUYE CONEXIONES)</t>
  </si>
  <si>
    <t>DESMONTE DE PUNTO ELECTRICO (INCLUYE REGATAS EN PAREDES / PISOS)</t>
  </si>
  <si>
    <t>DESMONTE LUMINARIAS EN MAL ESTADO</t>
  </si>
  <si>
    <t>SUMINISTRO E INSTALACIÓN DE TANQUE ALMACENAMIENTO 1000 LTS (INCLUYE ACCESORIOS)</t>
  </si>
  <si>
    <t>SUMINISTRO E INSTALACIÓN DE BAJANTE 4" AGUAS LLUVIAS PVC (INCLUYE ACCESORIOS)</t>
  </si>
  <si>
    <t>CERRAMIENTO PROVISIONAL H=2,00 M. EN REPISA Y LONA VERDE</t>
  </si>
  <si>
    <t>LOCALIZACIÓN Y REPLANTEO</t>
  </si>
  <si>
    <t>ACOPIO, CARGUE Y RETIRO DE MATERIALES DE DEMOLICIONES, DESMONTES, REMOCIONES; Y DISPOSICION FINAL DE ÉSTOS, EN SITIO AUTORIZADO</t>
  </si>
  <si>
    <t xml:space="preserve">SUMINISTRO E INSTALACIÓN DE PISO EN CERÁMICA 30 x 60 BLANCO CARA PLANA (excedentes menores a 1 cuadrado, guardaescobas, oirlanes) </t>
  </si>
  <si>
    <t>SUMINISTRO E INSTALACIÓN DE CABLE N°10 COLOR AMARILLO, AZUL, BLANCO, ROJO, VERDE, NEGRO</t>
  </si>
  <si>
    <t>REVISIÓN Y REPARACIÓN DE PUNTO ELÉCTRICO (REVISION Y REPARACIÓN DE CABLEADO ELÉCTRICO)</t>
  </si>
  <si>
    <t>CARPINTERÍA DE MADERA (PUERTAS, VENTANAS, PIRLÁN, REJILLAS) (ARREGLO /  AJUSTE   PUERTAS INCLUYE   CAMBIO BISAGRAS,   DESMONTE   Y   MONTAJE NUEVAMENTE, GARANTIZAR CORRECTO FUNCIONAMIENTO)</t>
  </si>
  <si>
    <t>REPARACIONES EN RED -TUBERIA PVC SANITARIA DE 2", 3", 4" _ TUBERIA PVCP DE 1/2" - 3/4" Y 1"  (INCLUYE 1,05 ML
DE TUBERÍA REPARADA)</t>
  </si>
  <si>
    <t>VIII.CARPINTERIA DE MADERA</t>
  </si>
  <si>
    <t>IX. APARATOS SANITARIOS</t>
  </si>
  <si>
    <t>X. ACCESORIOS SANITARIOS</t>
  </si>
  <si>
    <t>10.3</t>
  </si>
  <si>
    <t>10.4</t>
  </si>
  <si>
    <t>10.5</t>
  </si>
  <si>
    <t>10.6</t>
  </si>
  <si>
    <t>10.7</t>
  </si>
  <si>
    <t>XI. ENCHAPES</t>
  </si>
  <si>
    <t>XII. PAÑETES</t>
  </si>
  <si>
    <t>XIII. PINTURA</t>
  </si>
  <si>
    <t>13.3</t>
  </si>
  <si>
    <t>13.4</t>
  </si>
  <si>
    <t>13.5</t>
  </si>
  <si>
    <t>13.6</t>
  </si>
  <si>
    <t>13.7</t>
  </si>
  <si>
    <t>13.8</t>
  </si>
  <si>
    <t>13.9</t>
  </si>
  <si>
    <t>XIV. BASE PISO</t>
  </si>
  <si>
    <t>XV. PISOS ACABADOS</t>
  </si>
  <si>
    <t>15.1</t>
  </si>
  <si>
    <t>15.2</t>
  </si>
  <si>
    <t>15.3</t>
  </si>
  <si>
    <t>XVI. CIELOS RASOS</t>
  </si>
  <si>
    <t>XVII. CUBIERTAS</t>
  </si>
  <si>
    <t>17.4</t>
  </si>
  <si>
    <t>17.5</t>
  </si>
  <si>
    <t>XVIII. LUMINARIAS</t>
  </si>
  <si>
    <t>18.2</t>
  </si>
  <si>
    <t>18.3</t>
  </si>
  <si>
    <t>18.4</t>
  </si>
  <si>
    <t>XIX. CERRADURAS</t>
  </si>
  <si>
    <t>XX. VIDRIOS Y ESPEJOS</t>
  </si>
  <si>
    <t>XXI. ASEO Y MENTENIMIENTO</t>
  </si>
  <si>
    <t>21.2</t>
  </si>
  <si>
    <t>XXII. MOBILIARIO DE OFICINA</t>
  </si>
  <si>
    <t>22.1</t>
  </si>
  <si>
    <t>ESTUCO PLÁSTICO</t>
  </si>
  <si>
    <t>DESMONTE DE PUNTO HIDRO-SANITARIO (INCLUYE REGATAS EN PAREDES /PISOS)</t>
  </si>
  <si>
    <t>PLACA DE CONCRETO TRATAMIENTO DE JUNTAS, RETIRO DE SELLO ACTUAL Y SELLO  A  BASE  DE  MORTETO  EPOXICO  212.70 M  /  CONSTRUCCION  DE  PISO  CON  MORTERO  HIBRIDO MAPEFLOOR CPU E=4MM, INCLUYE LA PREPARACION DE SUPERFICIE Y PINTURA EPOXICA GRIS</t>
  </si>
  <si>
    <t>PUENTE DE ADHERENCIA PARA LA PEGA DE CONCRETO FRESCO A CONCRETO ENDURECIDO</t>
  </si>
  <si>
    <t>DEMOLICIÓN DE MUROS EXISTENTES EN MAMPOSTERIA</t>
  </si>
  <si>
    <t>CANTIDAD</t>
  </si>
  <si>
    <t>OFERTA ECONÓMICA</t>
  </si>
  <si>
    <t>SA-MC-SG-SA-029-2024</t>
  </si>
  <si>
    <t>MANTENIMIENTO PREVENTIVO Y ADECUACION DE LOS EDIFICIOS DE ARCHIVO CENTRAL – ARCHIVO TERRITORIALES DEL INVIAS</t>
  </si>
  <si>
    <t>VALOR UNITARIO TECHO DE LA ENTIDAD</t>
  </si>
  <si>
    <t>VALOR UNITARIO OFERTADO POR EL PROPONENTE</t>
  </si>
  <si>
    <t>VALOR TOTAL</t>
  </si>
  <si>
    <t>RAUL ALBERTO MARTINEZ ARIAS</t>
  </si>
  <si>
    <t>C.C. 77,192,470</t>
  </si>
  <si>
    <t>REPRESENTANTE LEGAL INGECOAS SAS</t>
  </si>
  <si>
    <t>NIT.900385205-1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</si>
</sst>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_-* #,##0.00\ &quot;Pts&quot;_-;\-* #,##0.00\ &quot;Pts&quot;_-;_-* &quot;-&quot;??\ &quot;Pts&quot;_-;_-@_-"/>
    <numFmt numFmtId="167" formatCode="_([$$-240A]\ * #,##0.00_);_([$$-240A]\ * \(#,##0.00\);_([$$-240A]\ * &quot;-&quot;??_);_(@_)"/>
    <numFmt numFmtId="168" formatCode="_(&quot;$&quot;\ * #,##0.00_);_(&quot;$&quot;\ * \(#,##0.00\);_(&quot;$&quot;\ * &quot;-&quot;??_);_(@_)"/>
    <numFmt numFmtId="169" formatCode="_(&quot;$&quot;\ * #,##0_);_(&quot;$&quot;\ * \(#,##0\);_(&quot;$&quot;\ * &quot;-&quot;_);_(@_)"/>
    <numFmt numFmtId="170" formatCode="0.0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 MT"/>
    </font>
    <font>
      <sz val="10"/>
      <name val="Arial MT"/>
      <family val="2"/>
    </font>
    <font>
      <sz val="9"/>
      <name val="Arial MT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sz val="10"/>
      <name val="Helvetica"/>
      <family val="2"/>
    </font>
    <font>
      <u/>
      <sz val="10"/>
      <color indexed="12"/>
      <name val="Arial"/>
      <family val="2"/>
    </font>
    <font>
      <sz val="11"/>
      <color rgb="FFFF0000"/>
      <name val="Calibri"/>
      <family val="2"/>
      <scheme val="minor"/>
    </font>
    <font>
      <sz val="11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CC99FF"/>
      </bottom>
      <diagonal/>
    </border>
    <border>
      <left style="thin">
        <color rgb="FF000000"/>
      </left>
      <right style="thin">
        <color rgb="FF000000"/>
      </right>
      <top style="thin">
        <color rgb="FFCC99FF"/>
      </top>
      <bottom style="thin">
        <color rgb="FFCC99FF"/>
      </bottom>
      <diagonal/>
    </border>
    <border>
      <left style="thin">
        <color rgb="FF000000"/>
      </left>
      <right style="thin">
        <color rgb="FF000000"/>
      </right>
      <top style="thin">
        <color rgb="FFCC99F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CC99FF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CC99FF"/>
      </top>
      <bottom style="thin">
        <color rgb="FFCC99F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0" fontId="1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 applyNumberFormat="0" applyBorder="0" applyAlignment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3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192">
    <xf numFmtId="0" fontId="0" fillId="0" borderId="0" xfId="0"/>
    <xf numFmtId="0" fontId="2" fillId="0" borderId="0" xfId="0" applyFont="1" applyAlignment="1">
      <alignment vertical="center"/>
    </xf>
    <xf numFmtId="0" fontId="5" fillId="0" borderId="18" xfId="3" applyFont="1" applyBorder="1" applyAlignment="1">
      <alignment horizontal="center" vertical="center"/>
    </xf>
    <xf numFmtId="0" fontId="5" fillId="0" borderId="19" xfId="3" applyFont="1" applyBorder="1" applyAlignment="1">
      <alignment horizontal="center" vertical="center"/>
    </xf>
    <xf numFmtId="0" fontId="6" fillId="2" borderId="19" xfId="3" applyFont="1" applyFill="1" applyBorder="1" applyAlignment="1">
      <alignment vertical="center" wrapText="1"/>
    </xf>
    <xf numFmtId="0" fontId="5" fillId="0" borderId="10" xfId="4" applyFont="1" applyBorder="1" applyAlignment="1">
      <alignment horizontal="center" vertical="center" wrapText="1"/>
    </xf>
    <xf numFmtId="0" fontId="5" fillId="3" borderId="16" xfId="2" applyFont="1" applyFill="1" applyBorder="1" applyAlignment="1">
      <alignment horizontal="center" vertical="center" wrapText="1"/>
    </xf>
    <xf numFmtId="4" fontId="5" fillId="3" borderId="17" xfId="2" applyNumberFormat="1" applyFont="1" applyFill="1" applyBorder="1" applyAlignment="1">
      <alignment horizontal="center" vertical="center" wrapText="1"/>
    </xf>
    <xf numFmtId="0" fontId="5" fillId="2" borderId="13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top" wrapText="1"/>
    </xf>
    <xf numFmtId="0" fontId="5" fillId="2" borderId="18" xfId="2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167" fontId="5" fillId="3" borderId="12" xfId="22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2" borderId="18" xfId="2" applyFont="1" applyFill="1" applyBorder="1" applyAlignment="1">
      <alignment horizontal="center" vertical="center" wrapText="1"/>
    </xf>
    <xf numFmtId="0" fontId="6" fillId="3" borderId="16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top" wrapText="1"/>
    </xf>
    <xf numFmtId="0" fontId="9" fillId="0" borderId="21" xfId="0" applyFont="1" applyBorder="1" applyAlignment="1">
      <alignment horizontal="center" vertical="center" wrapText="1"/>
    </xf>
    <xf numFmtId="0" fontId="5" fillId="2" borderId="1" xfId="2" applyFont="1" applyFill="1" applyBorder="1" applyAlignment="1">
      <alignment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4" fontId="5" fillId="3" borderId="19" xfId="2" applyNumberFormat="1" applyFont="1" applyFill="1" applyBorder="1" applyAlignment="1">
      <alignment horizontal="center" vertical="center" wrapText="1"/>
    </xf>
    <xf numFmtId="167" fontId="5" fillId="0" borderId="12" xfId="22" applyNumberFormat="1" applyFont="1" applyFill="1" applyBorder="1" applyAlignment="1">
      <alignment vertical="center"/>
    </xf>
    <xf numFmtId="167" fontId="5" fillId="0" borderId="29" xfId="22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 wrapText="1"/>
    </xf>
    <xf numFmtId="0" fontId="5" fillId="0" borderId="16" xfId="2" applyFont="1" applyBorder="1" applyAlignment="1">
      <alignment horizontal="center" vertical="center" wrapText="1"/>
    </xf>
    <xf numFmtId="4" fontId="5" fillId="0" borderId="17" xfId="2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8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0" fontId="5" fillId="3" borderId="16" xfId="2" applyNumberFormat="1" applyFont="1" applyFill="1" applyBorder="1" applyAlignment="1">
      <alignment horizontal="center" vertical="center" wrapText="1"/>
    </xf>
    <xf numFmtId="170" fontId="14" fillId="0" borderId="1" xfId="0" applyNumberFormat="1" applyFont="1" applyBorder="1" applyAlignment="1" applyProtection="1">
      <alignment horizontal="center" vertical="center" wrapText="1"/>
      <protection hidden="1"/>
    </xf>
    <xf numFmtId="170" fontId="5" fillId="0" borderId="16" xfId="2" applyNumberFormat="1" applyFont="1" applyBorder="1" applyAlignment="1">
      <alignment horizontal="center" vertical="center" wrapText="1"/>
    </xf>
    <xf numFmtId="170" fontId="14" fillId="0" borderId="1" xfId="24" applyNumberFormat="1" applyFont="1" applyFill="1" applyBorder="1" applyAlignment="1" applyProtection="1">
      <alignment horizontal="center" vertical="center"/>
    </xf>
    <xf numFmtId="170" fontId="2" fillId="0" borderId="0" xfId="0" applyNumberFormat="1" applyFont="1" applyAlignment="1">
      <alignment vertical="center"/>
    </xf>
    <xf numFmtId="0" fontId="9" fillId="0" borderId="22" xfId="0" applyFont="1" applyBorder="1" applyAlignment="1">
      <alignment horizontal="center" vertical="top" wrapText="1"/>
    </xf>
    <xf numFmtId="0" fontId="9" fillId="0" borderId="22" xfId="0" applyFont="1" applyBorder="1" applyAlignment="1">
      <alignment horizontal="left" vertical="top" wrapText="1" indent="1"/>
    </xf>
    <xf numFmtId="4" fontId="10" fillId="0" borderId="21" xfId="0" applyNumberFormat="1" applyFont="1" applyBorder="1" applyAlignment="1">
      <alignment horizontal="right" vertical="center" shrinkToFit="1"/>
    </xf>
    <xf numFmtId="170" fontId="10" fillId="0" borderId="1" xfId="0" applyNumberFormat="1" applyFont="1" applyBorder="1" applyAlignment="1">
      <alignment horizontal="center" vertical="center" shrinkToFit="1"/>
    </xf>
    <xf numFmtId="170" fontId="10" fillId="0" borderId="21" xfId="0" applyNumberFormat="1" applyFont="1" applyBorder="1" applyAlignment="1">
      <alignment horizontal="center" vertical="top" shrinkToFit="1"/>
    </xf>
    <xf numFmtId="170" fontId="10" fillId="0" borderId="21" xfId="0" applyNumberFormat="1" applyFont="1" applyBorder="1" applyAlignment="1">
      <alignment horizontal="center" vertical="center" shrinkToFit="1"/>
    </xf>
    <xf numFmtId="44" fontId="6" fillId="0" borderId="1" xfId="0" applyNumberFormat="1" applyFont="1" applyBorder="1" applyAlignment="1">
      <alignment vertical="center"/>
    </xf>
    <xf numFmtId="4" fontId="17" fillId="0" borderId="21" xfId="0" applyNumberFormat="1" applyFont="1" applyBorder="1" applyAlignment="1">
      <alignment horizontal="right" vertical="center" shrinkToFi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170" fontId="14" fillId="0" borderId="28" xfId="0" applyNumberFormat="1" applyFont="1" applyBorder="1" applyAlignment="1" applyProtection="1">
      <alignment horizontal="center" vertical="center" wrapText="1"/>
      <protection hidden="1"/>
    </xf>
    <xf numFmtId="10" fontId="17" fillId="0" borderId="33" xfId="0" applyNumberFormat="1" applyFont="1" applyBorder="1" applyAlignment="1">
      <alignment horizontal="center" vertical="center" shrinkToFit="1"/>
    </xf>
    <xf numFmtId="10" fontId="17" fillId="0" borderId="34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top" wrapText="1"/>
    </xf>
    <xf numFmtId="0" fontId="11" fillId="0" borderId="21" xfId="0" applyFont="1" applyBorder="1" applyAlignment="1">
      <alignment horizontal="center" vertical="top" wrapText="1"/>
    </xf>
    <xf numFmtId="0" fontId="11" fillId="0" borderId="22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center" vertical="top" wrapText="1"/>
    </xf>
    <xf numFmtId="0" fontId="10" fillId="0" borderId="22" xfId="0" applyFont="1" applyBorder="1" applyAlignment="1">
      <alignment horizontal="center" vertical="top" wrapText="1"/>
    </xf>
    <xf numFmtId="0" fontId="10" fillId="0" borderId="21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left" vertical="top" wrapText="1"/>
    </xf>
    <xf numFmtId="0" fontId="10" fillId="0" borderId="21" xfId="0" applyFont="1" applyBorder="1" applyAlignment="1">
      <alignment horizontal="left" vertical="top" wrapText="1"/>
    </xf>
    <xf numFmtId="0" fontId="10" fillId="0" borderId="22" xfId="0" applyFont="1" applyBorder="1" applyAlignment="1">
      <alignment horizontal="left" vertical="top" wrapText="1"/>
    </xf>
    <xf numFmtId="0" fontId="10" fillId="0" borderId="20" xfId="0" applyFont="1" applyBorder="1" applyAlignment="1">
      <alignment horizontal="center" vertical="top" wrapText="1"/>
    </xf>
    <xf numFmtId="0" fontId="10" fillId="0" borderId="27" xfId="0" applyFont="1" applyBorder="1" applyAlignment="1">
      <alignment horizontal="center" vertical="top" wrapText="1"/>
    </xf>
    <xf numFmtId="0" fontId="14" fillId="0" borderId="1" xfId="23" applyFont="1" applyBorder="1" applyAlignment="1" applyProtection="1">
      <alignment horizontal="justify" vertical="center" wrapText="1"/>
      <protection hidden="1"/>
    </xf>
    <xf numFmtId="0" fontId="14" fillId="0" borderId="1" xfId="0" applyFont="1" applyBorder="1" applyAlignment="1">
      <alignment horizontal="justify" vertical="center" wrapText="1"/>
    </xf>
    <xf numFmtId="0" fontId="10" fillId="0" borderId="23" xfId="0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/>
    </xf>
    <xf numFmtId="170" fontId="5" fillId="0" borderId="0" xfId="3" applyNumberFormat="1" applyFont="1" applyAlignment="1">
      <alignment horizontal="center" vertical="center"/>
    </xf>
    <xf numFmtId="44" fontId="6" fillId="2" borderId="36" xfId="22" applyFont="1" applyFill="1" applyBorder="1" applyAlignment="1">
      <alignment horizontal="right" vertical="center" shrinkToFit="1"/>
    </xf>
    <xf numFmtId="0" fontId="5" fillId="2" borderId="0" xfId="2" applyFont="1" applyFill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170" fontId="5" fillId="2" borderId="0" xfId="2" applyNumberFormat="1" applyFont="1" applyFill="1" applyAlignment="1">
      <alignment horizontal="center" vertical="center" wrapText="1"/>
    </xf>
    <xf numFmtId="44" fontId="6" fillId="0" borderId="36" xfId="22" applyFont="1" applyFill="1" applyBorder="1" applyAlignment="1">
      <alignment horizontal="right" vertical="center" shrinkToFit="1"/>
    </xf>
    <xf numFmtId="0" fontId="5" fillId="0" borderId="0" xfId="2" applyFont="1" applyAlignment="1">
      <alignment horizontal="center" vertical="center" wrapText="1"/>
    </xf>
    <xf numFmtId="170" fontId="5" fillId="0" borderId="0" xfId="2" applyNumberFormat="1" applyFont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44" fontId="12" fillId="2" borderId="29" xfId="22" applyFont="1" applyFill="1" applyBorder="1" applyAlignment="1">
      <alignment horizontal="right" vertical="center" shrinkToFit="1"/>
    </xf>
    <xf numFmtId="0" fontId="5" fillId="3" borderId="0" xfId="2" applyFont="1" applyFill="1" applyAlignment="1">
      <alignment horizontal="center" vertical="center" wrapText="1"/>
    </xf>
    <xf numFmtId="170" fontId="5" fillId="3" borderId="0" xfId="2" applyNumberFormat="1" applyFont="1" applyFill="1" applyAlignment="1">
      <alignment horizontal="center" vertical="center" wrapText="1"/>
    </xf>
    <xf numFmtId="44" fontId="6" fillId="2" borderId="12" xfId="22" applyFont="1" applyFill="1" applyBorder="1" applyAlignment="1">
      <alignment horizontal="center" vertical="center" wrapText="1"/>
    </xf>
    <xf numFmtId="3" fontId="5" fillId="2" borderId="10" xfId="3" applyNumberFormat="1" applyFont="1" applyFill="1" applyBorder="1" applyAlignment="1">
      <alignment vertical="center"/>
    </xf>
    <xf numFmtId="44" fontId="5" fillId="2" borderId="11" xfId="22" applyFont="1" applyFill="1" applyBorder="1" applyAlignment="1">
      <alignment horizontal="center" vertical="center" wrapText="1"/>
    </xf>
    <xf numFmtId="170" fontId="5" fillId="2" borderId="1" xfId="2" applyNumberFormat="1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170" fontId="5" fillId="3" borderId="1" xfId="2" applyNumberFormat="1" applyFont="1" applyFill="1" applyBorder="1" applyAlignment="1">
      <alignment horizontal="center" vertical="center" wrapText="1"/>
    </xf>
    <xf numFmtId="4" fontId="5" fillId="3" borderId="1" xfId="2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right" vertical="center" shrinkToFit="1"/>
    </xf>
    <xf numFmtId="44" fontId="6" fillId="2" borderId="1" xfId="22" applyFont="1" applyFill="1" applyBorder="1" applyAlignment="1">
      <alignment horizontal="right" vertical="center" shrinkToFit="1"/>
    </xf>
    <xf numFmtId="0" fontId="1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center" wrapText="1"/>
    </xf>
    <xf numFmtId="167" fontId="5" fillId="0" borderId="1" xfId="22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170" fontId="5" fillId="0" borderId="1" xfId="2" applyNumberFormat="1" applyFont="1" applyBorder="1" applyAlignment="1">
      <alignment horizontal="center" vertical="center" wrapText="1"/>
    </xf>
    <xf numFmtId="170" fontId="10" fillId="0" borderId="1" xfId="0" applyNumberFormat="1" applyFont="1" applyBorder="1" applyAlignment="1">
      <alignment horizontal="center" vertical="top" shrinkToFit="1"/>
    </xf>
    <xf numFmtId="44" fontId="6" fillId="0" borderId="1" xfId="22" applyFont="1" applyFill="1" applyBorder="1" applyAlignment="1">
      <alignment horizontal="right" vertical="center" shrinkToFit="1"/>
    </xf>
    <xf numFmtId="0" fontId="6" fillId="3" borderId="1" xfId="2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4" fontId="17" fillId="0" borderId="1" xfId="0" applyNumberFormat="1" applyFont="1" applyBorder="1" applyAlignment="1">
      <alignment horizontal="right" vertical="center" shrinkToFit="1"/>
    </xf>
    <xf numFmtId="0" fontId="9" fillId="0" borderId="1" xfId="0" applyFont="1" applyBorder="1" applyAlignment="1">
      <alignment horizontal="left" vertical="top" wrapText="1" indent="1"/>
    </xf>
    <xf numFmtId="44" fontId="12" fillId="2" borderId="1" xfId="22" applyFont="1" applyFill="1" applyBorder="1" applyAlignment="1">
      <alignment horizontal="right" vertical="center" shrinkToFit="1"/>
    </xf>
    <xf numFmtId="167" fontId="5" fillId="3" borderId="1" xfId="22" applyNumberFormat="1" applyFont="1" applyFill="1" applyBorder="1" applyAlignment="1">
      <alignment vertical="center"/>
    </xf>
    <xf numFmtId="10" fontId="17" fillId="0" borderId="1" xfId="0" applyNumberFormat="1" applyFont="1" applyBorder="1" applyAlignment="1">
      <alignment horizontal="center" vertical="center" shrinkToFit="1"/>
    </xf>
    <xf numFmtId="44" fontId="6" fillId="2" borderId="1" xfId="22" applyFont="1" applyFill="1" applyBorder="1" applyAlignment="1">
      <alignment horizontal="center" vertical="center" wrapText="1"/>
    </xf>
    <xf numFmtId="3" fontId="5" fillId="2" borderId="1" xfId="3" applyNumberFormat="1" applyFont="1" applyFill="1" applyBorder="1" applyAlignment="1">
      <alignment vertical="center"/>
    </xf>
    <xf numFmtId="44" fontId="5" fillId="2" borderId="1" xfId="22" applyFont="1" applyFill="1" applyBorder="1" applyAlignment="1">
      <alignment horizontal="center" vertical="center" wrapText="1"/>
    </xf>
    <xf numFmtId="0" fontId="6" fillId="2" borderId="35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6" fillId="2" borderId="30" xfId="3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top" wrapText="1"/>
    </xf>
    <xf numFmtId="0" fontId="9" fillId="0" borderId="32" xfId="0" applyFont="1" applyBorder="1" applyAlignment="1">
      <alignment horizontal="center" vertical="top" wrapText="1"/>
    </xf>
    <xf numFmtId="0" fontId="7" fillId="2" borderId="13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4" fillId="2" borderId="10" xfId="3" applyFont="1" applyFill="1" applyBorder="1" applyAlignment="1">
      <alignment vertical="center" wrapText="1"/>
    </xf>
    <xf numFmtId="3" fontId="5" fillId="2" borderId="10" xfId="3" applyNumberFormat="1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 wrapText="1"/>
    </xf>
    <xf numFmtId="0" fontId="5" fillId="3" borderId="18" xfId="2" applyFont="1" applyFill="1" applyBorder="1" applyAlignment="1">
      <alignment horizontal="left" vertical="center" wrapText="1"/>
    </xf>
    <xf numFmtId="0" fontId="5" fillId="3" borderId="0" xfId="2" applyFont="1" applyFill="1" applyAlignment="1">
      <alignment horizontal="left" vertical="center" wrapText="1"/>
    </xf>
    <xf numFmtId="0" fontId="6" fillId="2" borderId="13" xfId="3" applyFont="1" applyFill="1" applyBorder="1" applyAlignment="1">
      <alignment vertical="center" wrapText="1"/>
    </xf>
    <xf numFmtId="0" fontId="6" fillId="2" borderId="1" xfId="3" applyFont="1" applyFill="1" applyBorder="1" applyAlignment="1">
      <alignment vertical="center" wrapText="1"/>
    </xf>
    <xf numFmtId="0" fontId="12" fillId="0" borderId="2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5" fillId="3" borderId="15" xfId="2" applyFont="1" applyFill="1" applyBorder="1" applyAlignment="1">
      <alignment horizontal="left" vertical="center" wrapText="1"/>
    </xf>
    <xf numFmtId="0" fontId="5" fillId="3" borderId="16" xfId="2" applyFont="1" applyFill="1" applyBorder="1" applyAlignment="1">
      <alignment horizontal="left" vertical="center" wrapText="1"/>
    </xf>
    <xf numFmtId="0" fontId="5" fillId="2" borderId="18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 wrapText="1"/>
    </xf>
    <xf numFmtId="0" fontId="6" fillId="2" borderId="18" xfId="3" applyFont="1" applyFill="1" applyBorder="1" applyAlignment="1">
      <alignment horizontal="center" vertical="center" wrapText="1"/>
    </xf>
    <xf numFmtId="0" fontId="6" fillId="2" borderId="0" xfId="3" applyFont="1" applyFill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3" borderId="3" xfId="2" applyFont="1" applyFill="1" applyBorder="1" applyAlignment="1">
      <alignment horizontal="left" vertical="center"/>
    </xf>
    <xf numFmtId="0" fontId="5" fillId="3" borderId="4" xfId="2" applyFont="1" applyFill="1" applyBorder="1" applyAlignment="1">
      <alignment horizontal="left" vertical="center"/>
    </xf>
    <xf numFmtId="0" fontId="5" fillId="3" borderId="5" xfId="2" applyFont="1" applyFill="1" applyBorder="1" applyAlignment="1">
      <alignment horizontal="left" vertical="center"/>
    </xf>
    <xf numFmtId="0" fontId="5" fillId="2" borderId="6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0" borderId="24" xfId="4" applyFont="1" applyBorder="1" applyAlignment="1">
      <alignment horizontal="center" vertical="center" wrapText="1"/>
    </xf>
    <xf numFmtId="0" fontId="5" fillId="0" borderId="25" xfId="4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170" fontId="5" fillId="2" borderId="7" xfId="2" applyNumberFormat="1" applyFont="1" applyFill="1" applyBorder="1" applyAlignment="1">
      <alignment horizontal="center" vertical="center" wrapText="1"/>
    </xf>
    <xf numFmtId="170" fontId="5" fillId="2" borderId="10" xfId="2" applyNumberFormat="1" applyFont="1" applyFill="1" applyBorder="1" applyAlignment="1">
      <alignment horizontal="center" vertical="center" wrapText="1"/>
    </xf>
    <xf numFmtId="4" fontId="5" fillId="2" borderId="8" xfId="2" applyNumberFormat="1" applyFont="1" applyFill="1" applyBorder="1" applyAlignment="1">
      <alignment horizontal="center" vertical="center" wrapText="1"/>
    </xf>
    <xf numFmtId="4" fontId="5" fillId="2" borderId="11" xfId="2" applyNumberFormat="1" applyFont="1" applyFill="1" applyBorder="1" applyAlignment="1">
      <alignment horizontal="center" vertical="center" wrapText="1"/>
    </xf>
    <xf numFmtId="0" fontId="5" fillId="0" borderId="15" xfId="2" applyFont="1" applyBorder="1" applyAlignment="1">
      <alignment horizontal="left" vertical="center" wrapText="1"/>
    </xf>
    <xf numFmtId="0" fontId="5" fillId="0" borderId="16" xfId="2" applyFont="1" applyBorder="1" applyAlignment="1">
      <alignment horizontal="left" vertical="center" wrapText="1"/>
    </xf>
    <xf numFmtId="0" fontId="5" fillId="0" borderId="18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19" xfId="3" applyFont="1" applyBorder="1" applyAlignment="1">
      <alignment horizontal="center" vertical="center"/>
    </xf>
    <xf numFmtId="0" fontId="5" fillId="0" borderId="15" xfId="3" applyFont="1" applyBorder="1" applyAlignment="1">
      <alignment horizontal="center" vertical="center"/>
    </xf>
    <xf numFmtId="0" fontId="5" fillId="0" borderId="16" xfId="3" applyFont="1" applyBorder="1" applyAlignment="1">
      <alignment horizontal="center" vertical="center"/>
    </xf>
    <xf numFmtId="0" fontId="5" fillId="0" borderId="17" xfId="3" applyFont="1" applyBorder="1" applyAlignment="1">
      <alignment horizontal="center" vertical="center"/>
    </xf>
    <xf numFmtId="3" fontId="5" fillId="2" borderId="1" xfId="3" applyNumberFormat="1" applyFont="1" applyFill="1" applyBorder="1" applyAlignment="1">
      <alignment horizontal="center" vertical="center"/>
    </xf>
    <xf numFmtId="4" fontId="5" fillId="2" borderId="1" xfId="2" applyNumberFormat="1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vertical="center" wrapText="1"/>
    </xf>
    <xf numFmtId="0" fontId="4" fillId="2" borderId="1" xfId="3" applyFont="1" applyFill="1" applyBorder="1" applyAlignment="1">
      <alignment vertical="center" wrapText="1"/>
    </xf>
    <xf numFmtId="0" fontId="5" fillId="3" borderId="1" xfId="2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6" fillId="2" borderId="1" xfId="3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38" xfId="3" applyFont="1" applyBorder="1" applyAlignment="1">
      <alignment horizontal="center" vertical="center"/>
    </xf>
    <xf numFmtId="0" fontId="5" fillId="0" borderId="39" xfId="3" applyFont="1" applyBorder="1" applyAlignment="1">
      <alignment horizontal="center" vertical="center"/>
    </xf>
    <xf numFmtId="0" fontId="5" fillId="0" borderId="40" xfId="3" applyFont="1" applyBorder="1" applyAlignment="1">
      <alignment horizontal="center" vertical="center"/>
    </xf>
    <xf numFmtId="0" fontId="5" fillId="0" borderId="41" xfId="3" applyFont="1" applyBorder="1" applyAlignment="1">
      <alignment horizontal="center" vertical="center"/>
    </xf>
    <xf numFmtId="0" fontId="5" fillId="0" borderId="26" xfId="3" applyFont="1" applyBorder="1" applyAlignment="1">
      <alignment horizontal="center" vertical="center"/>
    </xf>
    <xf numFmtId="0" fontId="5" fillId="2" borderId="38" xfId="3" applyFont="1" applyFill="1" applyBorder="1" applyAlignment="1">
      <alignment horizontal="center" vertical="center" wrapText="1"/>
    </xf>
    <xf numFmtId="0" fontId="5" fillId="2" borderId="39" xfId="3" applyFont="1" applyFill="1" applyBorder="1" applyAlignment="1">
      <alignment horizontal="center" vertical="center" wrapText="1"/>
    </xf>
    <xf numFmtId="0" fontId="5" fillId="2" borderId="40" xfId="3" applyFont="1" applyFill="1" applyBorder="1" applyAlignment="1">
      <alignment horizontal="center" vertical="center" wrapText="1"/>
    </xf>
    <xf numFmtId="0" fontId="5" fillId="2" borderId="42" xfId="3" applyFont="1" applyFill="1" applyBorder="1" applyAlignment="1">
      <alignment horizontal="center" vertical="center" wrapText="1"/>
    </xf>
    <xf numFmtId="0" fontId="5" fillId="2" borderId="37" xfId="3" applyFont="1" applyFill="1" applyBorder="1" applyAlignment="1">
      <alignment horizontal="center" vertical="center" wrapText="1"/>
    </xf>
    <xf numFmtId="0" fontId="5" fillId="2" borderId="43" xfId="3" applyFont="1" applyFill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170" fontId="5" fillId="2" borderId="1" xfId="2" applyNumberFormat="1" applyFont="1" applyFill="1" applyBorder="1" applyAlignment="1">
      <alignment horizontal="center" vertical="center" wrapText="1"/>
    </xf>
    <xf numFmtId="44" fontId="0" fillId="0" borderId="1" xfId="22" applyFont="1" applyBorder="1" applyAlignment="1">
      <alignment vertical="center"/>
    </xf>
    <xf numFmtId="44" fontId="2" fillId="0" borderId="1" xfId="22" applyFont="1" applyBorder="1" applyAlignment="1">
      <alignment vertical="center"/>
    </xf>
    <xf numFmtId="44" fontId="5" fillId="2" borderId="1" xfId="22" applyFont="1" applyFill="1" applyBorder="1" applyAlignment="1">
      <alignment horizontal="center" vertical="center" wrapText="1"/>
    </xf>
    <xf numFmtId="44" fontId="5" fillId="3" borderId="1" xfId="22" applyFont="1" applyFill="1" applyBorder="1" applyAlignment="1">
      <alignment horizontal="center" vertical="center" wrapText="1"/>
    </xf>
    <xf numFmtId="44" fontId="2" fillId="0" borderId="0" xfId="22" applyFont="1" applyAlignment="1">
      <alignment vertical="center"/>
    </xf>
    <xf numFmtId="0" fontId="2" fillId="0" borderId="37" xfId="0" applyFont="1" applyBorder="1" applyAlignment="1">
      <alignment vertical="center"/>
    </xf>
  </cellXfs>
  <cellStyles count="25">
    <cellStyle name="Hipervínculo" xfId="24" builtinId="8"/>
    <cellStyle name="Millares 2" xfId="5" xr:uid="{00000000-0005-0000-0000-000000000000}"/>
    <cellStyle name="Millares 2 2" xfId="10" xr:uid="{00000000-0005-0000-0000-000001000000}"/>
    <cellStyle name="Millares 3" xfId="11" xr:uid="{00000000-0005-0000-0000-000002000000}"/>
    <cellStyle name="Moneda" xfId="22" builtinId="4"/>
    <cellStyle name="Moneda [0] 2" xfId="13" xr:uid="{00000000-0005-0000-0000-000004000000}"/>
    <cellStyle name="Moneda [0] 3" xfId="12" xr:uid="{00000000-0005-0000-0000-000005000000}"/>
    <cellStyle name="Moneda 2" xfId="6" xr:uid="{00000000-0005-0000-0000-000006000000}"/>
    <cellStyle name="Moneda 2 2" xfId="14" xr:uid="{00000000-0005-0000-0000-000007000000}"/>
    <cellStyle name="Moneda 2 2 2 2 2" xfId="9" xr:uid="{00000000-0005-0000-0000-000008000000}"/>
    <cellStyle name="Normal" xfId="0" builtinId="0"/>
    <cellStyle name="Normal 10" xfId="15" xr:uid="{00000000-0005-0000-0000-00000A000000}"/>
    <cellStyle name="Normal 14" xfId="16" xr:uid="{00000000-0005-0000-0000-00000B000000}"/>
    <cellStyle name="Normal 2" xfId="17" xr:uid="{00000000-0005-0000-0000-00000C000000}"/>
    <cellStyle name="Normal 2 10 2 2" xfId="7" xr:uid="{00000000-0005-0000-0000-00000D000000}"/>
    <cellStyle name="Normal 2 10 3" xfId="4" xr:uid="{00000000-0005-0000-0000-00000E000000}"/>
    <cellStyle name="Normal 2 2" xfId="2" xr:uid="{00000000-0005-0000-0000-00000F000000}"/>
    <cellStyle name="Normal 3" xfId="1" xr:uid="{00000000-0005-0000-0000-000010000000}"/>
    <cellStyle name="Normal 3 11" xfId="3" xr:uid="{00000000-0005-0000-0000-000011000000}"/>
    <cellStyle name="Normal 3 2 2" xfId="8" xr:uid="{00000000-0005-0000-0000-000012000000}"/>
    <cellStyle name="Normal 4" xfId="18" xr:uid="{00000000-0005-0000-0000-000013000000}"/>
    <cellStyle name="Normal 4 2 2" xfId="19" xr:uid="{00000000-0005-0000-0000-000014000000}"/>
    <cellStyle name="Normal_precios 2001-2 y 2002-1" xfId="23" xr:uid="{3BFFD0B6-321E-4107-8BF5-246C38BEED32}"/>
    <cellStyle name="Porcentaje 2" xfId="20" xr:uid="{00000000-0005-0000-0000-000017000000}"/>
    <cellStyle name="Porcentual 9" xfId="21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1019175</xdr:colOff>
      <xdr:row>1</xdr:row>
      <xdr:rowOff>57151</xdr:rowOff>
    </xdr:from>
    <xdr:to>
      <xdr:col>8</xdr:col>
      <xdr:colOff>987425</xdr:colOff>
      <xdr:row>4</xdr:row>
      <xdr:rowOff>47626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F52E3B61-F339-4DA3-AA23-5EFD10648C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70673" r="7712" b="5788"/>
        <a:stretch/>
      </xdr:blipFill>
      <xdr:spPr bwMode="auto">
        <a:xfrm>
          <a:off x="10631348" y="240031"/>
          <a:ext cx="1555648" cy="5391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1019175</xdr:colOff>
      <xdr:row>2</xdr:row>
      <xdr:rowOff>57151</xdr:rowOff>
    </xdr:from>
    <xdr:to>
      <xdr:col>8</xdr:col>
      <xdr:colOff>987425</xdr:colOff>
      <xdr:row>5</xdr:row>
      <xdr:rowOff>47626</xdr:rowOff>
    </xdr:to>
    <xdr:pic>
      <xdr:nvPicPr>
        <xdr:cNvPr id="5" name="image1.jpeg">
          <a:extLst>
            <a:ext uri="{FF2B5EF4-FFF2-40B4-BE49-F238E27FC236}">
              <a16:creationId xmlns:a16="http://schemas.microsoft.com/office/drawing/2014/main" id="{54AF877B-CDB1-4F84-8EBA-EC2842A750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70673" r="7712" b="5788"/>
        <a:stretch/>
      </xdr:blipFill>
      <xdr:spPr bwMode="auto">
        <a:xfrm>
          <a:off x="9782175" y="247651"/>
          <a:ext cx="1410607" cy="561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43543</xdr:colOff>
      <xdr:row>160</xdr:row>
      <xdr:rowOff>108857</xdr:rowOff>
    </xdr:from>
    <xdr:to>
      <xdr:col>4</xdr:col>
      <xdr:colOff>2694668</xdr:colOff>
      <xdr:row>164</xdr:row>
      <xdr:rowOff>35378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2142003-3C18-47F8-A99D-C72A392FE661}"/>
            </a:ext>
          </a:extLst>
        </xdr:cNvPr>
        <xdr:cNvPicPr/>
      </xdr:nvPicPr>
      <xdr:blipFill>
        <a:blip xmlns:r="http://schemas.openxmlformats.org/officeDocument/2006/relationships" r:embed="rId2" cstate="print">
          <a:clrChange>
            <a:clrFrom>
              <a:srgbClr val="FDFEFE"/>
            </a:clrFrom>
            <a:clrTo>
              <a:srgbClr val="FD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6229" y="66511714"/>
          <a:ext cx="26511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8CEBE-6523-49A0-81D8-BF213D3EC7CC}">
  <sheetPr>
    <tabColor rgb="FFFFC000"/>
  </sheetPr>
  <dimension ref="A1:DY156"/>
  <sheetViews>
    <sheetView showGridLines="0" topLeftCell="A141" zoomScale="70" zoomScaleNormal="70" zoomScaleSheetLayoutView="90" zoomScalePageLayoutView="85" workbookViewId="0">
      <selection activeCell="K154" sqref="K154"/>
    </sheetView>
  </sheetViews>
  <sheetFormatPr baseColWidth="10" defaultColWidth="11.44140625" defaultRowHeight="14.4"/>
  <cols>
    <col min="1" max="1" width="6.109375" style="1" customWidth="1"/>
    <col min="2" max="2" width="7.88671875" style="1" customWidth="1"/>
    <col min="3" max="3" width="12.44140625" style="1" customWidth="1"/>
    <col min="4" max="4" width="17" style="1" customWidth="1"/>
    <col min="5" max="5" width="62.88671875" style="1" customWidth="1"/>
    <col min="6" max="6" width="9.44140625" style="1" customWidth="1"/>
    <col min="7" max="7" width="15.6640625" style="41" customWidth="1"/>
    <col min="8" max="8" width="21.6640625" style="1" customWidth="1"/>
    <col min="9" max="9" width="25.33203125" style="1" customWidth="1"/>
    <col min="10" max="10" width="21.5546875" style="1" customWidth="1"/>
    <col min="11" max="16384" width="11.44140625" style="1"/>
  </cols>
  <sheetData>
    <row r="1" spans="1:10">
      <c r="A1" s="161" t="s">
        <v>0</v>
      </c>
      <c r="B1" s="162"/>
      <c r="C1" s="162"/>
      <c r="D1" s="162"/>
      <c r="E1" s="162"/>
      <c r="F1" s="162"/>
      <c r="G1" s="162"/>
      <c r="H1" s="162"/>
      <c r="I1" s="163"/>
    </row>
    <row r="2" spans="1:10">
      <c r="A2" s="158" t="s">
        <v>1</v>
      </c>
      <c r="B2" s="159"/>
      <c r="C2" s="159"/>
      <c r="D2" s="159"/>
      <c r="E2" s="159"/>
      <c r="F2" s="159"/>
      <c r="G2" s="159"/>
      <c r="H2" s="159"/>
      <c r="I2" s="160"/>
    </row>
    <row r="3" spans="1:10">
      <c r="A3" s="158" t="s">
        <v>11</v>
      </c>
      <c r="B3" s="159"/>
      <c r="C3" s="159"/>
      <c r="D3" s="159"/>
      <c r="E3" s="159"/>
      <c r="F3" s="159"/>
      <c r="G3" s="159"/>
      <c r="H3" s="159"/>
      <c r="I3" s="160"/>
    </row>
    <row r="4" spans="1:10">
      <c r="A4" s="158" t="s">
        <v>12</v>
      </c>
      <c r="B4" s="159"/>
      <c r="C4" s="159"/>
      <c r="D4" s="159"/>
      <c r="E4" s="159"/>
      <c r="F4" s="159"/>
      <c r="G4" s="159"/>
      <c r="H4" s="159"/>
      <c r="I4" s="160"/>
    </row>
    <row r="5" spans="1:10">
      <c r="A5" s="158" t="s">
        <v>171</v>
      </c>
      <c r="B5" s="159"/>
      <c r="C5" s="159"/>
      <c r="D5" s="159"/>
      <c r="E5" s="159"/>
      <c r="F5" s="159"/>
      <c r="G5" s="159"/>
      <c r="H5" s="159"/>
      <c r="I5" s="160"/>
    </row>
    <row r="6" spans="1:10">
      <c r="A6" s="158" t="s">
        <v>253</v>
      </c>
      <c r="B6" s="159"/>
      <c r="C6" s="159"/>
      <c r="D6" s="159"/>
      <c r="E6" s="159"/>
      <c r="F6" s="159"/>
      <c r="G6" s="159"/>
      <c r="H6" s="159"/>
      <c r="I6" s="160"/>
    </row>
    <row r="7" spans="1:10">
      <c r="A7" s="2"/>
      <c r="B7" s="69"/>
      <c r="C7" s="69"/>
      <c r="D7" s="69"/>
      <c r="E7" s="69"/>
      <c r="F7" s="69"/>
      <c r="G7" s="70"/>
      <c r="H7" s="69"/>
      <c r="I7" s="3"/>
    </row>
    <row r="8" spans="1:10" ht="48.9" customHeight="1">
      <c r="A8" s="138"/>
      <c r="B8" s="139"/>
      <c r="C8" s="140" t="s">
        <v>254</v>
      </c>
      <c r="D8" s="140"/>
      <c r="E8" s="140"/>
      <c r="F8" s="140"/>
      <c r="G8" s="140"/>
      <c r="H8" s="140"/>
      <c r="I8" s="4"/>
    </row>
    <row r="9" spans="1:10" ht="15" thickBot="1">
      <c r="A9" s="141"/>
      <c r="B9" s="142"/>
      <c r="C9" s="142"/>
      <c r="D9" s="142"/>
      <c r="E9" s="142"/>
      <c r="F9" s="142"/>
      <c r="G9" s="142"/>
      <c r="H9" s="142"/>
      <c r="I9" s="143"/>
    </row>
    <row r="10" spans="1:10" ht="18" customHeight="1">
      <c r="A10" s="144" t="s">
        <v>2</v>
      </c>
      <c r="B10" s="146" t="s">
        <v>3</v>
      </c>
      <c r="C10" s="148" t="s">
        <v>4</v>
      </c>
      <c r="D10" s="149"/>
      <c r="E10" s="150" t="s">
        <v>5</v>
      </c>
      <c r="F10" s="146" t="s">
        <v>6</v>
      </c>
      <c r="G10" s="152" t="s">
        <v>251</v>
      </c>
      <c r="H10" s="146" t="s">
        <v>13</v>
      </c>
      <c r="I10" s="154" t="s">
        <v>7</v>
      </c>
    </row>
    <row r="11" spans="1:10" ht="26.25" customHeight="1" thickBot="1">
      <c r="A11" s="145"/>
      <c r="B11" s="147"/>
      <c r="C11" s="5" t="s">
        <v>8</v>
      </c>
      <c r="D11" s="5" t="s">
        <v>9</v>
      </c>
      <c r="E11" s="151"/>
      <c r="F11" s="147"/>
      <c r="G11" s="153"/>
      <c r="H11" s="147"/>
      <c r="I11" s="155"/>
    </row>
    <row r="12" spans="1:10" ht="31.05" customHeight="1">
      <c r="A12" s="133" t="s">
        <v>23</v>
      </c>
      <c r="B12" s="134"/>
      <c r="C12" s="134"/>
      <c r="D12" s="134"/>
      <c r="E12" s="134"/>
      <c r="F12" s="6"/>
      <c r="G12" s="37"/>
      <c r="H12" s="6"/>
      <c r="I12" s="7"/>
    </row>
    <row r="13" spans="1:10" ht="31.05" customHeight="1">
      <c r="A13" s="8" t="s">
        <v>26</v>
      </c>
      <c r="B13" s="9"/>
      <c r="C13" s="10"/>
      <c r="D13" s="10"/>
      <c r="E13" s="54" t="s">
        <v>201</v>
      </c>
      <c r="F13" s="20" t="s">
        <v>15</v>
      </c>
      <c r="G13" s="38">
        <v>100</v>
      </c>
      <c r="H13" s="44">
        <f>+ROUND(19819.1421455,)</f>
        <v>19819</v>
      </c>
      <c r="I13" s="71">
        <f t="shared" ref="I13:I29" si="0">H13*G13</f>
        <v>1981900</v>
      </c>
      <c r="J13" s="29"/>
    </row>
    <row r="14" spans="1:10" ht="31.05" customHeight="1">
      <c r="A14" s="8" t="s">
        <v>27</v>
      </c>
      <c r="B14" s="9"/>
      <c r="C14" s="10"/>
      <c r="D14" s="10"/>
      <c r="E14" s="55" t="s">
        <v>202</v>
      </c>
      <c r="F14" s="20" t="s">
        <v>68</v>
      </c>
      <c r="G14" s="38">
        <v>40</v>
      </c>
      <c r="H14" s="44">
        <f>+ROUND(8856.17682933333,)</f>
        <v>8856</v>
      </c>
      <c r="I14" s="71">
        <f t="shared" si="0"/>
        <v>354240</v>
      </c>
      <c r="J14" s="29"/>
    </row>
    <row r="15" spans="1:10" ht="31.05" customHeight="1">
      <c r="A15" s="8" t="s">
        <v>29</v>
      </c>
      <c r="B15" s="9"/>
      <c r="C15" s="10"/>
      <c r="D15" s="10"/>
      <c r="E15" s="55" t="s">
        <v>179</v>
      </c>
      <c r="F15" s="20" t="s">
        <v>68</v>
      </c>
      <c r="G15" s="38">
        <v>330</v>
      </c>
      <c r="H15" s="44">
        <f>+ROUND(10681.7700958333,)</f>
        <v>10682</v>
      </c>
      <c r="I15" s="71">
        <f t="shared" si="0"/>
        <v>3525060</v>
      </c>
    </row>
    <row r="16" spans="1:10" ht="31.05" customHeight="1">
      <c r="A16" s="8" t="s">
        <v>28</v>
      </c>
      <c r="B16" s="9"/>
      <c r="C16" s="10"/>
      <c r="D16" s="10"/>
      <c r="E16" s="55" t="s">
        <v>178</v>
      </c>
      <c r="F16" s="20" t="s">
        <v>68</v>
      </c>
      <c r="G16" s="38">
        <v>91</v>
      </c>
      <c r="H16" s="44">
        <f>+ROUND(10393.5171108333,)</f>
        <v>10394</v>
      </c>
      <c r="I16" s="71">
        <f t="shared" si="0"/>
        <v>945854</v>
      </c>
    </row>
    <row r="17" spans="1:10" ht="31.05" customHeight="1">
      <c r="A17" s="8" t="s">
        <v>30</v>
      </c>
      <c r="B17" s="9"/>
      <c r="C17" s="10"/>
      <c r="D17" s="10"/>
      <c r="E17" s="55" t="s">
        <v>180</v>
      </c>
      <c r="F17" s="20" t="s">
        <v>14</v>
      </c>
      <c r="G17" s="38">
        <v>4</v>
      </c>
      <c r="H17" s="44">
        <f>+ROUND(25240.7306025,)</f>
        <v>25241</v>
      </c>
      <c r="I17" s="71">
        <f t="shared" si="0"/>
        <v>100964</v>
      </c>
    </row>
    <row r="18" spans="1:10" ht="31.05" customHeight="1">
      <c r="A18" s="8" t="s">
        <v>31</v>
      </c>
      <c r="B18" s="9"/>
      <c r="C18" s="10"/>
      <c r="D18" s="10"/>
      <c r="E18" s="55" t="s">
        <v>181</v>
      </c>
      <c r="F18" s="20" t="s">
        <v>15</v>
      </c>
      <c r="G18" s="38">
        <v>67</v>
      </c>
      <c r="H18" s="44">
        <f>+ROUND(13650.9808998333,)</f>
        <v>13651</v>
      </c>
      <c r="I18" s="71">
        <f t="shared" si="0"/>
        <v>914617</v>
      </c>
    </row>
    <row r="19" spans="1:10" ht="31.05" customHeight="1">
      <c r="A19" s="8" t="s">
        <v>32</v>
      </c>
      <c r="B19" s="9"/>
      <c r="C19" s="10"/>
      <c r="D19" s="10"/>
      <c r="E19" s="55" t="s">
        <v>182</v>
      </c>
      <c r="F19" s="20" t="s">
        <v>68</v>
      </c>
      <c r="G19" s="38">
        <v>135</v>
      </c>
      <c r="H19" s="44">
        <f>+ROUND(27196.6956916667,)</f>
        <v>27197</v>
      </c>
      <c r="I19" s="71">
        <f t="shared" si="0"/>
        <v>3671595</v>
      </c>
    </row>
    <row r="20" spans="1:10" ht="31.05" customHeight="1">
      <c r="A20" s="8" t="s">
        <v>33</v>
      </c>
      <c r="B20" s="9"/>
      <c r="C20" s="10"/>
      <c r="D20" s="10"/>
      <c r="E20" s="55" t="s">
        <v>183</v>
      </c>
      <c r="F20" s="20" t="s">
        <v>68</v>
      </c>
      <c r="G20" s="38">
        <v>150</v>
      </c>
      <c r="H20" s="44">
        <f>+ROUND(16338.6643666667,)</f>
        <v>16339</v>
      </c>
      <c r="I20" s="71">
        <f t="shared" si="0"/>
        <v>2450850</v>
      </c>
    </row>
    <row r="21" spans="1:10" ht="31.05" customHeight="1">
      <c r="A21" s="8" t="s">
        <v>34</v>
      </c>
      <c r="B21" s="9"/>
      <c r="C21" s="10"/>
      <c r="D21" s="10"/>
      <c r="E21" s="55" t="s">
        <v>184</v>
      </c>
      <c r="F21" s="20" t="s">
        <v>68</v>
      </c>
      <c r="G21" s="38">
        <v>400</v>
      </c>
      <c r="H21" s="44">
        <f>+ROUND(14056.3955933333,)</f>
        <v>14056</v>
      </c>
      <c r="I21" s="71">
        <f t="shared" si="0"/>
        <v>5622400</v>
      </c>
    </row>
    <row r="22" spans="1:10" ht="31.05" customHeight="1">
      <c r="A22" s="8" t="s">
        <v>35</v>
      </c>
      <c r="B22" s="9"/>
      <c r="C22" s="10"/>
      <c r="D22" s="10"/>
      <c r="E22" s="55" t="s">
        <v>185</v>
      </c>
      <c r="F22" s="20" t="s">
        <v>68</v>
      </c>
      <c r="G22" s="38">
        <v>268</v>
      </c>
      <c r="H22" s="44">
        <f>+ROUND(16450.0011741667,)</f>
        <v>16450</v>
      </c>
      <c r="I22" s="71">
        <f t="shared" si="0"/>
        <v>4408600</v>
      </c>
    </row>
    <row r="23" spans="1:10" ht="31.05" customHeight="1">
      <c r="A23" s="8" t="s">
        <v>36</v>
      </c>
      <c r="B23" s="9"/>
      <c r="C23" s="10"/>
      <c r="D23" s="10"/>
      <c r="E23" s="55" t="s">
        <v>186</v>
      </c>
      <c r="F23" s="20" t="s">
        <v>68</v>
      </c>
      <c r="G23" s="38">
        <v>8</v>
      </c>
      <c r="H23" s="44">
        <f>+ROUND(69044.8345333333,)</f>
        <v>69045</v>
      </c>
      <c r="I23" s="71">
        <f t="shared" si="0"/>
        <v>552360</v>
      </c>
    </row>
    <row r="24" spans="1:10" ht="31.05" customHeight="1">
      <c r="A24" s="8" t="s">
        <v>37</v>
      </c>
      <c r="B24" s="9"/>
      <c r="C24" s="10"/>
      <c r="D24" s="10"/>
      <c r="E24" s="55" t="s">
        <v>196</v>
      </c>
      <c r="F24" s="20" t="s">
        <v>14</v>
      </c>
      <c r="G24" s="38">
        <v>1</v>
      </c>
      <c r="H24" s="44">
        <f>+ROUND(38820.6038916667,)</f>
        <v>38821</v>
      </c>
      <c r="I24" s="71">
        <f t="shared" si="0"/>
        <v>38821</v>
      </c>
    </row>
    <row r="25" spans="1:10" ht="31.05" customHeight="1">
      <c r="A25" s="8" t="s">
        <v>38</v>
      </c>
      <c r="B25" s="9"/>
      <c r="C25" s="10"/>
      <c r="D25" s="10"/>
      <c r="E25" s="55" t="s">
        <v>250</v>
      </c>
      <c r="F25" s="20" t="s">
        <v>68</v>
      </c>
      <c r="G25" s="38">
        <v>19</v>
      </c>
      <c r="H25" s="44">
        <f>+ROUND(14876.546825,)</f>
        <v>14877</v>
      </c>
      <c r="I25" s="71">
        <f t="shared" si="0"/>
        <v>282663</v>
      </c>
    </row>
    <row r="26" spans="1:10" ht="31.05" customHeight="1">
      <c r="A26" s="8" t="s">
        <v>70</v>
      </c>
      <c r="B26" s="9"/>
      <c r="C26" s="10"/>
      <c r="D26" s="10"/>
      <c r="E26" s="55" t="s">
        <v>247</v>
      </c>
      <c r="F26" s="20" t="s">
        <v>14</v>
      </c>
      <c r="G26" s="38">
        <v>11</v>
      </c>
      <c r="H26" s="44">
        <f>+ROUND(55410.77346,)</f>
        <v>55411</v>
      </c>
      <c r="I26" s="71">
        <f t="shared" si="0"/>
        <v>609521</v>
      </c>
    </row>
    <row r="27" spans="1:10" ht="31.05" customHeight="1">
      <c r="A27" s="8" t="s">
        <v>71</v>
      </c>
      <c r="B27" s="9"/>
      <c r="C27" s="10"/>
      <c r="D27" s="10"/>
      <c r="E27" s="55" t="s">
        <v>197</v>
      </c>
      <c r="F27" s="20" t="s">
        <v>14</v>
      </c>
      <c r="G27" s="38">
        <v>20</v>
      </c>
      <c r="H27" s="44">
        <f>+ROUND(50283.3160966667,)</f>
        <v>50283</v>
      </c>
      <c r="I27" s="71">
        <f t="shared" si="0"/>
        <v>1005660</v>
      </c>
    </row>
    <row r="28" spans="1:10" ht="31.05" customHeight="1">
      <c r="A28" s="8" t="s">
        <v>72</v>
      </c>
      <c r="B28" s="9"/>
      <c r="C28" s="10"/>
      <c r="D28" s="10"/>
      <c r="E28" s="55" t="s">
        <v>198</v>
      </c>
      <c r="F28" s="20" t="s">
        <v>14</v>
      </c>
      <c r="G28" s="38">
        <v>30</v>
      </c>
      <c r="H28" s="44">
        <f>+ROUND(17208.3433641667,)</f>
        <v>17208</v>
      </c>
      <c r="I28" s="71">
        <f t="shared" si="0"/>
        <v>516240</v>
      </c>
    </row>
    <row r="29" spans="1:10" ht="39.75" customHeight="1">
      <c r="A29" s="8" t="s">
        <v>73</v>
      </c>
      <c r="B29" s="9"/>
      <c r="C29" s="10"/>
      <c r="D29" s="10"/>
      <c r="E29" s="56" t="s">
        <v>203</v>
      </c>
      <c r="F29" s="21" t="s">
        <v>69</v>
      </c>
      <c r="G29" s="38">
        <v>19</v>
      </c>
      <c r="H29" s="44">
        <f>+ROUND(106698.795090667,)</f>
        <v>106699</v>
      </c>
      <c r="I29" s="71">
        <f t="shared" si="0"/>
        <v>2027281</v>
      </c>
      <c r="J29" s="29"/>
    </row>
    <row r="30" spans="1:10" ht="31.05" customHeight="1" thickBot="1">
      <c r="A30" s="12"/>
      <c r="B30" s="72"/>
      <c r="C30" s="73"/>
      <c r="D30" s="73"/>
      <c r="E30" s="74"/>
      <c r="F30" s="72"/>
      <c r="G30" s="75"/>
      <c r="H30" s="13" t="s">
        <v>65</v>
      </c>
      <c r="I30" s="27">
        <f>SUM(I13:I29)</f>
        <v>29008626</v>
      </c>
    </row>
    <row r="31" spans="1:10" ht="31.05" customHeight="1">
      <c r="A31" s="133" t="s">
        <v>74</v>
      </c>
      <c r="B31" s="134"/>
      <c r="C31" s="134"/>
      <c r="D31" s="134"/>
      <c r="E31" s="134"/>
      <c r="F31" s="6"/>
      <c r="G31" s="37"/>
      <c r="H31" s="6"/>
      <c r="I31" s="7"/>
    </row>
    <row r="32" spans="1:10" ht="31.05" customHeight="1">
      <c r="A32" s="8" t="s">
        <v>19</v>
      </c>
      <c r="B32" s="9"/>
      <c r="C32" s="10"/>
      <c r="D32" s="10"/>
      <c r="E32" s="57" t="s">
        <v>187</v>
      </c>
      <c r="F32" s="11" t="s">
        <v>24</v>
      </c>
      <c r="G32" s="45">
        <v>1.21</v>
      </c>
      <c r="H32" s="44">
        <f>+ROUND(142338.264740833,)</f>
        <v>142338</v>
      </c>
      <c r="I32" s="71">
        <f>ROUND(H32*G32,)</f>
        <v>172229</v>
      </c>
    </row>
    <row r="33" spans="1:10" ht="70.650000000000006" customHeight="1">
      <c r="A33" s="8" t="s">
        <v>20</v>
      </c>
      <c r="B33" s="9"/>
      <c r="C33" s="10"/>
      <c r="D33" s="10"/>
      <c r="E33" s="20" t="s">
        <v>248</v>
      </c>
      <c r="F33" s="11" t="s">
        <v>24</v>
      </c>
      <c r="G33" s="45">
        <v>230</v>
      </c>
      <c r="H33" s="44">
        <f>+ROUND(276104.793333333,)</f>
        <v>276105</v>
      </c>
      <c r="I33" s="71">
        <f>H33*G33</f>
        <v>63504150</v>
      </c>
    </row>
    <row r="34" spans="1:10" ht="40.5" customHeight="1">
      <c r="A34" s="8" t="s">
        <v>21</v>
      </c>
      <c r="B34" s="9"/>
      <c r="C34" s="10"/>
      <c r="D34" s="10"/>
      <c r="E34" s="58" t="s">
        <v>249</v>
      </c>
      <c r="F34" s="11" t="s">
        <v>25</v>
      </c>
      <c r="G34" s="45">
        <v>120</v>
      </c>
      <c r="H34" s="44">
        <f>+ROUND(42788.6073388,)</f>
        <v>42789</v>
      </c>
      <c r="I34" s="71">
        <f>H34*G34</f>
        <v>5134680</v>
      </c>
      <c r="J34" s="29"/>
    </row>
    <row r="35" spans="1:10" ht="31.05" customHeight="1" thickBot="1">
      <c r="A35" s="12"/>
      <c r="B35" s="72"/>
      <c r="C35" s="73"/>
      <c r="D35" s="73"/>
      <c r="E35" s="74"/>
      <c r="F35" s="72"/>
      <c r="G35" s="75"/>
      <c r="H35" s="15" t="s">
        <v>16</v>
      </c>
      <c r="I35" s="27">
        <f>SUM(I32:I34)</f>
        <v>68811059</v>
      </c>
    </row>
    <row r="36" spans="1:10" ht="31.05" customHeight="1">
      <c r="A36" s="156" t="s">
        <v>75</v>
      </c>
      <c r="B36" s="157"/>
      <c r="C36" s="157"/>
      <c r="D36" s="157"/>
      <c r="E36" s="157"/>
      <c r="F36" s="31"/>
      <c r="G36" s="39"/>
      <c r="H36" s="31"/>
      <c r="I36" s="32"/>
    </row>
    <row r="37" spans="1:10" ht="33.75" customHeight="1">
      <c r="A37" s="33" t="s">
        <v>22</v>
      </c>
      <c r="B37" s="34"/>
      <c r="C37" s="10"/>
      <c r="D37" s="10"/>
      <c r="E37" s="57" t="s">
        <v>66</v>
      </c>
      <c r="F37" s="20" t="s">
        <v>14</v>
      </c>
      <c r="G37" s="46">
        <v>2</v>
      </c>
      <c r="H37" s="44">
        <f>+ROUND(46912.8270833333,)</f>
        <v>46913</v>
      </c>
      <c r="I37" s="76">
        <f>H37*G37</f>
        <v>93826</v>
      </c>
    </row>
    <row r="38" spans="1:10" ht="33.75" customHeight="1">
      <c r="A38" s="33" t="s">
        <v>40</v>
      </c>
      <c r="B38" s="34"/>
      <c r="C38" s="10"/>
      <c r="D38" s="10"/>
      <c r="E38" s="20" t="s">
        <v>67</v>
      </c>
      <c r="F38" s="20" t="s">
        <v>14</v>
      </c>
      <c r="G38" s="46">
        <v>2</v>
      </c>
      <c r="H38" s="44">
        <f>+ROUND(142756.1974,)</f>
        <v>142756</v>
      </c>
      <c r="I38" s="76">
        <f>H38*G38</f>
        <v>285512</v>
      </c>
    </row>
    <row r="39" spans="1:10" ht="44.25" customHeight="1">
      <c r="A39" s="33" t="s">
        <v>41</v>
      </c>
      <c r="B39" s="34"/>
      <c r="C39" s="10"/>
      <c r="D39" s="10"/>
      <c r="E39" s="20" t="s">
        <v>208</v>
      </c>
      <c r="F39" s="20" t="s">
        <v>14</v>
      </c>
      <c r="G39" s="46">
        <v>4</v>
      </c>
      <c r="H39" s="44">
        <f>+ROUND(76813.7582958333,)</f>
        <v>76814</v>
      </c>
      <c r="I39" s="76">
        <f>H39*G39</f>
        <v>307256</v>
      </c>
    </row>
    <row r="40" spans="1:10" ht="31.05" customHeight="1" thickBot="1">
      <c r="A40" s="35"/>
      <c r="B40" s="77"/>
      <c r="C40" s="73"/>
      <c r="D40" s="73"/>
      <c r="E40" s="74"/>
      <c r="F40" s="77"/>
      <c r="G40" s="78"/>
      <c r="H40" s="36" t="s">
        <v>64</v>
      </c>
      <c r="I40" s="27">
        <f>SUM(I37:I39)</f>
        <v>686594</v>
      </c>
    </row>
    <row r="41" spans="1:10" ht="31.05" customHeight="1">
      <c r="A41" s="133" t="s">
        <v>76</v>
      </c>
      <c r="B41" s="134"/>
      <c r="C41" s="134"/>
      <c r="D41" s="134"/>
      <c r="E41" s="134"/>
      <c r="F41" s="6"/>
      <c r="G41" s="37"/>
      <c r="H41" s="6"/>
      <c r="I41" s="7"/>
    </row>
    <row r="42" spans="1:10" ht="34.65" customHeight="1">
      <c r="A42" s="8" t="s">
        <v>43</v>
      </c>
      <c r="B42" s="9"/>
      <c r="C42" s="10"/>
      <c r="D42" s="10"/>
      <c r="E42" s="57" t="s">
        <v>77</v>
      </c>
      <c r="F42" s="20" t="s">
        <v>14</v>
      </c>
      <c r="G42" s="46">
        <v>4</v>
      </c>
      <c r="H42" s="44">
        <f>+ROUND(68149.1710983333,)</f>
        <v>68149</v>
      </c>
      <c r="I42" s="71">
        <f>H42*G42</f>
        <v>272596</v>
      </c>
      <c r="J42" s="29"/>
    </row>
    <row r="43" spans="1:10" ht="34.65" customHeight="1">
      <c r="A43" s="8" t="s">
        <v>44</v>
      </c>
      <c r="B43" s="9"/>
      <c r="C43" s="10"/>
      <c r="D43" s="10"/>
      <c r="E43" s="20" t="s">
        <v>78</v>
      </c>
      <c r="F43" s="20" t="s">
        <v>14</v>
      </c>
      <c r="G43" s="46">
        <v>2</v>
      </c>
      <c r="H43" s="44">
        <f>+ROUND(73018.8366166667,)</f>
        <v>73019</v>
      </c>
      <c r="I43" s="71">
        <f t="shared" ref="I43:I49" si="1">H43*G43</f>
        <v>146038</v>
      </c>
      <c r="J43" s="29"/>
    </row>
    <row r="44" spans="1:10" ht="34.65" customHeight="1">
      <c r="A44" s="8" t="s">
        <v>45</v>
      </c>
      <c r="B44" s="9"/>
      <c r="C44" s="10"/>
      <c r="D44" s="10"/>
      <c r="E44" s="20" t="s">
        <v>79</v>
      </c>
      <c r="F44" s="20" t="s">
        <v>14</v>
      </c>
      <c r="G44" s="46">
        <v>2</v>
      </c>
      <c r="H44" s="44">
        <f>+ROUND(139400.00995,)</f>
        <v>139400</v>
      </c>
      <c r="I44" s="71">
        <f t="shared" si="1"/>
        <v>278800</v>
      </c>
      <c r="J44" s="29"/>
    </row>
    <row r="45" spans="1:10" ht="34.65" customHeight="1">
      <c r="A45" s="8" t="s">
        <v>82</v>
      </c>
      <c r="B45" s="9"/>
      <c r="C45" s="10"/>
      <c r="D45" s="10"/>
      <c r="E45" s="20" t="s">
        <v>80</v>
      </c>
      <c r="F45" s="20" t="s">
        <v>14</v>
      </c>
      <c r="G45" s="46">
        <v>2</v>
      </c>
      <c r="H45" s="44">
        <f>+ROUND(41958.5483208333,)</f>
        <v>41959</v>
      </c>
      <c r="I45" s="71">
        <f t="shared" si="1"/>
        <v>83918</v>
      </c>
      <c r="J45" s="29"/>
    </row>
    <row r="46" spans="1:10" ht="34.65" customHeight="1">
      <c r="A46" s="8" t="s">
        <v>83</v>
      </c>
      <c r="B46" s="9"/>
      <c r="C46" s="10"/>
      <c r="D46" s="10"/>
      <c r="E46" s="59" t="s">
        <v>199</v>
      </c>
      <c r="F46" s="20" t="s">
        <v>14</v>
      </c>
      <c r="G46" s="46">
        <v>1</v>
      </c>
      <c r="H46" s="44">
        <f>+ROUND(850040.226591667,)</f>
        <v>850040</v>
      </c>
      <c r="I46" s="71">
        <f t="shared" si="1"/>
        <v>850040</v>
      </c>
    </row>
    <row r="47" spans="1:10" ht="32.25" customHeight="1">
      <c r="A47" s="8" t="s">
        <v>84</v>
      </c>
      <c r="B47" s="9"/>
      <c r="C47" s="10"/>
      <c r="D47" s="10"/>
      <c r="E47" s="20" t="s">
        <v>81</v>
      </c>
      <c r="F47" s="20" t="s">
        <v>15</v>
      </c>
      <c r="G47" s="46">
        <v>20</v>
      </c>
      <c r="H47" s="44">
        <f>+ROUND(13322.7766566667,)</f>
        <v>13323</v>
      </c>
      <c r="I47" s="71">
        <f t="shared" si="1"/>
        <v>266460</v>
      </c>
      <c r="J47" s="29"/>
    </row>
    <row r="48" spans="1:10" ht="29.25" customHeight="1">
      <c r="A48" s="8" t="s">
        <v>85</v>
      </c>
      <c r="B48" s="9"/>
      <c r="C48" s="10"/>
      <c r="D48" s="10"/>
      <c r="E48" s="59" t="s">
        <v>200</v>
      </c>
      <c r="F48" s="20" t="s">
        <v>15</v>
      </c>
      <c r="G48" s="46">
        <v>40</v>
      </c>
      <c r="H48" s="44">
        <f>+ROUND(38346.0060052,)</f>
        <v>38346</v>
      </c>
      <c r="I48" s="71">
        <f t="shared" si="1"/>
        <v>1533840</v>
      </c>
      <c r="J48" s="29"/>
    </row>
    <row r="49" spans="1:10" ht="29.25" customHeight="1">
      <c r="A49" s="8" t="s">
        <v>86</v>
      </c>
      <c r="B49" s="9"/>
      <c r="C49" s="10"/>
      <c r="D49" s="10"/>
      <c r="E49" s="42" t="s">
        <v>188</v>
      </c>
      <c r="F49" s="20" t="s">
        <v>14</v>
      </c>
      <c r="G49" s="46">
        <v>3</v>
      </c>
      <c r="H49" s="44">
        <f>+ROUND(41118.2405958333,)</f>
        <v>41118</v>
      </c>
      <c r="I49" s="71">
        <f t="shared" si="1"/>
        <v>123354</v>
      </c>
    </row>
    <row r="50" spans="1:10" ht="31.05" customHeight="1" thickBot="1">
      <c r="A50" s="12"/>
      <c r="B50" s="72"/>
      <c r="C50" s="73"/>
      <c r="D50" s="73"/>
      <c r="E50" s="74"/>
      <c r="F50" s="72"/>
      <c r="G50" s="75"/>
      <c r="H50" s="15" t="s">
        <v>17</v>
      </c>
      <c r="I50" s="27">
        <f>SUM(I42:I49)</f>
        <v>3555046</v>
      </c>
    </row>
    <row r="51" spans="1:10" ht="31.05" customHeight="1">
      <c r="A51" s="133" t="s">
        <v>144</v>
      </c>
      <c r="B51" s="134"/>
      <c r="C51" s="134"/>
      <c r="D51" s="134"/>
      <c r="E51" s="134"/>
      <c r="F51" s="6"/>
      <c r="G51" s="37"/>
      <c r="H51" s="6"/>
      <c r="I51" s="7"/>
    </row>
    <row r="52" spans="1:10" ht="33.75" customHeight="1">
      <c r="A52" s="8" t="s">
        <v>55</v>
      </c>
      <c r="B52" s="9"/>
      <c r="C52" s="10"/>
      <c r="D52" s="10"/>
      <c r="E52" s="57" t="s">
        <v>42</v>
      </c>
      <c r="F52" s="20" t="s">
        <v>14</v>
      </c>
      <c r="G52" s="46">
        <v>1</v>
      </c>
      <c r="H52" s="44">
        <f>+ROUND(225735.783095,)</f>
        <v>225736</v>
      </c>
      <c r="I52" s="71">
        <f t="shared" ref="I52:I65" si="2">H52*G52</f>
        <v>225736</v>
      </c>
    </row>
    <row r="53" spans="1:10" ht="33.75" customHeight="1">
      <c r="A53" s="8" t="s">
        <v>56</v>
      </c>
      <c r="B53" s="9"/>
      <c r="C53" s="10"/>
      <c r="D53" s="10"/>
      <c r="E53" s="20" t="s">
        <v>206</v>
      </c>
      <c r="F53" s="20" t="s">
        <v>14</v>
      </c>
      <c r="G53" s="46">
        <v>62</v>
      </c>
      <c r="H53" s="44">
        <f>+ROUND(97655.4330333333,)</f>
        <v>97655</v>
      </c>
      <c r="I53" s="71">
        <f t="shared" si="2"/>
        <v>6054610</v>
      </c>
    </row>
    <row r="54" spans="1:10" ht="33.75" customHeight="1" thickBot="1">
      <c r="A54" s="12"/>
      <c r="B54" s="72"/>
      <c r="C54" s="73"/>
      <c r="D54" s="73"/>
      <c r="E54" s="74"/>
      <c r="F54" s="72"/>
      <c r="G54" s="75"/>
      <c r="H54" s="15" t="s">
        <v>18</v>
      </c>
      <c r="I54" s="27">
        <f>SUM(I52:I53)</f>
        <v>6280346</v>
      </c>
    </row>
    <row r="55" spans="1:10" ht="33.75" customHeight="1">
      <c r="A55" s="133" t="s">
        <v>148</v>
      </c>
      <c r="B55" s="134"/>
      <c r="C55" s="134"/>
      <c r="D55" s="134"/>
      <c r="E55" s="134"/>
      <c r="F55" s="6"/>
      <c r="G55" s="37"/>
      <c r="H55" s="6"/>
      <c r="I55" s="7"/>
    </row>
    <row r="56" spans="1:10" ht="33.75" customHeight="1">
      <c r="A56" s="8" t="s">
        <v>39</v>
      </c>
      <c r="B56" s="9"/>
      <c r="C56" s="10"/>
      <c r="D56" s="10"/>
      <c r="E56" s="60" t="s">
        <v>46</v>
      </c>
      <c r="F56" s="11" t="s">
        <v>14</v>
      </c>
      <c r="G56" s="40">
        <v>1</v>
      </c>
      <c r="H56" s="44">
        <f>+ROUND(770339.382443333,)</f>
        <v>770339</v>
      </c>
      <c r="I56" s="71">
        <f>H56*G56</f>
        <v>770339</v>
      </c>
      <c r="J56" s="29"/>
    </row>
    <row r="57" spans="1:10" ht="33.75" customHeight="1">
      <c r="A57" s="8" t="s">
        <v>58</v>
      </c>
      <c r="B57" s="9"/>
      <c r="C57" s="10"/>
      <c r="D57" s="10"/>
      <c r="E57" s="60" t="s">
        <v>47</v>
      </c>
      <c r="F57" s="11" t="s">
        <v>14</v>
      </c>
      <c r="G57" s="40">
        <v>1</v>
      </c>
      <c r="H57" s="44">
        <f>+ROUND(250341.844488333,)</f>
        <v>250342</v>
      </c>
      <c r="I57" s="71">
        <f>H57*G57</f>
        <v>250342</v>
      </c>
      <c r="J57" s="29"/>
    </row>
    <row r="58" spans="1:10" ht="33.75" customHeight="1">
      <c r="A58" s="8" t="s">
        <v>59</v>
      </c>
      <c r="B58" s="9"/>
      <c r="C58" s="10"/>
      <c r="D58" s="10"/>
      <c r="E58" s="60" t="s">
        <v>48</v>
      </c>
      <c r="F58" s="11" t="s">
        <v>14</v>
      </c>
      <c r="G58" s="40">
        <v>7</v>
      </c>
      <c r="H58" s="44">
        <f>+ROUND(210000.6854275,)</f>
        <v>210001</v>
      </c>
      <c r="I58" s="71">
        <f t="shared" si="2"/>
        <v>1470007</v>
      </c>
      <c r="J58" s="29"/>
    </row>
    <row r="59" spans="1:10" ht="33.75" customHeight="1">
      <c r="A59" s="8" t="s">
        <v>60</v>
      </c>
      <c r="B59" s="9"/>
      <c r="C59" s="10"/>
      <c r="D59" s="10"/>
      <c r="E59" s="60" t="s">
        <v>49</v>
      </c>
      <c r="F59" s="11" t="s">
        <v>14</v>
      </c>
      <c r="G59" s="40">
        <v>70</v>
      </c>
      <c r="H59" s="44">
        <f>+ROUND(237566.219215,)</f>
        <v>237566</v>
      </c>
      <c r="I59" s="71">
        <f t="shared" si="2"/>
        <v>16629620</v>
      </c>
      <c r="J59" s="29"/>
    </row>
    <row r="60" spans="1:10" ht="33.75" customHeight="1">
      <c r="A60" s="8" t="s">
        <v>149</v>
      </c>
      <c r="B60" s="9"/>
      <c r="C60" s="10"/>
      <c r="D60" s="10"/>
      <c r="E60" s="60" t="s">
        <v>50</v>
      </c>
      <c r="F60" s="11" t="s">
        <v>14</v>
      </c>
      <c r="G60" s="38">
        <v>38</v>
      </c>
      <c r="H60" s="44">
        <f>+ROUND(275165.239761667,)</f>
        <v>275165</v>
      </c>
      <c r="I60" s="71">
        <f t="shared" si="2"/>
        <v>10456270</v>
      </c>
      <c r="J60" s="29"/>
    </row>
    <row r="61" spans="1:10" ht="33.75" customHeight="1">
      <c r="A61" s="8" t="s">
        <v>150</v>
      </c>
      <c r="B61" s="9"/>
      <c r="C61" s="10"/>
      <c r="D61" s="10"/>
      <c r="E61" s="60" t="s">
        <v>51</v>
      </c>
      <c r="F61" s="11" t="s">
        <v>15</v>
      </c>
      <c r="G61" s="38">
        <v>50</v>
      </c>
      <c r="H61" s="44">
        <f>+ROUND(27646.27097,)</f>
        <v>27646</v>
      </c>
      <c r="I61" s="71">
        <f t="shared" si="2"/>
        <v>1382300</v>
      </c>
      <c r="J61" s="29"/>
    </row>
    <row r="62" spans="1:10" ht="33.75" customHeight="1">
      <c r="A62" s="8" t="s">
        <v>151</v>
      </c>
      <c r="B62" s="9"/>
      <c r="C62" s="10"/>
      <c r="D62" s="10"/>
      <c r="E62" s="60" t="s">
        <v>52</v>
      </c>
      <c r="F62" s="11" t="s">
        <v>15</v>
      </c>
      <c r="G62" s="38">
        <v>12</v>
      </c>
      <c r="H62" s="44">
        <f>+ROUND(34266.07097,)</f>
        <v>34266</v>
      </c>
      <c r="I62" s="71">
        <f t="shared" si="2"/>
        <v>411192</v>
      </c>
      <c r="J62" s="29"/>
    </row>
    <row r="63" spans="1:10" ht="33.75" customHeight="1">
      <c r="A63" s="8" t="s">
        <v>152</v>
      </c>
      <c r="B63" s="9"/>
      <c r="C63" s="10"/>
      <c r="D63" s="10"/>
      <c r="E63" s="60" t="s">
        <v>53</v>
      </c>
      <c r="F63" s="11" t="s">
        <v>15</v>
      </c>
      <c r="G63" s="38">
        <v>215</v>
      </c>
      <c r="H63" s="44">
        <f>+ROUND(17371.0337275,)</f>
        <v>17371</v>
      </c>
      <c r="I63" s="71">
        <f t="shared" si="2"/>
        <v>3734765</v>
      </c>
    </row>
    <row r="64" spans="1:10" ht="33.75" customHeight="1">
      <c r="A64" s="8" t="s">
        <v>153</v>
      </c>
      <c r="B64" s="9"/>
      <c r="C64" s="10"/>
      <c r="D64" s="10"/>
      <c r="E64" s="60" t="s">
        <v>205</v>
      </c>
      <c r="F64" s="11" t="s">
        <v>15</v>
      </c>
      <c r="G64" s="38">
        <v>75</v>
      </c>
      <c r="H64" s="44">
        <f>+ROUND(10155.4851941667,)</f>
        <v>10155</v>
      </c>
      <c r="I64" s="71">
        <f t="shared" si="2"/>
        <v>761625</v>
      </c>
    </row>
    <row r="65" spans="1:10" ht="49.05" customHeight="1">
      <c r="A65" s="8" t="s">
        <v>154</v>
      </c>
      <c r="B65" s="9"/>
      <c r="C65" s="10"/>
      <c r="D65" s="10"/>
      <c r="E65" s="60" t="s">
        <v>54</v>
      </c>
      <c r="F65" s="11" t="s">
        <v>14</v>
      </c>
      <c r="G65" s="38">
        <v>1</v>
      </c>
      <c r="H65" s="44">
        <f>+ROUND(12523004.3786053,)</f>
        <v>12523004</v>
      </c>
      <c r="I65" s="71">
        <f t="shared" si="2"/>
        <v>12523004</v>
      </c>
      <c r="J65" s="29"/>
    </row>
    <row r="66" spans="1:10" ht="31.05" customHeight="1" thickBot="1">
      <c r="A66" s="16"/>
      <c r="B66" s="79"/>
      <c r="C66" s="80"/>
      <c r="D66" s="80"/>
      <c r="E66" s="74"/>
      <c r="F66" s="79"/>
      <c r="G66" s="75"/>
      <c r="H66" s="15" t="s">
        <v>155</v>
      </c>
      <c r="I66" s="27">
        <f>SUM(I56:I65)</f>
        <v>48389464</v>
      </c>
    </row>
    <row r="67" spans="1:10" ht="31.05" customHeight="1">
      <c r="A67" s="133" t="s">
        <v>156</v>
      </c>
      <c r="B67" s="134"/>
      <c r="C67" s="134"/>
      <c r="D67" s="134"/>
      <c r="E67" s="134"/>
      <c r="F67" s="17"/>
      <c r="G67" s="37"/>
      <c r="H67" s="6"/>
      <c r="I67" s="7"/>
    </row>
    <row r="68" spans="1:10" ht="45.3" customHeight="1">
      <c r="A68" s="8" t="s">
        <v>61</v>
      </c>
      <c r="B68" s="18"/>
      <c r="C68" s="19"/>
      <c r="D68" s="19"/>
      <c r="E68" s="61" t="s">
        <v>87</v>
      </c>
      <c r="F68" s="21" t="s">
        <v>90</v>
      </c>
      <c r="G68" s="47">
        <v>53</v>
      </c>
      <c r="H68" s="48">
        <f>+ROUND(189595.973409444,)</f>
        <v>189596</v>
      </c>
      <c r="I68" s="71">
        <f>H68*G68</f>
        <v>10048588</v>
      </c>
      <c r="J68" s="29"/>
    </row>
    <row r="69" spans="1:10" ht="43.5" customHeight="1">
      <c r="A69" s="8" t="s">
        <v>57</v>
      </c>
      <c r="B69" s="18"/>
      <c r="C69" s="19"/>
      <c r="D69" s="19"/>
      <c r="E69" s="62" t="s">
        <v>88</v>
      </c>
      <c r="F69" s="21" t="s">
        <v>91</v>
      </c>
      <c r="G69" s="47">
        <v>150</v>
      </c>
      <c r="H69" s="48">
        <f>+ROUND(110658.004966667,)</f>
        <v>110658</v>
      </c>
      <c r="I69" s="71">
        <f>H69*G69</f>
        <v>16598700</v>
      </c>
    </row>
    <row r="70" spans="1:10" ht="33.75" customHeight="1">
      <c r="A70" s="8" t="s">
        <v>62</v>
      </c>
      <c r="B70" s="18"/>
      <c r="C70" s="19"/>
      <c r="D70" s="19"/>
      <c r="E70" s="63" t="s">
        <v>89</v>
      </c>
      <c r="F70" s="20" t="s">
        <v>14</v>
      </c>
      <c r="G70" s="46">
        <v>3.96</v>
      </c>
      <c r="H70" s="48">
        <f>+ROUND(424052.978491667,)</f>
        <v>424053</v>
      </c>
      <c r="I70" s="71">
        <f>ROUND(H70*G70,)</f>
        <v>1679250</v>
      </c>
    </row>
    <row r="71" spans="1:10" ht="31.05" customHeight="1" thickBot="1">
      <c r="A71" s="12"/>
      <c r="B71" s="72"/>
      <c r="C71" s="73"/>
      <c r="D71" s="73"/>
      <c r="E71" s="74"/>
      <c r="F71" s="72"/>
      <c r="G71" s="75"/>
      <c r="H71" s="15" t="s">
        <v>97</v>
      </c>
      <c r="I71" s="27">
        <f>SUM(I68:I70)</f>
        <v>28326538</v>
      </c>
    </row>
    <row r="72" spans="1:10" ht="33.75" customHeight="1">
      <c r="A72" s="133" t="s">
        <v>209</v>
      </c>
      <c r="B72" s="134"/>
      <c r="C72" s="134"/>
      <c r="D72" s="134"/>
      <c r="E72" s="134"/>
      <c r="F72" s="17"/>
      <c r="G72" s="37"/>
      <c r="H72" s="6"/>
      <c r="I72" s="7"/>
    </row>
    <row r="73" spans="1:10" ht="54.75" customHeight="1">
      <c r="A73" s="8" t="s">
        <v>92</v>
      </c>
      <c r="B73" s="9"/>
      <c r="C73" s="10"/>
      <c r="D73" s="10"/>
      <c r="E73" s="57" t="s">
        <v>207</v>
      </c>
      <c r="F73" s="21" t="s">
        <v>14</v>
      </c>
      <c r="G73" s="46">
        <v>6</v>
      </c>
      <c r="H73" s="48">
        <f>+ROUND(226590.501346667,0)</f>
        <v>226591</v>
      </c>
      <c r="I73" s="71">
        <f>H73*G73</f>
        <v>1359546</v>
      </c>
    </row>
    <row r="74" spans="1:10" ht="33.75" customHeight="1" thickBot="1">
      <c r="A74" s="12"/>
      <c r="B74" s="72"/>
      <c r="C74" s="73"/>
      <c r="D74" s="73"/>
      <c r="E74" s="74"/>
      <c r="F74" s="72"/>
      <c r="G74" s="75"/>
      <c r="H74" s="15" t="s">
        <v>98</v>
      </c>
      <c r="I74" s="27">
        <f>SUM(I73:I73)</f>
        <v>1359546</v>
      </c>
    </row>
    <row r="75" spans="1:10" ht="33.75" customHeight="1">
      <c r="A75" s="133" t="s">
        <v>210</v>
      </c>
      <c r="B75" s="134"/>
      <c r="C75" s="134"/>
      <c r="D75" s="134"/>
      <c r="E75" s="134"/>
      <c r="F75" s="17"/>
      <c r="G75" s="37"/>
      <c r="H75" s="6"/>
      <c r="I75" s="7"/>
    </row>
    <row r="76" spans="1:10" ht="33.75" customHeight="1">
      <c r="A76" s="8" t="s">
        <v>93</v>
      </c>
      <c r="B76" s="9"/>
      <c r="C76" s="10"/>
      <c r="D76" s="10"/>
      <c r="E76" s="64" t="s">
        <v>96</v>
      </c>
      <c r="F76" s="21" t="s">
        <v>14</v>
      </c>
      <c r="G76" s="47">
        <v>2</v>
      </c>
      <c r="H76" s="48">
        <f>+ROUND(291386.6789375,)</f>
        <v>291387</v>
      </c>
      <c r="I76" s="71">
        <f>H76*G76</f>
        <v>582774</v>
      </c>
      <c r="J76" s="29"/>
    </row>
    <row r="77" spans="1:10" ht="33.75" customHeight="1">
      <c r="A77" s="8" t="s">
        <v>94</v>
      </c>
      <c r="B77" s="9"/>
      <c r="C77" s="10"/>
      <c r="D77" s="10"/>
      <c r="E77" s="42" t="s">
        <v>95</v>
      </c>
      <c r="F77" s="21" t="s">
        <v>14</v>
      </c>
      <c r="G77" s="47">
        <v>2</v>
      </c>
      <c r="H77" s="48">
        <f>+ROUND(355431.234805,)</f>
        <v>355431</v>
      </c>
      <c r="I77" s="71">
        <f>H77*G77</f>
        <v>710862</v>
      </c>
      <c r="J77" s="29"/>
    </row>
    <row r="78" spans="1:10" ht="33.75" customHeight="1" thickBot="1">
      <c r="A78" s="12"/>
      <c r="B78" s="72"/>
      <c r="C78" s="73"/>
      <c r="D78" s="73"/>
      <c r="E78" s="74"/>
      <c r="F78" s="72"/>
      <c r="G78" s="75"/>
      <c r="H78" s="15" t="s">
        <v>108</v>
      </c>
      <c r="I78" s="27">
        <f>SUM(I76:I77)</f>
        <v>1293636</v>
      </c>
    </row>
    <row r="79" spans="1:10" ht="33.75" customHeight="1">
      <c r="A79" s="133" t="s">
        <v>211</v>
      </c>
      <c r="B79" s="134"/>
      <c r="C79" s="134"/>
      <c r="D79" s="134"/>
      <c r="E79" s="134"/>
      <c r="F79" s="17"/>
      <c r="G79" s="37"/>
      <c r="H79" s="6"/>
      <c r="I79" s="7"/>
    </row>
    <row r="80" spans="1:10" ht="33.75" customHeight="1">
      <c r="A80" s="8" t="s">
        <v>106</v>
      </c>
      <c r="B80" s="9"/>
      <c r="C80" s="10"/>
      <c r="D80" s="10"/>
      <c r="E80" s="57" t="s">
        <v>99</v>
      </c>
      <c r="F80" s="20" t="s">
        <v>14</v>
      </c>
      <c r="G80" s="46">
        <v>3</v>
      </c>
      <c r="H80" s="44">
        <f>+ROUND(62317.6187158333,)</f>
        <v>62318</v>
      </c>
      <c r="I80" s="71">
        <f t="shared" ref="I80:I86" si="3">H80*G80</f>
        <v>186954</v>
      </c>
      <c r="J80" s="29"/>
    </row>
    <row r="81" spans="1:10" ht="33.75" customHeight="1">
      <c r="A81" s="8" t="s">
        <v>107</v>
      </c>
      <c r="B81" s="9"/>
      <c r="C81" s="10"/>
      <c r="D81" s="10"/>
      <c r="E81" s="20" t="s">
        <v>100</v>
      </c>
      <c r="F81" s="20" t="s">
        <v>15</v>
      </c>
      <c r="G81" s="46">
        <v>5</v>
      </c>
      <c r="H81" s="44">
        <f>+ROUND(15831.0343218333,)</f>
        <v>15831</v>
      </c>
      <c r="I81" s="71">
        <f t="shared" si="3"/>
        <v>79155</v>
      </c>
    </row>
    <row r="82" spans="1:10" ht="33.75" customHeight="1">
      <c r="A82" s="8" t="s">
        <v>212</v>
      </c>
      <c r="B82" s="9"/>
      <c r="C82" s="10"/>
      <c r="D82" s="10"/>
      <c r="E82" s="20" t="s">
        <v>101</v>
      </c>
      <c r="F82" s="20" t="s">
        <v>14</v>
      </c>
      <c r="G82" s="46">
        <v>3</v>
      </c>
      <c r="H82" s="44">
        <f>+ROUND(28416.0516591667,)</f>
        <v>28416</v>
      </c>
      <c r="I82" s="71">
        <f t="shared" si="3"/>
        <v>85248</v>
      </c>
      <c r="J82" s="29"/>
    </row>
    <row r="83" spans="1:10" ht="33.75" customHeight="1">
      <c r="A83" s="8" t="s">
        <v>213</v>
      </c>
      <c r="B83" s="9"/>
      <c r="C83" s="10"/>
      <c r="D83" s="10"/>
      <c r="E83" s="20" t="s">
        <v>102</v>
      </c>
      <c r="F83" s="20" t="s">
        <v>14</v>
      </c>
      <c r="G83" s="46">
        <v>2</v>
      </c>
      <c r="H83" s="44">
        <f>+ROUND(83145.7032333333,)</f>
        <v>83146</v>
      </c>
      <c r="I83" s="71">
        <f t="shared" si="3"/>
        <v>166292</v>
      </c>
    </row>
    <row r="84" spans="1:10" ht="33.75" customHeight="1">
      <c r="A84" s="8" t="s">
        <v>214</v>
      </c>
      <c r="B84" s="9"/>
      <c r="C84" s="10"/>
      <c r="D84" s="10"/>
      <c r="E84" s="20" t="s">
        <v>103</v>
      </c>
      <c r="F84" s="20" t="s">
        <v>14</v>
      </c>
      <c r="G84" s="46">
        <v>2</v>
      </c>
      <c r="H84" s="44">
        <f>+ROUND(18780.7933183333,)</f>
        <v>18781</v>
      </c>
      <c r="I84" s="71">
        <f t="shared" si="3"/>
        <v>37562</v>
      </c>
    </row>
    <row r="85" spans="1:10" ht="33.75" customHeight="1">
      <c r="A85" s="8" t="s">
        <v>215</v>
      </c>
      <c r="B85" s="9"/>
      <c r="C85" s="10"/>
      <c r="D85" s="10"/>
      <c r="E85" s="20" t="s">
        <v>104</v>
      </c>
      <c r="F85" s="20" t="s">
        <v>14</v>
      </c>
      <c r="G85" s="46">
        <v>2</v>
      </c>
      <c r="H85" s="44">
        <f>+ROUND(57820.7307783333,)</f>
        <v>57821</v>
      </c>
      <c r="I85" s="71">
        <f t="shared" si="3"/>
        <v>115642</v>
      </c>
    </row>
    <row r="86" spans="1:10" ht="33.75" customHeight="1">
      <c r="A86" s="8" t="s">
        <v>216</v>
      </c>
      <c r="B86" s="9"/>
      <c r="C86" s="10"/>
      <c r="D86" s="10"/>
      <c r="E86" s="42" t="s">
        <v>105</v>
      </c>
      <c r="F86" s="20" t="s">
        <v>14</v>
      </c>
      <c r="G86" s="46">
        <v>3</v>
      </c>
      <c r="H86" s="44">
        <f>+ROUND(82128.4533083333,)</f>
        <v>82128</v>
      </c>
      <c r="I86" s="71">
        <f t="shared" si="3"/>
        <v>246384</v>
      </c>
    </row>
    <row r="87" spans="1:10" ht="33.75" customHeight="1" thickBot="1">
      <c r="A87" s="135"/>
      <c r="B87" s="136"/>
      <c r="C87" s="136"/>
      <c r="D87" s="136"/>
      <c r="E87" s="136"/>
      <c r="F87" s="136"/>
      <c r="G87" s="137"/>
      <c r="H87" s="15" t="s">
        <v>109</v>
      </c>
      <c r="I87" s="27">
        <f>SUM(I80:I86)</f>
        <v>917237</v>
      </c>
    </row>
    <row r="88" spans="1:10" ht="33.75" customHeight="1">
      <c r="A88" s="133" t="s">
        <v>217</v>
      </c>
      <c r="B88" s="134"/>
      <c r="C88" s="134"/>
      <c r="D88" s="134"/>
      <c r="E88" s="134"/>
      <c r="F88" s="17"/>
      <c r="G88" s="37"/>
      <c r="H88" s="6"/>
      <c r="I88" s="7"/>
    </row>
    <row r="89" spans="1:10" ht="33.75" customHeight="1">
      <c r="A89" s="8" t="s">
        <v>110</v>
      </c>
      <c r="B89" s="9"/>
      <c r="C89" s="10"/>
      <c r="D89" s="10"/>
      <c r="E89" s="64" t="s">
        <v>112</v>
      </c>
      <c r="F89" s="20" t="s">
        <v>68</v>
      </c>
      <c r="G89" s="47">
        <v>12</v>
      </c>
      <c r="H89" s="44">
        <f>+ROUND(78678.719555,)</f>
        <v>78679</v>
      </c>
      <c r="I89" s="71">
        <f>H89*G89</f>
        <v>944148</v>
      </c>
      <c r="J89" s="29"/>
    </row>
    <row r="90" spans="1:10" ht="33.75" customHeight="1">
      <c r="A90" s="8" t="s">
        <v>111</v>
      </c>
      <c r="B90" s="9"/>
      <c r="C90" s="10"/>
      <c r="D90" s="10"/>
      <c r="E90" s="58" t="s">
        <v>113</v>
      </c>
      <c r="F90" s="20" t="s">
        <v>15</v>
      </c>
      <c r="G90" s="47">
        <v>8</v>
      </c>
      <c r="H90" s="44">
        <f>+ROUND(23127.2276640333,)</f>
        <v>23127</v>
      </c>
      <c r="I90" s="71">
        <f>H90*G90</f>
        <v>185016</v>
      </c>
    </row>
    <row r="91" spans="1:10" ht="33.75" customHeight="1" thickBot="1">
      <c r="A91" s="12"/>
      <c r="B91" s="72"/>
      <c r="C91" s="73"/>
      <c r="D91" s="73"/>
      <c r="E91" s="74"/>
      <c r="F91" s="72"/>
      <c r="G91" s="75"/>
      <c r="H91" s="15" t="s">
        <v>129</v>
      </c>
      <c r="I91" s="27">
        <f>SUM(I89:I90)</f>
        <v>1129164</v>
      </c>
    </row>
    <row r="92" spans="1:10" ht="33.75" customHeight="1">
      <c r="A92" s="133" t="s">
        <v>218</v>
      </c>
      <c r="B92" s="134"/>
      <c r="C92" s="134"/>
      <c r="D92" s="134"/>
      <c r="E92" s="134"/>
      <c r="F92" s="17"/>
      <c r="G92" s="37"/>
      <c r="H92" s="6"/>
      <c r="I92" s="7"/>
    </row>
    <row r="93" spans="1:10" ht="33.75" customHeight="1">
      <c r="A93" s="8" t="s">
        <v>115</v>
      </c>
      <c r="B93" s="9"/>
      <c r="C93" s="10"/>
      <c r="D93" s="10"/>
      <c r="E93" s="57" t="s">
        <v>114</v>
      </c>
      <c r="F93" s="20" t="s">
        <v>68</v>
      </c>
      <c r="G93" s="46">
        <v>36.18118758860161</v>
      </c>
      <c r="H93" s="44">
        <f>+ROUND(31968.5050433333,)</f>
        <v>31969</v>
      </c>
      <c r="I93" s="71">
        <f>ROUND(H93*G93,)</f>
        <v>1156676</v>
      </c>
      <c r="J93" s="29"/>
    </row>
    <row r="94" spans="1:10" ht="33.75" customHeight="1" thickBot="1">
      <c r="A94" s="12"/>
      <c r="B94" s="72"/>
      <c r="C94" s="73"/>
      <c r="D94" s="73"/>
      <c r="E94" s="74"/>
      <c r="F94" s="72"/>
      <c r="G94" s="75"/>
      <c r="H94" s="15" t="s">
        <v>130</v>
      </c>
      <c r="I94" s="27">
        <f>SUM(I93:I93)</f>
        <v>1156676</v>
      </c>
    </row>
    <row r="95" spans="1:10" ht="33.75" customHeight="1">
      <c r="A95" s="133" t="s">
        <v>219</v>
      </c>
      <c r="B95" s="134"/>
      <c r="C95" s="134"/>
      <c r="D95" s="134"/>
      <c r="E95" s="134"/>
      <c r="F95" s="17"/>
      <c r="G95" s="37"/>
      <c r="H95" s="6"/>
      <c r="I95" s="7"/>
    </row>
    <row r="96" spans="1:10" ht="33.75" customHeight="1">
      <c r="A96" s="8" t="s">
        <v>121</v>
      </c>
      <c r="B96" s="9"/>
      <c r="C96" s="10"/>
      <c r="D96" s="10"/>
      <c r="E96" s="64" t="s">
        <v>246</v>
      </c>
      <c r="F96" s="20" t="s">
        <v>68</v>
      </c>
      <c r="G96" s="46">
        <v>23.42</v>
      </c>
      <c r="H96" s="49">
        <f>+ROUND(20014.5185333333,)</f>
        <v>20015</v>
      </c>
      <c r="I96" s="71">
        <f t="shared" ref="I96:I103" si="4">ROUND(H96*G96,)</f>
        <v>468751</v>
      </c>
      <c r="J96" s="29"/>
    </row>
    <row r="97" spans="1:10" ht="33.75" customHeight="1">
      <c r="A97" s="8" t="s">
        <v>122</v>
      </c>
      <c r="B97" s="9"/>
      <c r="C97" s="10"/>
      <c r="D97" s="10"/>
      <c r="E97" s="20" t="s">
        <v>191</v>
      </c>
      <c r="F97" s="20" t="s">
        <v>68</v>
      </c>
      <c r="G97" s="46">
        <v>151.16</v>
      </c>
      <c r="H97" s="49">
        <f>+ROUND(19841.1550166667,)</f>
        <v>19841</v>
      </c>
      <c r="I97" s="71">
        <f t="shared" si="4"/>
        <v>2999166</v>
      </c>
    </row>
    <row r="98" spans="1:10" ht="33.75" customHeight="1">
      <c r="A98" s="8" t="s">
        <v>220</v>
      </c>
      <c r="B98" s="9"/>
      <c r="C98" s="10"/>
      <c r="D98" s="10"/>
      <c r="E98" s="20" t="s">
        <v>192</v>
      </c>
      <c r="F98" s="20" t="s">
        <v>68</v>
      </c>
      <c r="G98" s="46">
        <v>81.03</v>
      </c>
      <c r="H98" s="49">
        <f>+ROUND(21644.8948333333,)</f>
        <v>21645</v>
      </c>
      <c r="I98" s="71">
        <f t="shared" si="4"/>
        <v>1753894</v>
      </c>
    </row>
    <row r="99" spans="1:10" ht="33.75" customHeight="1">
      <c r="A99" s="8" t="s">
        <v>221</v>
      </c>
      <c r="B99" s="9"/>
      <c r="C99" s="10"/>
      <c r="D99" s="10"/>
      <c r="E99" s="20" t="s">
        <v>116</v>
      </c>
      <c r="F99" s="20" t="s">
        <v>68</v>
      </c>
      <c r="G99" s="46">
        <v>23.92</v>
      </c>
      <c r="H99" s="49">
        <f>+ROUND(29162.6577,)</f>
        <v>29163</v>
      </c>
      <c r="I99" s="71">
        <f t="shared" si="4"/>
        <v>697579</v>
      </c>
      <c r="J99" s="29"/>
    </row>
    <row r="100" spans="1:10" ht="33.75" customHeight="1">
      <c r="A100" s="8" t="s">
        <v>222</v>
      </c>
      <c r="B100" s="9"/>
      <c r="C100" s="10"/>
      <c r="D100" s="10"/>
      <c r="E100" s="20" t="s">
        <v>117</v>
      </c>
      <c r="F100" s="20" t="s">
        <v>68</v>
      </c>
      <c r="G100" s="46">
        <v>23.92</v>
      </c>
      <c r="H100" s="49">
        <f>+ROUND(27834.3288166667,)</f>
        <v>27834</v>
      </c>
      <c r="I100" s="71">
        <f t="shared" si="4"/>
        <v>665789</v>
      </c>
      <c r="J100" s="29"/>
    </row>
    <row r="101" spans="1:10" ht="33.75" customHeight="1">
      <c r="A101" s="8" t="s">
        <v>223</v>
      </c>
      <c r="B101" s="9"/>
      <c r="C101" s="10"/>
      <c r="D101" s="10"/>
      <c r="E101" s="59" t="s">
        <v>118</v>
      </c>
      <c r="F101" s="20" t="s">
        <v>68</v>
      </c>
      <c r="G101" s="46">
        <v>362.18</v>
      </c>
      <c r="H101" s="49">
        <f>+ROUND(42458.72263,)</f>
        <v>42459</v>
      </c>
      <c r="I101" s="71">
        <f t="shared" si="4"/>
        <v>15377801</v>
      </c>
      <c r="J101" s="29"/>
    </row>
    <row r="102" spans="1:10" ht="33.75" customHeight="1">
      <c r="A102" s="8" t="s">
        <v>224</v>
      </c>
      <c r="B102" s="9"/>
      <c r="C102" s="10"/>
      <c r="D102" s="10"/>
      <c r="E102" s="59" t="s">
        <v>119</v>
      </c>
      <c r="F102" s="20" t="s">
        <v>68</v>
      </c>
      <c r="G102" s="46">
        <v>420</v>
      </c>
      <c r="H102" s="49">
        <f>+ROUND(35355.2145333333,)</f>
        <v>35355</v>
      </c>
      <c r="I102" s="71">
        <f t="shared" si="4"/>
        <v>14849100</v>
      </c>
      <c r="J102" s="29"/>
    </row>
    <row r="103" spans="1:10" ht="33.75" customHeight="1">
      <c r="A103" s="8" t="s">
        <v>225</v>
      </c>
      <c r="B103" s="9"/>
      <c r="C103" s="10"/>
      <c r="D103" s="10"/>
      <c r="E103" s="20" t="s">
        <v>193</v>
      </c>
      <c r="F103" s="20" t="s">
        <v>15</v>
      </c>
      <c r="G103" s="46">
        <v>332.78</v>
      </c>
      <c r="H103" s="49">
        <f>+ROUND(5855.81208333333,)</f>
        <v>5856</v>
      </c>
      <c r="I103" s="71">
        <f t="shared" si="4"/>
        <v>1948760</v>
      </c>
    </row>
    <row r="104" spans="1:10" ht="33.75" customHeight="1">
      <c r="A104" s="8" t="s">
        <v>226</v>
      </c>
      <c r="B104" s="22"/>
      <c r="C104" s="22"/>
      <c r="D104" s="22"/>
      <c r="E104" s="65" t="s">
        <v>120</v>
      </c>
      <c r="F104" s="20" t="s">
        <v>68</v>
      </c>
      <c r="G104" s="46">
        <v>20</v>
      </c>
      <c r="H104" s="49">
        <f>+ROUND(21593.9395033332,)</f>
        <v>21594</v>
      </c>
      <c r="I104" s="71">
        <f t="shared" ref="I104" si="5">H104*G104</f>
        <v>431880</v>
      </c>
      <c r="J104" s="29"/>
    </row>
    <row r="105" spans="1:10" ht="33.75" customHeight="1" thickBot="1">
      <c r="A105" s="135"/>
      <c r="B105" s="136"/>
      <c r="C105" s="136"/>
      <c r="D105" s="136"/>
      <c r="E105" s="136"/>
      <c r="F105" s="136"/>
      <c r="G105" s="137"/>
      <c r="H105" s="15" t="s">
        <v>131</v>
      </c>
      <c r="I105" s="27">
        <f>SUM(I96:I104)</f>
        <v>39192720</v>
      </c>
    </row>
    <row r="106" spans="1:10" ht="33.75" customHeight="1">
      <c r="A106" s="133" t="s">
        <v>227</v>
      </c>
      <c r="B106" s="134"/>
      <c r="C106" s="134"/>
      <c r="D106" s="134"/>
      <c r="E106" s="134"/>
      <c r="F106" s="17"/>
      <c r="G106" s="37"/>
      <c r="H106" s="6"/>
      <c r="I106" s="7"/>
    </row>
    <row r="107" spans="1:10" ht="33.75" customHeight="1">
      <c r="A107" s="8" t="s">
        <v>124</v>
      </c>
      <c r="B107" s="9"/>
      <c r="C107" s="10"/>
      <c r="D107" s="10"/>
      <c r="E107" s="66" t="s">
        <v>175</v>
      </c>
      <c r="F107" s="20" t="s">
        <v>68</v>
      </c>
      <c r="G107" s="46">
        <v>61.42</v>
      </c>
      <c r="H107" s="44">
        <f>+ROUND(48287.4966706667,)</f>
        <v>48287</v>
      </c>
      <c r="I107" s="71">
        <f t="shared" ref="I107" si="6">ROUND(H107*G107,)</f>
        <v>2965788</v>
      </c>
      <c r="J107" s="29"/>
    </row>
    <row r="108" spans="1:10" ht="33.75" customHeight="1" thickBot="1">
      <c r="A108" s="12"/>
      <c r="B108" s="72"/>
      <c r="C108" s="73"/>
      <c r="D108" s="73"/>
      <c r="E108" s="74"/>
      <c r="F108" s="72"/>
      <c r="G108" s="75"/>
      <c r="H108" s="23" t="s">
        <v>132</v>
      </c>
      <c r="I108" s="28">
        <f>SUM(I107:I107)</f>
        <v>2965788</v>
      </c>
    </row>
    <row r="109" spans="1:10" ht="33.75" customHeight="1">
      <c r="A109" s="133" t="s">
        <v>228</v>
      </c>
      <c r="B109" s="134"/>
      <c r="C109" s="134"/>
      <c r="D109" s="134"/>
      <c r="E109" s="134"/>
      <c r="F109" s="17"/>
      <c r="G109" s="37"/>
      <c r="H109" s="6"/>
      <c r="I109" s="7"/>
    </row>
    <row r="110" spans="1:10" ht="33.75" customHeight="1">
      <c r="A110" s="8" t="s">
        <v>229</v>
      </c>
      <c r="B110" s="9"/>
      <c r="C110" s="10"/>
      <c r="D110" s="10"/>
      <c r="E110" s="67" t="s">
        <v>176</v>
      </c>
      <c r="F110" s="50" t="s">
        <v>68</v>
      </c>
      <c r="G110" s="38">
        <v>60</v>
      </c>
      <c r="H110" s="44">
        <f>+ROUND(89772.6011507333,)</f>
        <v>89773</v>
      </c>
      <c r="I110" s="71">
        <f>H110*G110</f>
        <v>5386380</v>
      </c>
      <c r="J110" s="132"/>
    </row>
    <row r="111" spans="1:10" ht="42" customHeight="1">
      <c r="A111" s="8" t="s">
        <v>230</v>
      </c>
      <c r="B111" s="9"/>
      <c r="C111" s="10"/>
      <c r="D111" s="10"/>
      <c r="E111" s="67" t="s">
        <v>204</v>
      </c>
      <c r="F111" s="50" t="s">
        <v>15</v>
      </c>
      <c r="G111" s="38">
        <v>15</v>
      </c>
      <c r="H111" s="44">
        <f>+ROUND(63408.2696026667,)</f>
        <v>63408</v>
      </c>
      <c r="I111" s="71">
        <f t="shared" ref="I111:I112" si="7">H111*G111</f>
        <v>951120</v>
      </c>
      <c r="J111" s="132"/>
    </row>
    <row r="112" spans="1:10" ht="43.5" customHeight="1">
      <c r="A112" s="8" t="s">
        <v>231</v>
      </c>
      <c r="B112" s="9"/>
      <c r="C112" s="10"/>
      <c r="D112" s="10"/>
      <c r="E112" s="66" t="s">
        <v>177</v>
      </c>
      <c r="F112" s="50" t="s">
        <v>15</v>
      </c>
      <c r="G112" s="38">
        <v>14</v>
      </c>
      <c r="H112" s="44">
        <f>+ROUND(18824.3063236667,)</f>
        <v>18824</v>
      </c>
      <c r="I112" s="71">
        <f t="shared" si="7"/>
        <v>263536</v>
      </c>
      <c r="J112" s="29"/>
    </row>
    <row r="113" spans="1:129" ht="33.75" customHeight="1" thickBot="1">
      <c r="A113" s="12"/>
      <c r="B113" s="72"/>
      <c r="C113" s="73"/>
      <c r="D113" s="73"/>
      <c r="E113" s="74"/>
      <c r="F113" s="72"/>
      <c r="G113" s="75"/>
      <c r="H113" s="23" t="s">
        <v>159</v>
      </c>
      <c r="I113" s="28">
        <f>SUM(I110:I112)</f>
        <v>6601036</v>
      </c>
    </row>
    <row r="114" spans="1:129" ht="33.75" customHeight="1">
      <c r="A114" s="133" t="s">
        <v>232</v>
      </c>
      <c r="B114" s="134"/>
      <c r="C114" s="134"/>
      <c r="D114" s="134"/>
      <c r="E114" s="134"/>
      <c r="F114" s="17"/>
      <c r="G114" s="37"/>
      <c r="H114" s="6"/>
      <c r="I114" s="7"/>
    </row>
    <row r="115" spans="1:129" ht="33.75" customHeight="1">
      <c r="A115" s="8" t="s">
        <v>133</v>
      </c>
      <c r="B115" s="9"/>
      <c r="C115" s="10"/>
      <c r="D115" s="10"/>
      <c r="E115" s="68" t="s">
        <v>123</v>
      </c>
      <c r="F115" s="20" t="s">
        <v>68</v>
      </c>
      <c r="G115" s="46">
        <v>20</v>
      </c>
      <c r="H115" s="44">
        <f>+ROUND(80640.7022341667,)</f>
        <v>80641</v>
      </c>
      <c r="I115" s="71">
        <f>H115*G115</f>
        <v>1612820</v>
      </c>
    </row>
    <row r="116" spans="1:129" ht="33.75" customHeight="1" thickBot="1">
      <c r="A116" s="12"/>
      <c r="B116" s="72"/>
      <c r="C116" s="73"/>
      <c r="D116" s="73"/>
      <c r="E116" s="74"/>
      <c r="F116" s="72"/>
      <c r="G116" s="75"/>
      <c r="H116" s="23" t="s">
        <v>160</v>
      </c>
      <c r="I116" s="28">
        <f>SUM(I115:I115)</f>
        <v>1612820</v>
      </c>
    </row>
    <row r="117" spans="1:129" s="24" customFormat="1" ht="33.75" customHeight="1">
      <c r="A117" s="133" t="s">
        <v>233</v>
      </c>
      <c r="B117" s="134"/>
      <c r="C117" s="134"/>
      <c r="D117" s="134"/>
      <c r="E117" s="134"/>
      <c r="F117" s="17"/>
      <c r="G117" s="37"/>
      <c r="H117" s="6"/>
      <c r="I117" s="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25"/>
    </row>
    <row r="118" spans="1:129" s="24" customFormat="1" ht="33.75" customHeight="1">
      <c r="A118" s="8" t="s">
        <v>134</v>
      </c>
      <c r="B118" s="9"/>
      <c r="C118" s="10"/>
      <c r="D118" s="10"/>
      <c r="E118" s="64" t="s">
        <v>125</v>
      </c>
      <c r="F118" s="20" t="s">
        <v>68</v>
      </c>
      <c r="G118" s="38">
        <v>438</v>
      </c>
      <c r="H118" s="49">
        <f>+ROUND(221356.227288333,)</f>
        <v>221356</v>
      </c>
      <c r="I118" s="71">
        <f>H118*G118</f>
        <v>96953928</v>
      </c>
      <c r="J118" s="29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25"/>
    </row>
    <row r="119" spans="1:129" s="24" customFormat="1" ht="33.75" customHeight="1">
      <c r="A119" s="8" t="s">
        <v>157</v>
      </c>
      <c r="B119" s="9"/>
      <c r="C119" s="10"/>
      <c r="D119" s="10"/>
      <c r="E119" s="59" t="s">
        <v>126</v>
      </c>
      <c r="F119" s="20" t="s">
        <v>15</v>
      </c>
      <c r="G119" s="38">
        <v>45</v>
      </c>
      <c r="H119" s="49">
        <f>+ROUND(80078.973055,)</f>
        <v>80079</v>
      </c>
      <c r="I119" s="71">
        <f>H119*G119</f>
        <v>3603555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25"/>
    </row>
    <row r="120" spans="1:129" s="24" customFormat="1" ht="33.75" customHeight="1">
      <c r="A120" s="8" t="s">
        <v>158</v>
      </c>
      <c r="B120" s="9"/>
      <c r="C120" s="10"/>
      <c r="D120" s="10"/>
      <c r="E120" s="59" t="s">
        <v>127</v>
      </c>
      <c r="F120" s="20" t="s">
        <v>15</v>
      </c>
      <c r="G120" s="38">
        <v>20</v>
      </c>
      <c r="H120" s="49">
        <f>+ROUND(49729.213081,)</f>
        <v>49729</v>
      </c>
      <c r="I120" s="71">
        <f>H120*G120</f>
        <v>994580</v>
      </c>
      <c r="J120" s="29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25"/>
    </row>
    <row r="121" spans="1:129" s="24" customFormat="1" ht="33.75" customHeight="1">
      <c r="A121" s="8" t="s">
        <v>234</v>
      </c>
      <c r="B121" s="9"/>
      <c r="C121" s="10"/>
      <c r="D121" s="10"/>
      <c r="E121" s="59" t="s">
        <v>194</v>
      </c>
      <c r="F121" s="20" t="s">
        <v>15</v>
      </c>
      <c r="G121" s="38">
        <v>25</v>
      </c>
      <c r="H121" s="49">
        <f>+ROUND(93569.877248,)</f>
        <v>93570</v>
      </c>
      <c r="I121" s="71">
        <f>H121*G121</f>
        <v>2339250</v>
      </c>
      <c r="J121" s="29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25"/>
    </row>
    <row r="122" spans="1:129" s="24" customFormat="1" ht="42" customHeight="1">
      <c r="A122" s="8" t="s">
        <v>235</v>
      </c>
      <c r="B122" s="9"/>
      <c r="C122" s="10"/>
      <c r="D122" s="10"/>
      <c r="E122" s="58" t="s">
        <v>128</v>
      </c>
      <c r="F122" s="21" t="s">
        <v>68</v>
      </c>
      <c r="G122" s="38">
        <v>90</v>
      </c>
      <c r="H122" s="49">
        <f>+ROUND(181741.870506667,)</f>
        <v>181742</v>
      </c>
      <c r="I122" s="71">
        <f>H122*G122</f>
        <v>16356780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25"/>
    </row>
    <row r="123" spans="1:129" s="24" customFormat="1" ht="33.75" customHeight="1" thickBot="1">
      <c r="A123" s="135"/>
      <c r="B123" s="136"/>
      <c r="C123" s="136"/>
      <c r="D123" s="136"/>
      <c r="E123" s="136"/>
      <c r="F123" s="136"/>
      <c r="G123" s="137"/>
      <c r="H123" s="15" t="s">
        <v>132</v>
      </c>
      <c r="I123" s="27">
        <f>SUM(I118:I122)</f>
        <v>120248093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25"/>
    </row>
    <row r="124" spans="1:129" s="24" customFormat="1" ht="33.75" customHeight="1">
      <c r="A124" s="133" t="s">
        <v>236</v>
      </c>
      <c r="B124" s="134"/>
      <c r="C124" s="134"/>
      <c r="D124" s="134"/>
      <c r="E124" s="134"/>
      <c r="F124" s="17"/>
      <c r="G124" s="37"/>
      <c r="H124" s="6"/>
      <c r="I124" s="7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25"/>
    </row>
    <row r="125" spans="1:129" s="24" customFormat="1" ht="33.75" customHeight="1">
      <c r="A125" s="8" t="s">
        <v>136</v>
      </c>
      <c r="B125" s="9"/>
      <c r="C125" s="10"/>
      <c r="D125" s="10"/>
      <c r="E125" s="66" t="s">
        <v>195</v>
      </c>
      <c r="F125" s="20" t="s">
        <v>14</v>
      </c>
      <c r="G125" s="46">
        <v>15</v>
      </c>
      <c r="H125" s="49">
        <f>+ROUND(111057.847427167,)</f>
        <v>111058</v>
      </c>
      <c r="I125" s="71">
        <f>H125*G125</f>
        <v>1665870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25"/>
    </row>
    <row r="126" spans="1:129" s="24" customFormat="1" ht="33.75" customHeight="1">
      <c r="A126" s="8" t="s">
        <v>237</v>
      </c>
      <c r="B126" s="9"/>
      <c r="C126" s="10"/>
      <c r="D126" s="10"/>
      <c r="E126" s="66" t="s">
        <v>172</v>
      </c>
      <c r="F126" s="20" t="s">
        <v>14</v>
      </c>
      <c r="G126" s="46">
        <v>60</v>
      </c>
      <c r="H126" s="49">
        <f>+ROUND(223892.837055,)</f>
        <v>223893</v>
      </c>
      <c r="I126" s="71">
        <f>H126*G126</f>
        <v>13433580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25"/>
    </row>
    <row r="127" spans="1:129" s="24" customFormat="1" ht="33.75" customHeight="1">
      <c r="A127" s="8" t="s">
        <v>238</v>
      </c>
      <c r="B127" s="9"/>
      <c r="C127" s="10"/>
      <c r="D127" s="10"/>
      <c r="E127" s="66" t="s">
        <v>173</v>
      </c>
      <c r="F127" s="20" t="s">
        <v>14</v>
      </c>
      <c r="G127" s="46">
        <v>2</v>
      </c>
      <c r="H127" s="49">
        <f>+ROUND(79699.9265641667,)</f>
        <v>79700</v>
      </c>
      <c r="I127" s="71">
        <f>H127*G127</f>
        <v>159400</v>
      </c>
      <c r="J127" s="29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25"/>
    </row>
    <row r="128" spans="1:129" ht="33.75" customHeight="1">
      <c r="A128" s="8" t="s">
        <v>239</v>
      </c>
      <c r="B128" s="9"/>
      <c r="C128" s="10"/>
      <c r="D128" s="10"/>
      <c r="E128" s="66" t="s">
        <v>174</v>
      </c>
      <c r="F128" s="20" t="s">
        <v>14</v>
      </c>
      <c r="G128" s="46">
        <v>15</v>
      </c>
      <c r="H128" s="49">
        <f>+ROUND(138043.916018333,)</f>
        <v>138044</v>
      </c>
      <c r="I128" s="71">
        <f>H128*G128</f>
        <v>2070660</v>
      </c>
    </row>
    <row r="129" spans="1:10" ht="33.75" customHeight="1" thickBot="1">
      <c r="A129" s="135"/>
      <c r="B129" s="136"/>
      <c r="C129" s="136"/>
      <c r="D129" s="136"/>
      <c r="E129" s="136"/>
      <c r="F129" s="136"/>
      <c r="G129" s="137"/>
      <c r="H129" s="15" t="s">
        <v>159</v>
      </c>
      <c r="I129" s="27">
        <f>SUM(I125:I128)</f>
        <v>17329510</v>
      </c>
    </row>
    <row r="130" spans="1:10" ht="33.75" customHeight="1">
      <c r="A130" s="133" t="s">
        <v>240</v>
      </c>
      <c r="B130" s="134"/>
      <c r="C130" s="134"/>
      <c r="D130" s="134"/>
      <c r="E130" s="134"/>
      <c r="F130" s="17"/>
      <c r="G130" s="37"/>
      <c r="H130" s="6"/>
      <c r="I130" s="7"/>
    </row>
    <row r="131" spans="1:10" ht="33.75" customHeight="1">
      <c r="A131" s="8" t="s">
        <v>139</v>
      </c>
      <c r="B131" s="9"/>
      <c r="C131" s="10"/>
      <c r="D131" s="10"/>
      <c r="E131" s="68" t="s">
        <v>135</v>
      </c>
      <c r="F131" s="20" t="s">
        <v>14</v>
      </c>
      <c r="G131" s="46">
        <v>6</v>
      </c>
      <c r="H131" s="44">
        <f>+ROUND(64717.4583058333,)</f>
        <v>64717</v>
      </c>
      <c r="I131" s="71">
        <f>H131*G131</f>
        <v>388302</v>
      </c>
    </row>
    <row r="132" spans="1:10" ht="33.75" customHeight="1" thickBot="1">
      <c r="A132" s="12"/>
      <c r="B132" s="72"/>
      <c r="C132" s="73"/>
      <c r="D132" s="73"/>
      <c r="E132" s="74"/>
      <c r="F132" s="72"/>
      <c r="G132" s="75"/>
      <c r="H132" s="23" t="s">
        <v>160</v>
      </c>
      <c r="I132" s="28">
        <f>SUM(I131:I131)</f>
        <v>388302</v>
      </c>
    </row>
    <row r="133" spans="1:10" ht="33.75" customHeight="1">
      <c r="A133" s="133" t="s">
        <v>241</v>
      </c>
      <c r="B133" s="134"/>
      <c r="C133" s="134"/>
      <c r="D133" s="134"/>
      <c r="E133" s="134"/>
      <c r="F133" s="17"/>
      <c r="G133" s="37"/>
      <c r="H133" s="6"/>
      <c r="I133" s="7"/>
    </row>
    <row r="134" spans="1:10" ht="33.75" customHeight="1">
      <c r="A134" s="8" t="s">
        <v>142</v>
      </c>
      <c r="B134" s="9"/>
      <c r="C134" s="10"/>
      <c r="D134" s="10"/>
      <c r="E134" s="57" t="s">
        <v>137</v>
      </c>
      <c r="F134" s="20" t="s">
        <v>14</v>
      </c>
      <c r="G134" s="46">
        <v>2</v>
      </c>
      <c r="H134" s="44">
        <f>+ROUND(203811.675079167,)</f>
        <v>203812</v>
      </c>
      <c r="I134" s="71">
        <f>H134*G134</f>
        <v>407624</v>
      </c>
    </row>
    <row r="135" spans="1:10" ht="33.75" customHeight="1">
      <c r="A135" s="8" t="s">
        <v>162</v>
      </c>
      <c r="B135" s="9"/>
      <c r="C135" s="10"/>
      <c r="D135" s="10"/>
      <c r="E135" s="43" t="s">
        <v>138</v>
      </c>
      <c r="F135" s="20" t="s">
        <v>68</v>
      </c>
      <c r="G135" s="46">
        <v>35</v>
      </c>
      <c r="H135" s="44">
        <f>+ROUND(55652.6616383333,)</f>
        <v>55653</v>
      </c>
      <c r="I135" s="71">
        <f>H135*G135</f>
        <v>1947855</v>
      </c>
    </row>
    <row r="136" spans="1:10" ht="33.75" customHeight="1" thickBot="1">
      <c r="A136" s="12"/>
      <c r="B136" s="72"/>
      <c r="C136" s="73"/>
      <c r="D136" s="73"/>
      <c r="E136" s="74"/>
      <c r="F136" s="72"/>
      <c r="G136" s="75"/>
      <c r="H136" s="15" t="s">
        <v>161</v>
      </c>
      <c r="I136" s="27">
        <f>SUM(I134:I135)</f>
        <v>2355479</v>
      </c>
    </row>
    <row r="137" spans="1:10" ht="33.75" customHeight="1">
      <c r="A137" s="133" t="s">
        <v>242</v>
      </c>
      <c r="B137" s="134"/>
      <c r="C137" s="134"/>
      <c r="D137" s="134"/>
      <c r="E137" s="134"/>
      <c r="F137" s="17"/>
      <c r="G137" s="37"/>
      <c r="H137" s="6"/>
      <c r="I137" s="7"/>
    </row>
    <row r="138" spans="1:10" ht="73.5" customHeight="1">
      <c r="A138" s="8" t="s">
        <v>164</v>
      </c>
      <c r="B138" s="9"/>
      <c r="C138" s="10"/>
      <c r="D138" s="10"/>
      <c r="E138" s="57" t="s">
        <v>140</v>
      </c>
      <c r="F138" s="21" t="s">
        <v>68</v>
      </c>
      <c r="G138" s="47">
        <v>350</v>
      </c>
      <c r="H138" s="44">
        <f>+ROUND(14401.6084125,)</f>
        <v>14402</v>
      </c>
      <c r="I138" s="71">
        <f>H138*G138</f>
        <v>5040700</v>
      </c>
    </row>
    <row r="139" spans="1:10" ht="81.75" customHeight="1">
      <c r="A139" s="8" t="s">
        <v>243</v>
      </c>
      <c r="B139" s="9"/>
      <c r="C139" s="10"/>
      <c r="D139" s="10"/>
      <c r="E139" s="43" t="s">
        <v>141</v>
      </c>
      <c r="F139" s="21" t="s">
        <v>15</v>
      </c>
      <c r="G139" s="47">
        <v>50</v>
      </c>
      <c r="H139" s="44">
        <f>+ROUND(13841.9159266667,)</f>
        <v>13842</v>
      </c>
      <c r="I139" s="71">
        <f>H139*G139</f>
        <v>692100</v>
      </c>
      <c r="J139" s="30"/>
    </row>
    <row r="140" spans="1:10" ht="33.75" customHeight="1" thickBot="1">
      <c r="A140" s="12"/>
      <c r="B140" s="72"/>
      <c r="C140" s="73"/>
      <c r="D140" s="73"/>
      <c r="E140" s="74"/>
      <c r="F140" s="72"/>
      <c r="G140" s="75"/>
      <c r="H140" s="15" t="s">
        <v>163</v>
      </c>
      <c r="I140" s="27">
        <f>SUM(I138:I139)</f>
        <v>5732800</v>
      </c>
    </row>
    <row r="141" spans="1:10" ht="33.75" customHeight="1">
      <c r="A141" s="133" t="s">
        <v>244</v>
      </c>
      <c r="B141" s="134"/>
      <c r="C141" s="134"/>
      <c r="D141" s="134"/>
      <c r="E141" s="134"/>
      <c r="F141" s="17"/>
      <c r="G141" s="37"/>
      <c r="H141" s="6"/>
      <c r="I141" s="7"/>
    </row>
    <row r="142" spans="1:10" ht="82.5" customHeight="1">
      <c r="A142" s="8" t="s">
        <v>245</v>
      </c>
      <c r="B142" s="9"/>
      <c r="C142" s="10"/>
      <c r="D142" s="10"/>
      <c r="E142" s="68" t="s">
        <v>143</v>
      </c>
      <c r="F142" s="20" t="s">
        <v>14</v>
      </c>
      <c r="G142" s="46">
        <v>250</v>
      </c>
      <c r="H142" s="44">
        <f>+ROUND(100381.9415,)</f>
        <v>100382</v>
      </c>
      <c r="I142" s="71">
        <f>H142*G142</f>
        <v>25095500</v>
      </c>
      <c r="J142" s="30"/>
    </row>
    <row r="143" spans="1:10" ht="33.75" customHeight="1">
      <c r="A143" s="12"/>
      <c r="B143" s="72"/>
      <c r="C143" s="73"/>
      <c r="D143" s="73"/>
      <c r="E143" s="74"/>
      <c r="F143" s="72"/>
      <c r="G143" s="75"/>
      <c r="H143" s="23" t="s">
        <v>165</v>
      </c>
      <c r="I143" s="28">
        <f>SUM(I142:I142)</f>
        <v>25095500</v>
      </c>
    </row>
    <row r="144" spans="1:10" ht="31.5" customHeight="1">
      <c r="A144" s="135"/>
      <c r="B144" s="136"/>
      <c r="C144" s="136"/>
      <c r="D144" s="136"/>
      <c r="E144" s="136"/>
      <c r="F144" s="131" t="s">
        <v>147</v>
      </c>
      <c r="G144" s="131"/>
      <c r="H144" s="131"/>
      <c r="I144" s="81">
        <f>ROUND(I143+I140+I136+I132+I129+I123+I116+I113+I108+I105+I94+I91+I87+I78+I74+I71+I66+I54+I50+I40+I35+I30,0)</f>
        <v>412435980</v>
      </c>
    </row>
    <row r="145" spans="1:10" ht="31.5" customHeight="1">
      <c r="A145" s="124" t="s">
        <v>145</v>
      </c>
      <c r="B145" s="125"/>
      <c r="C145" s="125"/>
      <c r="D145" s="125"/>
      <c r="E145" s="125"/>
      <c r="F145" s="125"/>
      <c r="G145" s="125"/>
      <c r="H145" s="125"/>
      <c r="I145" s="126"/>
    </row>
    <row r="146" spans="1:10" ht="31.5" customHeight="1">
      <c r="A146" s="127" t="s">
        <v>146</v>
      </c>
      <c r="B146" s="128"/>
      <c r="C146" s="128"/>
      <c r="D146" s="128"/>
      <c r="E146" s="128"/>
      <c r="F146" s="82"/>
      <c r="G146" s="83"/>
      <c r="H146" s="82"/>
      <c r="I146" s="26"/>
    </row>
    <row r="147" spans="1:10" ht="31.5" customHeight="1">
      <c r="A147" s="8" t="s">
        <v>26</v>
      </c>
      <c r="B147" s="9"/>
      <c r="C147" s="10"/>
      <c r="D147" s="10"/>
      <c r="E147" s="57" t="s">
        <v>42</v>
      </c>
      <c r="F147" s="20" t="s">
        <v>14</v>
      </c>
      <c r="G147" s="38">
        <v>1</v>
      </c>
      <c r="H147" s="44">
        <f>+ROUND(225735.783095,)</f>
        <v>225736</v>
      </c>
      <c r="I147" s="71">
        <f>H147*G147</f>
        <v>225736</v>
      </c>
      <c r="J147" s="30"/>
    </row>
    <row r="148" spans="1:10" ht="31.5" customHeight="1">
      <c r="A148" s="8" t="s">
        <v>27</v>
      </c>
      <c r="B148" s="9"/>
      <c r="C148" s="10"/>
      <c r="D148" s="10"/>
      <c r="E148" s="20" t="s">
        <v>189</v>
      </c>
      <c r="F148" s="20" t="s">
        <v>14</v>
      </c>
      <c r="G148" s="38">
        <v>31</v>
      </c>
      <c r="H148" s="44">
        <f>+ROUND(97655.4330333333,)</f>
        <v>97655</v>
      </c>
      <c r="I148" s="71">
        <f>H148*G148</f>
        <v>3027305</v>
      </c>
      <c r="J148" s="30"/>
    </row>
    <row r="149" spans="1:10" ht="31.5" customHeight="1">
      <c r="A149" s="8" t="s">
        <v>29</v>
      </c>
      <c r="B149" s="9"/>
      <c r="C149" s="10"/>
      <c r="D149" s="10"/>
      <c r="E149" s="42" t="s">
        <v>190</v>
      </c>
      <c r="F149" s="20" t="s">
        <v>15</v>
      </c>
      <c r="G149" s="51">
        <v>104</v>
      </c>
      <c r="H149" s="44">
        <f>+ROUND(14732.91097,)</f>
        <v>14733</v>
      </c>
      <c r="I149" s="71">
        <f>H149*G149</f>
        <v>1532232</v>
      </c>
      <c r="J149" s="30"/>
    </row>
    <row r="150" spans="1:10" ht="31.5" customHeight="1">
      <c r="A150" s="12"/>
      <c r="B150" s="72"/>
      <c r="C150" s="73"/>
      <c r="D150" s="73"/>
      <c r="E150" s="74"/>
      <c r="F150" s="72"/>
      <c r="G150" s="75"/>
      <c r="H150" s="15" t="s">
        <v>170</v>
      </c>
      <c r="I150" s="14">
        <f>SUM(I147:I149)</f>
        <v>4785273</v>
      </c>
    </row>
    <row r="151" spans="1:10" ht="31.05" customHeight="1">
      <c r="A151" s="12"/>
      <c r="B151" s="72"/>
      <c r="C151" s="73"/>
      <c r="D151" s="73"/>
      <c r="E151" s="74"/>
      <c r="F151" s="72"/>
      <c r="G151" s="75"/>
      <c r="H151" s="15" t="s">
        <v>63</v>
      </c>
      <c r="I151" s="14">
        <f>I150+I144</f>
        <v>417221253</v>
      </c>
    </row>
    <row r="152" spans="1:10" ht="19.2" customHeight="1">
      <c r="A152" s="129"/>
      <c r="B152" s="130"/>
      <c r="C152" s="130"/>
      <c r="D152" s="130"/>
      <c r="E152" s="130"/>
      <c r="F152" s="117" t="s">
        <v>166</v>
      </c>
      <c r="G152" s="118"/>
      <c r="H152" s="52">
        <v>0.13669999999999999</v>
      </c>
      <c r="I152" s="84">
        <f>ROUND(I151*H152,0)</f>
        <v>57034145</v>
      </c>
    </row>
    <row r="153" spans="1:10" ht="19.2" customHeight="1">
      <c r="A153" s="114"/>
      <c r="B153" s="115"/>
      <c r="C153" s="115"/>
      <c r="D153" s="115"/>
      <c r="E153" s="116"/>
      <c r="F153" s="117" t="s">
        <v>167</v>
      </c>
      <c r="G153" s="118" t="s">
        <v>167</v>
      </c>
      <c r="H153" s="53">
        <v>6.3299999999999995E-2</v>
      </c>
      <c r="I153" s="84">
        <f>ROUND(I151*H153,)</f>
        <v>26410105</v>
      </c>
    </row>
    <row r="154" spans="1:10" ht="19.2" customHeight="1">
      <c r="A154" s="114"/>
      <c r="B154" s="115"/>
      <c r="C154" s="115"/>
      <c r="D154" s="115"/>
      <c r="E154" s="116"/>
      <c r="F154" s="117" t="s">
        <v>168</v>
      </c>
      <c r="G154" s="118" t="s">
        <v>168</v>
      </c>
      <c r="H154" s="53">
        <v>0.05</v>
      </c>
      <c r="I154" s="84">
        <f>ROUND(I151*H154,)</f>
        <v>20861063</v>
      </c>
    </row>
    <row r="155" spans="1:10" ht="19.5" customHeight="1">
      <c r="A155" s="119"/>
      <c r="B155" s="120"/>
      <c r="C155" s="120"/>
      <c r="D155" s="120"/>
      <c r="E155" s="120"/>
      <c r="F155" s="117" t="s">
        <v>169</v>
      </c>
      <c r="G155" s="118" t="s">
        <v>169</v>
      </c>
      <c r="H155" s="53">
        <v>0.19</v>
      </c>
      <c r="I155" s="84">
        <f>ROUND(+I154*H155,)</f>
        <v>3963602</v>
      </c>
    </row>
    <row r="156" spans="1:10" ht="29.25" customHeight="1" thickBot="1">
      <c r="A156" s="121"/>
      <c r="B156" s="122"/>
      <c r="C156" s="122"/>
      <c r="D156" s="122"/>
      <c r="E156" s="122"/>
      <c r="F156" s="123" t="s">
        <v>10</v>
      </c>
      <c r="G156" s="123"/>
      <c r="H156" s="85"/>
      <c r="I156" s="86">
        <f>SUM(I151:I155)</f>
        <v>525490168</v>
      </c>
      <c r="J156" s="30"/>
    </row>
  </sheetData>
  <mergeCells count="58">
    <mergeCell ref="A6:I6"/>
    <mergeCell ref="A1:I1"/>
    <mergeCell ref="A2:I2"/>
    <mergeCell ref="A3:I3"/>
    <mergeCell ref="A4:I4"/>
    <mergeCell ref="A5:I5"/>
    <mergeCell ref="A51:E51"/>
    <mergeCell ref="A8:B8"/>
    <mergeCell ref="C8:H8"/>
    <mergeCell ref="A9:I9"/>
    <mergeCell ref="A10:A11"/>
    <mergeCell ref="B10:B11"/>
    <mergeCell ref="C10:D10"/>
    <mergeCell ref="E10:E11"/>
    <mergeCell ref="F10:F11"/>
    <mergeCell ref="G10:G11"/>
    <mergeCell ref="H10:H11"/>
    <mergeCell ref="I10:I11"/>
    <mergeCell ref="A12:E12"/>
    <mergeCell ref="A31:E31"/>
    <mergeCell ref="A36:E36"/>
    <mergeCell ref="A41:E41"/>
    <mergeCell ref="A109:E109"/>
    <mergeCell ref="A55:E55"/>
    <mergeCell ref="A67:E67"/>
    <mergeCell ref="A72:E72"/>
    <mergeCell ref="A75:E75"/>
    <mergeCell ref="A79:E79"/>
    <mergeCell ref="A87:G87"/>
    <mergeCell ref="A88:E88"/>
    <mergeCell ref="A92:E92"/>
    <mergeCell ref="A95:E95"/>
    <mergeCell ref="A105:G105"/>
    <mergeCell ref="A106:E106"/>
    <mergeCell ref="F144:H144"/>
    <mergeCell ref="J110:J111"/>
    <mergeCell ref="A114:E114"/>
    <mergeCell ref="A117:E117"/>
    <mergeCell ref="A123:G123"/>
    <mergeCell ref="A124:E124"/>
    <mergeCell ref="A129:G129"/>
    <mergeCell ref="A130:E130"/>
    <mergeCell ref="A133:E133"/>
    <mergeCell ref="A137:E137"/>
    <mergeCell ref="A141:E141"/>
    <mergeCell ref="A144:E144"/>
    <mergeCell ref="A145:I145"/>
    <mergeCell ref="A146:E146"/>
    <mergeCell ref="A152:E152"/>
    <mergeCell ref="F152:G152"/>
    <mergeCell ref="A153:E153"/>
    <mergeCell ref="F153:G153"/>
    <mergeCell ref="A154:E154"/>
    <mergeCell ref="F154:G154"/>
    <mergeCell ref="A155:E155"/>
    <mergeCell ref="F155:G155"/>
    <mergeCell ref="A156:E156"/>
    <mergeCell ref="F156:G156"/>
  </mergeCells>
  <pageMargins left="0.82677165354330717" right="0.82677165354330717" top="1.1023622047244095" bottom="0.94488188976377963" header="0.31496062992125984" footer="0.31496062992125984"/>
  <pageSetup scale="32" orientation="portrait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97FFD-B212-41DC-A910-456EEA4233CE}">
  <sheetPr>
    <tabColor rgb="FFFFC000"/>
  </sheetPr>
  <dimension ref="A2:DX168"/>
  <sheetViews>
    <sheetView showGridLines="0" tabSelected="1" zoomScale="70" zoomScaleNormal="70" zoomScaleSheetLayoutView="90" zoomScalePageLayoutView="85" workbookViewId="0">
      <selection activeCell="I169" sqref="I169"/>
    </sheetView>
  </sheetViews>
  <sheetFormatPr baseColWidth="10" defaultColWidth="11.44140625" defaultRowHeight="14.4"/>
  <cols>
    <col min="1" max="1" width="6.109375" style="1" customWidth="1"/>
    <col min="2" max="2" width="7.88671875" style="1" customWidth="1"/>
    <col min="3" max="3" width="12.44140625" style="1" customWidth="1"/>
    <col min="4" max="4" width="17" style="1" customWidth="1"/>
    <col min="5" max="5" width="62.88671875" style="1" customWidth="1"/>
    <col min="6" max="6" width="9.44140625" style="1" customWidth="1"/>
    <col min="7" max="7" width="15.6640625" style="41" customWidth="1"/>
    <col min="8" max="8" width="21.6640625" style="1" customWidth="1"/>
    <col min="9" max="9" width="42.44140625" style="1" customWidth="1"/>
    <col min="10" max="10" width="21.5546875" style="190" customWidth="1"/>
    <col min="11" max="16384" width="11.44140625" style="1"/>
  </cols>
  <sheetData>
    <row r="2" spans="1:10">
      <c r="A2" s="172" t="s">
        <v>0</v>
      </c>
      <c r="B2" s="173"/>
      <c r="C2" s="173"/>
      <c r="D2" s="173"/>
      <c r="E2" s="173"/>
      <c r="F2" s="173"/>
      <c r="G2" s="173"/>
      <c r="H2" s="173"/>
      <c r="I2" s="173"/>
      <c r="J2" s="174"/>
    </row>
    <row r="3" spans="1:10">
      <c r="A3" s="175" t="s">
        <v>252</v>
      </c>
      <c r="B3" s="159"/>
      <c r="C3" s="159"/>
      <c r="D3" s="159"/>
      <c r="E3" s="159"/>
      <c r="F3" s="159"/>
      <c r="G3" s="159"/>
      <c r="H3" s="159"/>
      <c r="I3" s="159"/>
      <c r="J3" s="176"/>
    </row>
    <row r="4" spans="1:10">
      <c r="A4" s="175" t="s">
        <v>11</v>
      </c>
      <c r="B4" s="159"/>
      <c r="C4" s="159"/>
      <c r="D4" s="159"/>
      <c r="E4" s="159"/>
      <c r="F4" s="159"/>
      <c r="G4" s="159"/>
      <c r="H4" s="159"/>
      <c r="I4" s="159"/>
      <c r="J4" s="176"/>
    </row>
    <row r="5" spans="1:10">
      <c r="A5" s="175" t="s">
        <v>12</v>
      </c>
      <c r="B5" s="159"/>
      <c r="C5" s="159"/>
      <c r="D5" s="159"/>
      <c r="E5" s="159"/>
      <c r="F5" s="159"/>
      <c r="G5" s="159"/>
      <c r="H5" s="159"/>
      <c r="I5" s="159"/>
      <c r="J5" s="176"/>
    </row>
    <row r="6" spans="1:10">
      <c r="A6" s="175" t="s">
        <v>171</v>
      </c>
      <c r="B6" s="159"/>
      <c r="C6" s="159"/>
      <c r="D6" s="159"/>
      <c r="E6" s="159"/>
      <c r="F6" s="159"/>
      <c r="G6" s="159"/>
      <c r="H6" s="159"/>
      <c r="I6" s="159"/>
      <c r="J6" s="176"/>
    </row>
    <row r="7" spans="1:10">
      <c r="A7" s="175" t="s">
        <v>253</v>
      </c>
      <c r="B7" s="159"/>
      <c r="C7" s="159"/>
      <c r="D7" s="159"/>
      <c r="E7" s="159"/>
      <c r="F7" s="159"/>
      <c r="G7" s="159"/>
      <c r="H7" s="159"/>
      <c r="I7" s="159"/>
      <c r="J7" s="176"/>
    </row>
    <row r="8" spans="1:10">
      <c r="A8" s="175"/>
      <c r="B8" s="159"/>
      <c r="C8" s="159"/>
      <c r="D8" s="159"/>
      <c r="E8" s="159"/>
      <c r="F8" s="159"/>
      <c r="G8" s="159"/>
      <c r="H8" s="159"/>
      <c r="I8" s="159"/>
      <c r="J8" s="176"/>
    </row>
    <row r="9" spans="1:10" ht="45.15" customHeight="1">
      <c r="A9" s="177" t="s">
        <v>254</v>
      </c>
      <c r="B9" s="178"/>
      <c r="C9" s="178"/>
      <c r="D9" s="178"/>
      <c r="E9" s="178"/>
      <c r="F9" s="178"/>
      <c r="G9" s="178"/>
      <c r="H9" s="178"/>
      <c r="I9" s="178"/>
      <c r="J9" s="179"/>
    </row>
    <row r="10" spans="1:10">
      <c r="A10" s="180"/>
      <c r="B10" s="181"/>
      <c r="C10" s="181"/>
      <c r="D10" s="181"/>
      <c r="E10" s="181"/>
      <c r="F10" s="181"/>
      <c r="G10" s="181"/>
      <c r="H10" s="181"/>
      <c r="I10" s="181"/>
      <c r="J10" s="182"/>
    </row>
    <row r="11" spans="1:10" ht="18" customHeight="1">
      <c r="A11" s="125" t="s">
        <v>2</v>
      </c>
      <c r="B11" s="125" t="s">
        <v>3</v>
      </c>
      <c r="C11" s="183" t="s">
        <v>4</v>
      </c>
      <c r="D11" s="183"/>
      <c r="E11" s="184" t="s">
        <v>5</v>
      </c>
      <c r="F11" s="125" t="s">
        <v>6</v>
      </c>
      <c r="G11" s="185" t="s">
        <v>251</v>
      </c>
      <c r="H11" s="125" t="s">
        <v>255</v>
      </c>
      <c r="I11" s="165" t="s">
        <v>256</v>
      </c>
      <c r="J11" s="188" t="s">
        <v>257</v>
      </c>
    </row>
    <row r="12" spans="1:10" ht="26.25" customHeight="1">
      <c r="A12" s="125"/>
      <c r="B12" s="125"/>
      <c r="C12" s="10" t="s">
        <v>8</v>
      </c>
      <c r="D12" s="10" t="s">
        <v>9</v>
      </c>
      <c r="E12" s="184"/>
      <c r="F12" s="125"/>
      <c r="G12" s="185"/>
      <c r="H12" s="125"/>
      <c r="I12" s="165"/>
      <c r="J12" s="188" t="s">
        <v>257</v>
      </c>
    </row>
    <row r="13" spans="1:10" ht="31.05" customHeight="1">
      <c r="A13" s="168" t="s">
        <v>23</v>
      </c>
      <c r="B13" s="168"/>
      <c r="C13" s="168"/>
      <c r="D13" s="168"/>
      <c r="E13" s="168"/>
      <c r="F13" s="88"/>
      <c r="G13" s="89"/>
      <c r="H13" s="88"/>
      <c r="I13" s="90"/>
      <c r="J13" s="189"/>
    </row>
    <row r="14" spans="1:10" ht="31.05" customHeight="1">
      <c r="A14" s="9" t="s">
        <v>26</v>
      </c>
      <c r="B14" s="9"/>
      <c r="C14" s="10"/>
      <c r="D14" s="10"/>
      <c r="E14" s="91" t="s">
        <v>201</v>
      </c>
      <c r="F14" s="92" t="s">
        <v>15</v>
      </c>
      <c r="G14" s="38">
        <v>100</v>
      </c>
      <c r="H14" s="93">
        <f>+ROUND(19819.1421455,)</f>
        <v>19819</v>
      </c>
      <c r="I14" s="94">
        <v>19000</v>
      </c>
      <c r="J14" s="186">
        <f>+I14*G14</f>
        <v>1900000</v>
      </c>
    </row>
    <row r="15" spans="1:10" ht="31.05" customHeight="1">
      <c r="A15" s="9" t="s">
        <v>27</v>
      </c>
      <c r="B15" s="9"/>
      <c r="C15" s="10"/>
      <c r="D15" s="10"/>
      <c r="E15" s="91" t="s">
        <v>202</v>
      </c>
      <c r="F15" s="92" t="s">
        <v>68</v>
      </c>
      <c r="G15" s="38">
        <v>40</v>
      </c>
      <c r="H15" s="93">
        <f>+ROUND(8856.17682933333,)</f>
        <v>8856</v>
      </c>
      <c r="I15" s="94">
        <v>8000</v>
      </c>
      <c r="J15" s="186">
        <f t="shared" ref="J15:J30" si="0">+I15*G15</f>
        <v>320000</v>
      </c>
    </row>
    <row r="16" spans="1:10" ht="31.05" customHeight="1">
      <c r="A16" s="9" t="s">
        <v>29</v>
      </c>
      <c r="B16" s="9"/>
      <c r="C16" s="10"/>
      <c r="D16" s="10"/>
      <c r="E16" s="91" t="s">
        <v>179</v>
      </c>
      <c r="F16" s="92" t="s">
        <v>68</v>
      </c>
      <c r="G16" s="38">
        <v>330</v>
      </c>
      <c r="H16" s="93">
        <f>+ROUND(10681.7700958333,)</f>
        <v>10682</v>
      </c>
      <c r="I16" s="94">
        <v>8000</v>
      </c>
      <c r="J16" s="186">
        <f t="shared" si="0"/>
        <v>2640000</v>
      </c>
    </row>
    <row r="17" spans="1:10" ht="31.05" customHeight="1">
      <c r="A17" s="9" t="s">
        <v>28</v>
      </c>
      <c r="B17" s="9"/>
      <c r="C17" s="10"/>
      <c r="D17" s="10"/>
      <c r="E17" s="91" t="s">
        <v>178</v>
      </c>
      <c r="F17" s="92" t="s">
        <v>68</v>
      </c>
      <c r="G17" s="38">
        <v>91</v>
      </c>
      <c r="H17" s="93">
        <f>+ROUND(10393.5171108333,)</f>
        <v>10394</v>
      </c>
      <c r="I17" s="94">
        <v>10000</v>
      </c>
      <c r="J17" s="186">
        <f t="shared" si="0"/>
        <v>910000</v>
      </c>
    </row>
    <row r="18" spans="1:10" ht="31.05" customHeight="1">
      <c r="A18" s="9" t="s">
        <v>30</v>
      </c>
      <c r="B18" s="9"/>
      <c r="C18" s="10"/>
      <c r="D18" s="10"/>
      <c r="E18" s="91" t="s">
        <v>180</v>
      </c>
      <c r="F18" s="92" t="s">
        <v>14</v>
      </c>
      <c r="G18" s="38">
        <v>4</v>
      </c>
      <c r="H18" s="93">
        <f>+ROUND(25240.7306025,)</f>
        <v>25241</v>
      </c>
      <c r="I18" s="94">
        <v>25000</v>
      </c>
      <c r="J18" s="186">
        <f t="shared" si="0"/>
        <v>100000</v>
      </c>
    </row>
    <row r="19" spans="1:10" ht="31.05" customHeight="1">
      <c r="A19" s="9" t="s">
        <v>31</v>
      </c>
      <c r="B19" s="9"/>
      <c r="C19" s="10"/>
      <c r="D19" s="10"/>
      <c r="E19" s="91" t="s">
        <v>181</v>
      </c>
      <c r="F19" s="92" t="s">
        <v>15</v>
      </c>
      <c r="G19" s="38">
        <v>67</v>
      </c>
      <c r="H19" s="93">
        <f>+ROUND(13650.9808998333,)</f>
        <v>13651</v>
      </c>
      <c r="I19" s="94">
        <v>8000</v>
      </c>
      <c r="J19" s="186">
        <f t="shared" si="0"/>
        <v>536000</v>
      </c>
    </row>
    <row r="20" spans="1:10" ht="31.05" customHeight="1">
      <c r="A20" s="9" t="s">
        <v>32</v>
      </c>
      <c r="B20" s="9"/>
      <c r="C20" s="10"/>
      <c r="D20" s="10"/>
      <c r="E20" s="91" t="s">
        <v>182</v>
      </c>
      <c r="F20" s="92" t="s">
        <v>68</v>
      </c>
      <c r="G20" s="38">
        <v>135</v>
      </c>
      <c r="H20" s="93">
        <f>+ROUND(27196.6956916667,)</f>
        <v>27197</v>
      </c>
      <c r="I20" s="94">
        <v>22000</v>
      </c>
      <c r="J20" s="186">
        <f t="shared" si="0"/>
        <v>2970000</v>
      </c>
    </row>
    <row r="21" spans="1:10" ht="31.05" customHeight="1">
      <c r="A21" s="9" t="s">
        <v>33</v>
      </c>
      <c r="B21" s="9"/>
      <c r="C21" s="10"/>
      <c r="D21" s="10"/>
      <c r="E21" s="91" t="s">
        <v>183</v>
      </c>
      <c r="F21" s="92" t="s">
        <v>68</v>
      </c>
      <c r="G21" s="38">
        <v>150</v>
      </c>
      <c r="H21" s="93">
        <f>+ROUND(16338.6643666667,)</f>
        <v>16339</v>
      </c>
      <c r="I21" s="94">
        <v>12000</v>
      </c>
      <c r="J21" s="186">
        <f t="shared" si="0"/>
        <v>1800000</v>
      </c>
    </row>
    <row r="22" spans="1:10" ht="31.05" customHeight="1">
      <c r="A22" s="9" t="s">
        <v>34</v>
      </c>
      <c r="B22" s="9"/>
      <c r="C22" s="10"/>
      <c r="D22" s="10"/>
      <c r="E22" s="91" t="s">
        <v>184</v>
      </c>
      <c r="F22" s="92" t="s">
        <v>68</v>
      </c>
      <c r="G22" s="38">
        <v>400</v>
      </c>
      <c r="H22" s="93">
        <f>+ROUND(14056.3955933333,)</f>
        <v>14056</v>
      </c>
      <c r="I22" s="94">
        <v>12000</v>
      </c>
      <c r="J22" s="186">
        <f t="shared" si="0"/>
        <v>4800000</v>
      </c>
    </row>
    <row r="23" spans="1:10" ht="31.05" customHeight="1">
      <c r="A23" s="9" t="s">
        <v>35</v>
      </c>
      <c r="B23" s="9"/>
      <c r="C23" s="10"/>
      <c r="D23" s="10"/>
      <c r="E23" s="91" t="s">
        <v>185</v>
      </c>
      <c r="F23" s="92" t="s">
        <v>68</v>
      </c>
      <c r="G23" s="38">
        <v>268</v>
      </c>
      <c r="H23" s="93">
        <f>+ROUND(16450.0011741667,)</f>
        <v>16450</v>
      </c>
      <c r="I23" s="94">
        <v>14000</v>
      </c>
      <c r="J23" s="186">
        <f t="shared" si="0"/>
        <v>3752000</v>
      </c>
    </row>
    <row r="24" spans="1:10" ht="31.05" customHeight="1">
      <c r="A24" s="9" t="s">
        <v>36</v>
      </c>
      <c r="B24" s="9"/>
      <c r="C24" s="10"/>
      <c r="D24" s="10"/>
      <c r="E24" s="91" t="s">
        <v>186</v>
      </c>
      <c r="F24" s="92" t="s">
        <v>68</v>
      </c>
      <c r="G24" s="38">
        <v>8</v>
      </c>
      <c r="H24" s="93">
        <f>+ROUND(69044.8345333333,)</f>
        <v>69045</v>
      </c>
      <c r="I24" s="94">
        <v>60000</v>
      </c>
      <c r="J24" s="186">
        <f t="shared" si="0"/>
        <v>480000</v>
      </c>
    </row>
    <row r="25" spans="1:10" ht="31.05" customHeight="1">
      <c r="A25" s="9" t="s">
        <v>37</v>
      </c>
      <c r="B25" s="9"/>
      <c r="C25" s="10"/>
      <c r="D25" s="10"/>
      <c r="E25" s="91" t="s">
        <v>196</v>
      </c>
      <c r="F25" s="92" t="s">
        <v>14</v>
      </c>
      <c r="G25" s="38">
        <v>1</v>
      </c>
      <c r="H25" s="93">
        <f>+ROUND(38820.6038916667,)</f>
        <v>38821</v>
      </c>
      <c r="I25" s="94">
        <v>30000</v>
      </c>
      <c r="J25" s="186">
        <f t="shared" si="0"/>
        <v>30000</v>
      </c>
    </row>
    <row r="26" spans="1:10" ht="31.05" customHeight="1">
      <c r="A26" s="9" t="s">
        <v>38</v>
      </c>
      <c r="B26" s="9"/>
      <c r="C26" s="10"/>
      <c r="D26" s="10"/>
      <c r="E26" s="91" t="s">
        <v>250</v>
      </c>
      <c r="F26" s="92" t="s">
        <v>68</v>
      </c>
      <c r="G26" s="38">
        <v>19</v>
      </c>
      <c r="H26" s="93">
        <f>+ROUND(14876.546825,)</f>
        <v>14877</v>
      </c>
      <c r="I26" s="94">
        <v>12000</v>
      </c>
      <c r="J26" s="186">
        <f t="shared" si="0"/>
        <v>228000</v>
      </c>
    </row>
    <row r="27" spans="1:10" ht="31.05" customHeight="1">
      <c r="A27" s="9" t="s">
        <v>70</v>
      </c>
      <c r="B27" s="9"/>
      <c r="C27" s="10"/>
      <c r="D27" s="10"/>
      <c r="E27" s="91" t="s">
        <v>247</v>
      </c>
      <c r="F27" s="92" t="s">
        <v>14</v>
      </c>
      <c r="G27" s="38">
        <v>11</v>
      </c>
      <c r="H27" s="93">
        <f>+ROUND(55410.77346,)</f>
        <v>55411</v>
      </c>
      <c r="I27" s="94">
        <v>50000</v>
      </c>
      <c r="J27" s="186">
        <f t="shared" si="0"/>
        <v>550000</v>
      </c>
    </row>
    <row r="28" spans="1:10" ht="31.05" customHeight="1">
      <c r="A28" s="9" t="s">
        <v>71</v>
      </c>
      <c r="B28" s="9"/>
      <c r="C28" s="10"/>
      <c r="D28" s="10"/>
      <c r="E28" s="91" t="s">
        <v>197</v>
      </c>
      <c r="F28" s="92" t="s">
        <v>14</v>
      </c>
      <c r="G28" s="38">
        <v>20</v>
      </c>
      <c r="H28" s="93">
        <f>+ROUND(50283.3160966667,)</f>
        <v>50283</v>
      </c>
      <c r="I28" s="94">
        <v>45000</v>
      </c>
      <c r="J28" s="186">
        <f t="shared" si="0"/>
        <v>900000</v>
      </c>
    </row>
    <row r="29" spans="1:10" ht="31.05" customHeight="1">
      <c r="A29" s="9" t="s">
        <v>72</v>
      </c>
      <c r="B29" s="9"/>
      <c r="C29" s="10"/>
      <c r="D29" s="10"/>
      <c r="E29" s="91" t="s">
        <v>198</v>
      </c>
      <c r="F29" s="92" t="s">
        <v>14</v>
      </c>
      <c r="G29" s="38">
        <v>30</v>
      </c>
      <c r="H29" s="93">
        <f>+ROUND(17208.3433641667,)</f>
        <v>17208</v>
      </c>
      <c r="I29" s="94">
        <v>15000</v>
      </c>
      <c r="J29" s="186">
        <f t="shared" si="0"/>
        <v>450000</v>
      </c>
    </row>
    <row r="30" spans="1:10" ht="39.75" customHeight="1">
      <c r="A30" s="9" t="s">
        <v>73</v>
      </c>
      <c r="B30" s="9"/>
      <c r="C30" s="10"/>
      <c r="D30" s="10"/>
      <c r="E30" s="95" t="s">
        <v>203</v>
      </c>
      <c r="F30" s="96" t="s">
        <v>69</v>
      </c>
      <c r="G30" s="38">
        <v>19</v>
      </c>
      <c r="H30" s="93">
        <f>+ROUND(106698.795090667,)</f>
        <v>106699</v>
      </c>
      <c r="I30" s="94">
        <v>90000</v>
      </c>
      <c r="J30" s="186">
        <f t="shared" si="0"/>
        <v>1710000</v>
      </c>
    </row>
    <row r="31" spans="1:10" ht="31.05" customHeight="1">
      <c r="A31" s="9"/>
      <c r="B31" s="9"/>
      <c r="C31" s="10"/>
      <c r="D31" s="10"/>
      <c r="E31" s="97"/>
      <c r="F31" s="9"/>
      <c r="G31" s="87"/>
      <c r="H31" s="15" t="s">
        <v>65</v>
      </c>
      <c r="I31" s="98">
        <f>SUM(I14:I30)</f>
        <v>440000</v>
      </c>
      <c r="J31" s="189">
        <f>SUM(J14:J30)</f>
        <v>24076000</v>
      </c>
    </row>
    <row r="32" spans="1:10" ht="31.05" customHeight="1">
      <c r="A32" s="168" t="s">
        <v>74</v>
      </c>
      <c r="B32" s="168"/>
      <c r="C32" s="168"/>
      <c r="D32" s="168"/>
      <c r="E32" s="168"/>
      <c r="F32" s="88"/>
      <c r="G32" s="89"/>
      <c r="H32" s="88"/>
      <c r="I32" s="90"/>
      <c r="J32" s="189"/>
    </row>
    <row r="33" spans="1:10" ht="31.05" customHeight="1">
      <c r="A33" s="9" t="s">
        <v>19</v>
      </c>
      <c r="B33" s="9"/>
      <c r="C33" s="10"/>
      <c r="D33" s="10"/>
      <c r="E33" s="92" t="s">
        <v>187</v>
      </c>
      <c r="F33" s="99" t="s">
        <v>24</v>
      </c>
      <c r="G33" s="45">
        <v>1.21</v>
      </c>
      <c r="H33" s="93">
        <f>+ROUND(142338.264740833,)</f>
        <v>142338</v>
      </c>
      <c r="I33" s="94">
        <v>135000</v>
      </c>
      <c r="J33" s="187">
        <f>+I33*G33</f>
        <v>163350</v>
      </c>
    </row>
    <row r="34" spans="1:10" ht="70.650000000000006" customHeight="1">
      <c r="A34" s="9" t="s">
        <v>20</v>
      </c>
      <c r="B34" s="9"/>
      <c r="C34" s="10"/>
      <c r="D34" s="10"/>
      <c r="E34" s="92" t="s">
        <v>248</v>
      </c>
      <c r="F34" s="99" t="s">
        <v>24</v>
      </c>
      <c r="G34" s="45">
        <v>230</v>
      </c>
      <c r="H34" s="93">
        <f>+ROUND(276104.793333333,)</f>
        <v>276105</v>
      </c>
      <c r="I34" s="94">
        <v>266000</v>
      </c>
      <c r="J34" s="187">
        <f t="shared" ref="J34:J35" si="1">+I34*G34</f>
        <v>61180000</v>
      </c>
    </row>
    <row r="35" spans="1:10" ht="40.5" customHeight="1">
      <c r="A35" s="9" t="s">
        <v>21</v>
      </c>
      <c r="B35" s="9"/>
      <c r="C35" s="10"/>
      <c r="D35" s="10"/>
      <c r="E35" s="100" t="s">
        <v>249</v>
      </c>
      <c r="F35" s="99" t="s">
        <v>25</v>
      </c>
      <c r="G35" s="45">
        <v>120</v>
      </c>
      <c r="H35" s="93">
        <f>+ROUND(42788.6073388,)</f>
        <v>42789</v>
      </c>
      <c r="I35" s="94">
        <v>40000</v>
      </c>
      <c r="J35" s="187">
        <f t="shared" si="1"/>
        <v>4800000</v>
      </c>
    </row>
    <row r="36" spans="1:10" ht="31.05" customHeight="1">
      <c r="A36" s="9"/>
      <c r="B36" s="9"/>
      <c r="C36" s="10"/>
      <c r="D36" s="10"/>
      <c r="E36" s="97"/>
      <c r="F36" s="9"/>
      <c r="G36" s="87"/>
      <c r="H36" s="15" t="s">
        <v>16</v>
      </c>
      <c r="I36" s="98">
        <f>SUM(I33:I35)</f>
        <v>441000</v>
      </c>
      <c r="J36" s="189">
        <f>SUM(J33:J35)</f>
        <v>66143350</v>
      </c>
    </row>
    <row r="37" spans="1:10" ht="31.05" customHeight="1">
      <c r="A37" s="168" t="s">
        <v>75</v>
      </c>
      <c r="B37" s="168"/>
      <c r="C37" s="168"/>
      <c r="D37" s="168"/>
      <c r="E37" s="168"/>
      <c r="F37" s="88"/>
      <c r="G37" s="89"/>
      <c r="H37" s="88"/>
      <c r="I37" s="90"/>
      <c r="J37" s="189"/>
    </row>
    <row r="38" spans="1:10" ht="33.75" customHeight="1">
      <c r="A38" s="34" t="s">
        <v>22</v>
      </c>
      <c r="B38" s="34"/>
      <c r="C38" s="10"/>
      <c r="D38" s="10"/>
      <c r="E38" s="92" t="s">
        <v>66</v>
      </c>
      <c r="F38" s="92" t="s">
        <v>14</v>
      </c>
      <c r="G38" s="102">
        <v>2</v>
      </c>
      <c r="H38" s="93">
        <f>+ROUND(46912.8270833333,)</f>
        <v>46913</v>
      </c>
      <c r="I38" s="103">
        <v>40000</v>
      </c>
      <c r="J38" s="187">
        <f t="shared" ref="J38:J40" si="2">+I38*G38</f>
        <v>80000</v>
      </c>
    </row>
    <row r="39" spans="1:10" ht="33.75" customHeight="1">
      <c r="A39" s="34" t="s">
        <v>40</v>
      </c>
      <c r="B39" s="34"/>
      <c r="C39" s="10"/>
      <c r="D39" s="10"/>
      <c r="E39" s="92" t="s">
        <v>67</v>
      </c>
      <c r="F39" s="92" t="s">
        <v>14</v>
      </c>
      <c r="G39" s="102">
        <v>2</v>
      </c>
      <c r="H39" s="93">
        <f>+ROUND(142756.1974,)</f>
        <v>142756</v>
      </c>
      <c r="I39" s="103">
        <v>135000</v>
      </c>
      <c r="J39" s="187">
        <f t="shared" si="2"/>
        <v>270000</v>
      </c>
    </row>
    <row r="40" spans="1:10" ht="44.25" customHeight="1">
      <c r="A40" s="34" t="s">
        <v>41</v>
      </c>
      <c r="B40" s="34"/>
      <c r="C40" s="10"/>
      <c r="D40" s="10"/>
      <c r="E40" s="92" t="s">
        <v>208</v>
      </c>
      <c r="F40" s="92" t="s">
        <v>14</v>
      </c>
      <c r="G40" s="102">
        <v>4</v>
      </c>
      <c r="H40" s="93">
        <f>+ROUND(76813.7582958333,)</f>
        <v>76814</v>
      </c>
      <c r="I40" s="103">
        <v>70000</v>
      </c>
      <c r="J40" s="187">
        <f t="shared" si="2"/>
        <v>280000</v>
      </c>
    </row>
    <row r="41" spans="1:10" ht="31.05" customHeight="1">
      <c r="A41" s="34"/>
      <c r="B41" s="34"/>
      <c r="C41" s="10"/>
      <c r="D41" s="10"/>
      <c r="E41" s="97"/>
      <c r="F41" s="34"/>
      <c r="G41" s="101"/>
      <c r="H41" s="36" t="s">
        <v>64</v>
      </c>
      <c r="I41" s="98">
        <f>SUM(I38:I40)</f>
        <v>245000</v>
      </c>
      <c r="J41" s="189">
        <f>SUM(J38:J40)</f>
        <v>630000</v>
      </c>
    </row>
    <row r="42" spans="1:10" ht="31.05" customHeight="1">
      <c r="A42" s="168" t="s">
        <v>76</v>
      </c>
      <c r="B42" s="168"/>
      <c r="C42" s="168"/>
      <c r="D42" s="168"/>
      <c r="E42" s="168"/>
      <c r="F42" s="88"/>
      <c r="G42" s="89"/>
      <c r="H42" s="88"/>
      <c r="I42" s="90"/>
      <c r="J42" s="189"/>
    </row>
    <row r="43" spans="1:10" ht="34.65" customHeight="1">
      <c r="A43" s="9" t="s">
        <v>43</v>
      </c>
      <c r="B43" s="9"/>
      <c r="C43" s="10"/>
      <c r="D43" s="10"/>
      <c r="E43" s="92" t="s">
        <v>77</v>
      </c>
      <c r="F43" s="92" t="s">
        <v>14</v>
      </c>
      <c r="G43" s="102">
        <v>4</v>
      </c>
      <c r="H43" s="93">
        <f>+ROUND(68149.1710983333,)</f>
        <v>68149</v>
      </c>
      <c r="I43" s="94">
        <v>62000</v>
      </c>
      <c r="J43" s="187">
        <f t="shared" ref="J43:J50" si="3">+I43*G43</f>
        <v>248000</v>
      </c>
    </row>
    <row r="44" spans="1:10" ht="34.65" customHeight="1">
      <c r="A44" s="9" t="s">
        <v>44</v>
      </c>
      <c r="B44" s="9"/>
      <c r="C44" s="10"/>
      <c r="D44" s="10"/>
      <c r="E44" s="92" t="s">
        <v>78</v>
      </c>
      <c r="F44" s="92" t="s">
        <v>14</v>
      </c>
      <c r="G44" s="102">
        <v>2</v>
      </c>
      <c r="H44" s="93">
        <f>+ROUND(73018.8366166667,)</f>
        <v>73019</v>
      </c>
      <c r="I44" s="94">
        <v>70000</v>
      </c>
      <c r="J44" s="187">
        <f t="shared" si="3"/>
        <v>140000</v>
      </c>
    </row>
    <row r="45" spans="1:10" ht="34.65" customHeight="1">
      <c r="A45" s="9" t="s">
        <v>45</v>
      </c>
      <c r="B45" s="9"/>
      <c r="C45" s="10"/>
      <c r="D45" s="10"/>
      <c r="E45" s="92" t="s">
        <v>79</v>
      </c>
      <c r="F45" s="92" t="s">
        <v>14</v>
      </c>
      <c r="G45" s="102">
        <v>2</v>
      </c>
      <c r="H45" s="93">
        <f>+ROUND(139400.00995,)</f>
        <v>139400</v>
      </c>
      <c r="I45" s="94">
        <v>125000</v>
      </c>
      <c r="J45" s="187">
        <f t="shared" si="3"/>
        <v>250000</v>
      </c>
    </row>
    <row r="46" spans="1:10" ht="34.65" customHeight="1">
      <c r="A46" s="9" t="s">
        <v>82</v>
      </c>
      <c r="B46" s="9"/>
      <c r="C46" s="10"/>
      <c r="D46" s="10"/>
      <c r="E46" s="92" t="s">
        <v>80</v>
      </c>
      <c r="F46" s="92" t="s">
        <v>14</v>
      </c>
      <c r="G46" s="102">
        <v>2</v>
      </c>
      <c r="H46" s="93">
        <f>+ROUND(41958.5483208333,)</f>
        <v>41959</v>
      </c>
      <c r="I46" s="94">
        <v>35000</v>
      </c>
      <c r="J46" s="187">
        <f t="shared" si="3"/>
        <v>70000</v>
      </c>
    </row>
    <row r="47" spans="1:10" ht="34.65" customHeight="1">
      <c r="A47" s="9" t="s">
        <v>83</v>
      </c>
      <c r="B47" s="9"/>
      <c r="C47" s="10"/>
      <c r="D47" s="10"/>
      <c r="E47" s="100" t="s">
        <v>199</v>
      </c>
      <c r="F47" s="92" t="s">
        <v>14</v>
      </c>
      <c r="G47" s="102">
        <v>1</v>
      </c>
      <c r="H47" s="93">
        <f>+ROUND(850040.226591667,)</f>
        <v>850040</v>
      </c>
      <c r="I47" s="94">
        <v>820000</v>
      </c>
      <c r="J47" s="187">
        <f t="shared" si="3"/>
        <v>820000</v>
      </c>
    </row>
    <row r="48" spans="1:10" ht="32.25" customHeight="1">
      <c r="A48" s="9" t="s">
        <v>84</v>
      </c>
      <c r="B48" s="9"/>
      <c r="C48" s="10"/>
      <c r="D48" s="10"/>
      <c r="E48" s="92" t="s">
        <v>81</v>
      </c>
      <c r="F48" s="92" t="s">
        <v>15</v>
      </c>
      <c r="G48" s="102">
        <v>20</v>
      </c>
      <c r="H48" s="93">
        <f>+ROUND(13322.7766566667,)</f>
        <v>13323</v>
      </c>
      <c r="I48" s="94">
        <v>12000</v>
      </c>
      <c r="J48" s="187">
        <f t="shared" si="3"/>
        <v>240000</v>
      </c>
    </row>
    <row r="49" spans="1:10" ht="29.25" customHeight="1">
      <c r="A49" s="9" t="s">
        <v>85</v>
      </c>
      <c r="B49" s="9"/>
      <c r="C49" s="10"/>
      <c r="D49" s="10"/>
      <c r="E49" s="100" t="s">
        <v>200</v>
      </c>
      <c r="F49" s="92" t="s">
        <v>15</v>
      </c>
      <c r="G49" s="102">
        <v>40</v>
      </c>
      <c r="H49" s="93">
        <f>+ROUND(38346.0060052,)</f>
        <v>38346</v>
      </c>
      <c r="I49" s="94">
        <v>37000</v>
      </c>
      <c r="J49" s="187">
        <f t="shared" si="3"/>
        <v>1480000</v>
      </c>
    </row>
    <row r="50" spans="1:10" ht="29.25" customHeight="1">
      <c r="A50" s="9" t="s">
        <v>86</v>
      </c>
      <c r="B50" s="9"/>
      <c r="C50" s="10"/>
      <c r="D50" s="10"/>
      <c r="E50" s="92" t="s">
        <v>188</v>
      </c>
      <c r="F50" s="92" t="s">
        <v>14</v>
      </c>
      <c r="G50" s="102">
        <v>3</v>
      </c>
      <c r="H50" s="93">
        <f>+ROUND(41118.2405958333,)</f>
        <v>41118</v>
      </c>
      <c r="I50" s="94">
        <v>40000</v>
      </c>
      <c r="J50" s="187">
        <f t="shared" si="3"/>
        <v>120000</v>
      </c>
    </row>
    <row r="51" spans="1:10" ht="31.05" customHeight="1">
      <c r="A51" s="9"/>
      <c r="B51" s="9"/>
      <c r="C51" s="10"/>
      <c r="D51" s="10"/>
      <c r="E51" s="97"/>
      <c r="F51" s="9"/>
      <c r="G51" s="87"/>
      <c r="H51" s="15" t="s">
        <v>17</v>
      </c>
      <c r="I51" s="98">
        <f>SUM(I43:I50)</f>
        <v>1201000</v>
      </c>
      <c r="J51" s="189">
        <f>SUM(J43:J50)</f>
        <v>3368000</v>
      </c>
    </row>
    <row r="52" spans="1:10" ht="31.05" customHeight="1">
      <c r="A52" s="168" t="s">
        <v>144</v>
      </c>
      <c r="B52" s="168"/>
      <c r="C52" s="168"/>
      <c r="D52" s="168"/>
      <c r="E52" s="168"/>
      <c r="F52" s="88"/>
      <c r="G52" s="89"/>
      <c r="H52" s="88"/>
      <c r="I52" s="90"/>
      <c r="J52" s="189"/>
    </row>
    <row r="53" spans="1:10" ht="33.75" customHeight="1">
      <c r="A53" s="9" t="s">
        <v>55</v>
      </c>
      <c r="B53" s="9"/>
      <c r="C53" s="10"/>
      <c r="D53" s="10"/>
      <c r="E53" s="92" t="s">
        <v>42</v>
      </c>
      <c r="F53" s="92" t="s">
        <v>14</v>
      </c>
      <c r="G53" s="102">
        <v>1</v>
      </c>
      <c r="H53" s="93">
        <f>+ROUND(225735.783095,)</f>
        <v>225736</v>
      </c>
      <c r="I53" s="94">
        <v>220000</v>
      </c>
      <c r="J53" s="187">
        <f t="shared" ref="J53:J54" si="4">+I53*G53</f>
        <v>220000</v>
      </c>
    </row>
    <row r="54" spans="1:10" ht="33.75" customHeight="1">
      <c r="A54" s="9" t="s">
        <v>56</v>
      </c>
      <c r="B54" s="9"/>
      <c r="C54" s="10"/>
      <c r="D54" s="10"/>
      <c r="E54" s="92" t="s">
        <v>206</v>
      </c>
      <c r="F54" s="92" t="s">
        <v>14</v>
      </c>
      <c r="G54" s="102">
        <v>62</v>
      </c>
      <c r="H54" s="93">
        <f>+ROUND(97655.4330333333,)</f>
        <v>97655</v>
      </c>
      <c r="I54" s="94">
        <v>95000</v>
      </c>
      <c r="J54" s="187">
        <f t="shared" si="4"/>
        <v>5890000</v>
      </c>
    </row>
    <row r="55" spans="1:10" ht="33.75" customHeight="1">
      <c r="A55" s="9"/>
      <c r="B55" s="9"/>
      <c r="C55" s="10"/>
      <c r="D55" s="10"/>
      <c r="E55" s="97"/>
      <c r="F55" s="9"/>
      <c r="G55" s="87"/>
      <c r="H55" s="15" t="s">
        <v>18</v>
      </c>
      <c r="I55" s="98">
        <f>SUM(I53:I54)</f>
        <v>315000</v>
      </c>
      <c r="J55" s="189">
        <f>SUM(J53:J54)</f>
        <v>6110000</v>
      </c>
    </row>
    <row r="56" spans="1:10" ht="33.75" customHeight="1">
      <c r="A56" s="168" t="s">
        <v>148</v>
      </c>
      <c r="B56" s="168"/>
      <c r="C56" s="168"/>
      <c r="D56" s="168"/>
      <c r="E56" s="168"/>
      <c r="F56" s="88"/>
      <c r="G56" s="89"/>
      <c r="H56" s="88"/>
      <c r="I56" s="90"/>
      <c r="J56" s="189"/>
    </row>
    <row r="57" spans="1:10" ht="33.75" customHeight="1">
      <c r="A57" s="9" t="s">
        <v>39</v>
      </c>
      <c r="B57" s="9"/>
      <c r="C57" s="10"/>
      <c r="D57" s="10"/>
      <c r="E57" s="99" t="s">
        <v>46</v>
      </c>
      <c r="F57" s="99" t="s">
        <v>14</v>
      </c>
      <c r="G57" s="40">
        <v>1</v>
      </c>
      <c r="H57" s="93">
        <f>+ROUND(770339.382443333,)</f>
        <v>770339</v>
      </c>
      <c r="I57" s="94">
        <v>750000</v>
      </c>
      <c r="J57" s="187">
        <f t="shared" ref="J57:J66" si="5">+I57*G57</f>
        <v>750000</v>
      </c>
    </row>
    <row r="58" spans="1:10" ht="33.75" customHeight="1">
      <c r="A58" s="9" t="s">
        <v>58</v>
      </c>
      <c r="B58" s="9"/>
      <c r="C58" s="10"/>
      <c r="D58" s="10"/>
      <c r="E58" s="99" t="s">
        <v>47</v>
      </c>
      <c r="F58" s="99" t="s">
        <v>14</v>
      </c>
      <c r="G58" s="40">
        <v>1</v>
      </c>
      <c r="H58" s="93">
        <f>+ROUND(250341.844488333,)</f>
        <v>250342</v>
      </c>
      <c r="I58" s="94">
        <v>235000</v>
      </c>
      <c r="J58" s="187">
        <f t="shared" si="5"/>
        <v>235000</v>
      </c>
    </row>
    <row r="59" spans="1:10" ht="33.75" customHeight="1">
      <c r="A59" s="9" t="s">
        <v>59</v>
      </c>
      <c r="B59" s="9"/>
      <c r="C59" s="10"/>
      <c r="D59" s="10"/>
      <c r="E59" s="99" t="s">
        <v>48</v>
      </c>
      <c r="F59" s="99" t="s">
        <v>14</v>
      </c>
      <c r="G59" s="40">
        <v>7</v>
      </c>
      <c r="H59" s="93">
        <f>+ROUND(210000.6854275,)</f>
        <v>210001</v>
      </c>
      <c r="I59" s="94">
        <v>200000</v>
      </c>
      <c r="J59" s="187">
        <f t="shared" si="5"/>
        <v>1400000</v>
      </c>
    </row>
    <row r="60" spans="1:10" ht="33.75" customHeight="1">
      <c r="A60" s="9" t="s">
        <v>60</v>
      </c>
      <c r="B60" s="9"/>
      <c r="C60" s="10"/>
      <c r="D60" s="10"/>
      <c r="E60" s="99" t="s">
        <v>49</v>
      </c>
      <c r="F60" s="99" t="s">
        <v>14</v>
      </c>
      <c r="G60" s="40">
        <v>70</v>
      </c>
      <c r="H60" s="93">
        <f>+ROUND(237566.219215,)</f>
        <v>237566</v>
      </c>
      <c r="I60" s="94">
        <v>220000</v>
      </c>
      <c r="J60" s="187">
        <f t="shared" si="5"/>
        <v>15400000</v>
      </c>
    </row>
    <row r="61" spans="1:10" ht="33.75" customHeight="1">
      <c r="A61" s="9" t="s">
        <v>149</v>
      </c>
      <c r="B61" s="9"/>
      <c r="C61" s="10"/>
      <c r="D61" s="10"/>
      <c r="E61" s="99" t="s">
        <v>50</v>
      </c>
      <c r="F61" s="99" t="s">
        <v>14</v>
      </c>
      <c r="G61" s="38">
        <v>38</v>
      </c>
      <c r="H61" s="93">
        <f>+ROUND(275165.239761667,)</f>
        <v>275165</v>
      </c>
      <c r="I61" s="94">
        <v>250000</v>
      </c>
      <c r="J61" s="187">
        <f t="shared" si="5"/>
        <v>9500000</v>
      </c>
    </row>
    <row r="62" spans="1:10" ht="33.75" customHeight="1">
      <c r="A62" s="9" t="s">
        <v>150</v>
      </c>
      <c r="B62" s="9"/>
      <c r="C62" s="10"/>
      <c r="D62" s="10"/>
      <c r="E62" s="99" t="s">
        <v>51</v>
      </c>
      <c r="F62" s="99" t="s">
        <v>15</v>
      </c>
      <c r="G62" s="38">
        <v>50</v>
      </c>
      <c r="H62" s="93">
        <f>+ROUND(27646.27097,)</f>
        <v>27646</v>
      </c>
      <c r="I62" s="94">
        <v>25000</v>
      </c>
      <c r="J62" s="187">
        <f t="shared" si="5"/>
        <v>1250000</v>
      </c>
    </row>
    <row r="63" spans="1:10" ht="33.75" customHeight="1">
      <c r="A63" s="9" t="s">
        <v>151</v>
      </c>
      <c r="B63" s="9"/>
      <c r="C63" s="10"/>
      <c r="D63" s="10"/>
      <c r="E63" s="99" t="s">
        <v>52</v>
      </c>
      <c r="F63" s="99" t="s">
        <v>15</v>
      </c>
      <c r="G63" s="38">
        <v>12</v>
      </c>
      <c r="H63" s="93">
        <f>+ROUND(34266.07097,)</f>
        <v>34266</v>
      </c>
      <c r="I63" s="94">
        <v>32000</v>
      </c>
      <c r="J63" s="187">
        <f t="shared" si="5"/>
        <v>384000</v>
      </c>
    </row>
    <row r="64" spans="1:10" ht="33.75" customHeight="1">
      <c r="A64" s="9" t="s">
        <v>152</v>
      </c>
      <c r="B64" s="9"/>
      <c r="C64" s="10"/>
      <c r="D64" s="10"/>
      <c r="E64" s="99" t="s">
        <v>53</v>
      </c>
      <c r="F64" s="99" t="s">
        <v>15</v>
      </c>
      <c r="G64" s="38">
        <v>215</v>
      </c>
      <c r="H64" s="93">
        <f>+ROUND(17371.0337275,)</f>
        <v>17371</v>
      </c>
      <c r="I64" s="94">
        <v>15000</v>
      </c>
      <c r="J64" s="187">
        <f t="shared" si="5"/>
        <v>3225000</v>
      </c>
    </row>
    <row r="65" spans="1:10" ht="33.75" customHeight="1">
      <c r="A65" s="9" t="s">
        <v>153</v>
      </c>
      <c r="B65" s="9"/>
      <c r="C65" s="10"/>
      <c r="D65" s="10"/>
      <c r="E65" s="99" t="s">
        <v>205</v>
      </c>
      <c r="F65" s="99" t="s">
        <v>15</v>
      </c>
      <c r="G65" s="38">
        <v>75</v>
      </c>
      <c r="H65" s="93">
        <f>+ROUND(10155.4851941667,)</f>
        <v>10155</v>
      </c>
      <c r="I65" s="94">
        <v>9000</v>
      </c>
      <c r="J65" s="187">
        <f t="shared" si="5"/>
        <v>675000</v>
      </c>
    </row>
    <row r="66" spans="1:10" ht="49.05" customHeight="1">
      <c r="A66" s="9" t="s">
        <v>154</v>
      </c>
      <c r="B66" s="9"/>
      <c r="C66" s="10"/>
      <c r="D66" s="10"/>
      <c r="E66" s="99" t="s">
        <v>54</v>
      </c>
      <c r="F66" s="99" t="s">
        <v>14</v>
      </c>
      <c r="G66" s="38">
        <v>1</v>
      </c>
      <c r="H66" s="93">
        <f>+ROUND(12523004.3786053,)</f>
        <v>12523004</v>
      </c>
      <c r="I66" s="94">
        <v>11455000</v>
      </c>
      <c r="J66" s="187">
        <f t="shared" si="5"/>
        <v>11455000</v>
      </c>
    </row>
    <row r="67" spans="1:10" ht="31.05" customHeight="1">
      <c r="A67" s="18"/>
      <c r="B67" s="18"/>
      <c r="C67" s="19"/>
      <c r="D67" s="19"/>
      <c r="E67" s="97"/>
      <c r="F67" s="18"/>
      <c r="G67" s="87"/>
      <c r="H67" s="15" t="s">
        <v>155</v>
      </c>
      <c r="I67" s="98">
        <f>SUM(I57:I66)</f>
        <v>13191000</v>
      </c>
      <c r="J67" s="189">
        <f>SUM(J57:J66)</f>
        <v>44274000</v>
      </c>
    </row>
    <row r="68" spans="1:10" ht="31.05" customHeight="1">
      <c r="A68" s="168" t="s">
        <v>156</v>
      </c>
      <c r="B68" s="168"/>
      <c r="C68" s="168"/>
      <c r="D68" s="168"/>
      <c r="E68" s="168"/>
      <c r="F68" s="104"/>
      <c r="G68" s="89"/>
      <c r="H68" s="88"/>
      <c r="I68" s="90"/>
      <c r="J68" s="189"/>
    </row>
    <row r="69" spans="1:10" ht="45.3" customHeight="1">
      <c r="A69" s="9" t="s">
        <v>61</v>
      </c>
      <c r="B69" s="18"/>
      <c r="C69" s="19"/>
      <c r="D69" s="19"/>
      <c r="E69" s="105" t="s">
        <v>87</v>
      </c>
      <c r="F69" s="96" t="s">
        <v>90</v>
      </c>
      <c r="G69" s="45">
        <v>53</v>
      </c>
      <c r="H69" s="48">
        <f>+ROUND(189595.973409444,)</f>
        <v>189596</v>
      </c>
      <c r="I69" s="94">
        <v>165000</v>
      </c>
      <c r="J69" s="187">
        <f t="shared" ref="J69:J71" si="6">+I69*G69</f>
        <v>8745000</v>
      </c>
    </row>
    <row r="70" spans="1:10" ht="43.5" customHeight="1">
      <c r="A70" s="9" t="s">
        <v>57</v>
      </c>
      <c r="B70" s="18"/>
      <c r="C70" s="19"/>
      <c r="D70" s="19"/>
      <c r="E70" s="105" t="s">
        <v>88</v>
      </c>
      <c r="F70" s="96" t="s">
        <v>91</v>
      </c>
      <c r="G70" s="45">
        <v>150</v>
      </c>
      <c r="H70" s="48">
        <f>+ROUND(110658.004966667,)</f>
        <v>110658</v>
      </c>
      <c r="I70" s="94">
        <v>105000</v>
      </c>
      <c r="J70" s="187">
        <f t="shared" si="6"/>
        <v>15750000</v>
      </c>
    </row>
    <row r="71" spans="1:10" ht="33.75" customHeight="1">
      <c r="A71" s="9" t="s">
        <v>62</v>
      </c>
      <c r="B71" s="18"/>
      <c r="C71" s="19"/>
      <c r="D71" s="19"/>
      <c r="E71" s="105" t="s">
        <v>89</v>
      </c>
      <c r="F71" s="92" t="s">
        <v>14</v>
      </c>
      <c r="G71" s="102">
        <v>3.96</v>
      </c>
      <c r="H71" s="48">
        <f>+ROUND(424052.978491667,)</f>
        <v>424053</v>
      </c>
      <c r="I71" s="94">
        <v>420000</v>
      </c>
      <c r="J71" s="187">
        <f t="shared" si="6"/>
        <v>1663200</v>
      </c>
    </row>
    <row r="72" spans="1:10" ht="31.05" customHeight="1">
      <c r="A72" s="9"/>
      <c r="B72" s="9"/>
      <c r="C72" s="10"/>
      <c r="D72" s="10"/>
      <c r="E72" s="97"/>
      <c r="F72" s="9"/>
      <c r="G72" s="87"/>
      <c r="H72" s="15" t="s">
        <v>97</v>
      </c>
      <c r="I72" s="98">
        <f>SUM(I69:I71)</f>
        <v>690000</v>
      </c>
      <c r="J72" s="189">
        <f>SUM(J69:J71)</f>
        <v>26158200</v>
      </c>
    </row>
    <row r="73" spans="1:10" ht="33.75" customHeight="1">
      <c r="A73" s="168" t="s">
        <v>209</v>
      </c>
      <c r="B73" s="168"/>
      <c r="C73" s="168"/>
      <c r="D73" s="168"/>
      <c r="E73" s="168"/>
      <c r="F73" s="104"/>
      <c r="G73" s="89"/>
      <c r="H73" s="88"/>
      <c r="I73" s="90"/>
      <c r="J73" s="189"/>
    </row>
    <row r="74" spans="1:10" ht="54.75" customHeight="1">
      <c r="A74" s="9" t="s">
        <v>92</v>
      </c>
      <c r="B74" s="9"/>
      <c r="C74" s="10"/>
      <c r="D74" s="10"/>
      <c r="E74" s="92" t="s">
        <v>207</v>
      </c>
      <c r="F74" s="96" t="s">
        <v>14</v>
      </c>
      <c r="G74" s="102">
        <v>6</v>
      </c>
      <c r="H74" s="48">
        <f>+ROUND(226590.501346667,0)</f>
        <v>226591</v>
      </c>
      <c r="I74" s="94">
        <v>220000</v>
      </c>
      <c r="J74" s="187">
        <f>+I74*G74</f>
        <v>1320000</v>
      </c>
    </row>
    <row r="75" spans="1:10" ht="33.75" customHeight="1">
      <c r="A75" s="9"/>
      <c r="B75" s="9"/>
      <c r="C75" s="10"/>
      <c r="D75" s="10"/>
      <c r="E75" s="97"/>
      <c r="F75" s="9"/>
      <c r="G75" s="87"/>
      <c r="H75" s="15" t="s">
        <v>98</v>
      </c>
      <c r="I75" s="98">
        <f>SUM(I74:I74)</f>
        <v>220000</v>
      </c>
      <c r="J75" s="189">
        <f>SUM(J74)</f>
        <v>1320000</v>
      </c>
    </row>
    <row r="76" spans="1:10" ht="33.75" customHeight="1">
      <c r="A76" s="168" t="s">
        <v>210</v>
      </c>
      <c r="B76" s="168"/>
      <c r="C76" s="168"/>
      <c r="D76" s="168"/>
      <c r="E76" s="168"/>
      <c r="F76" s="104"/>
      <c r="G76" s="89"/>
      <c r="H76" s="88"/>
      <c r="I76" s="90"/>
      <c r="J76" s="189"/>
    </row>
    <row r="77" spans="1:10" ht="33.75" customHeight="1">
      <c r="A77" s="9" t="s">
        <v>93</v>
      </c>
      <c r="B77" s="9"/>
      <c r="C77" s="10"/>
      <c r="D77" s="10"/>
      <c r="E77" s="100" t="s">
        <v>96</v>
      </c>
      <c r="F77" s="96" t="s">
        <v>14</v>
      </c>
      <c r="G77" s="45">
        <v>2</v>
      </c>
      <c r="H77" s="48">
        <f>+ROUND(291386.6789375,)</f>
        <v>291387</v>
      </c>
      <c r="I77" s="94">
        <v>290000</v>
      </c>
      <c r="J77" s="187">
        <f t="shared" ref="J77:J78" si="7">+I77*G77</f>
        <v>580000</v>
      </c>
    </row>
    <row r="78" spans="1:10" ht="33.75" customHeight="1">
      <c r="A78" s="9" t="s">
        <v>94</v>
      </c>
      <c r="B78" s="9"/>
      <c r="C78" s="10"/>
      <c r="D78" s="10"/>
      <c r="E78" s="92" t="s">
        <v>95</v>
      </c>
      <c r="F78" s="96" t="s">
        <v>14</v>
      </c>
      <c r="G78" s="45">
        <v>2</v>
      </c>
      <c r="H78" s="48">
        <f>+ROUND(355431.234805,)</f>
        <v>355431</v>
      </c>
      <c r="I78" s="94">
        <v>350000</v>
      </c>
      <c r="J78" s="187">
        <f t="shared" si="7"/>
        <v>700000</v>
      </c>
    </row>
    <row r="79" spans="1:10" ht="33.75" customHeight="1">
      <c r="A79" s="9"/>
      <c r="B79" s="9"/>
      <c r="C79" s="10"/>
      <c r="D79" s="10"/>
      <c r="E79" s="97"/>
      <c r="F79" s="9"/>
      <c r="G79" s="87"/>
      <c r="H79" s="15" t="s">
        <v>108</v>
      </c>
      <c r="I79" s="98">
        <f>SUM(I77:I78)</f>
        <v>640000</v>
      </c>
      <c r="J79" s="189">
        <f>SUM(J77:J78)</f>
        <v>1280000</v>
      </c>
    </row>
    <row r="80" spans="1:10" ht="33.75" customHeight="1">
      <c r="A80" s="168" t="s">
        <v>211</v>
      </c>
      <c r="B80" s="168"/>
      <c r="C80" s="168"/>
      <c r="D80" s="168"/>
      <c r="E80" s="168"/>
      <c r="F80" s="104"/>
      <c r="G80" s="89"/>
      <c r="H80" s="88"/>
      <c r="I80" s="90"/>
      <c r="J80" s="189"/>
    </row>
    <row r="81" spans="1:10" ht="33.75" customHeight="1">
      <c r="A81" s="9" t="s">
        <v>106</v>
      </c>
      <c r="B81" s="9"/>
      <c r="C81" s="10"/>
      <c r="D81" s="10"/>
      <c r="E81" s="92" t="s">
        <v>99</v>
      </c>
      <c r="F81" s="92" t="s">
        <v>14</v>
      </c>
      <c r="G81" s="102">
        <v>3</v>
      </c>
      <c r="H81" s="93">
        <f>+ROUND(62317.6187158333,)</f>
        <v>62318</v>
      </c>
      <c r="I81" s="94">
        <v>60000</v>
      </c>
      <c r="J81" s="187">
        <f t="shared" ref="J81:J87" si="8">+I81*G81</f>
        <v>180000</v>
      </c>
    </row>
    <row r="82" spans="1:10" ht="33.75" customHeight="1">
      <c r="A82" s="9" t="s">
        <v>107</v>
      </c>
      <c r="B82" s="9"/>
      <c r="C82" s="10"/>
      <c r="D82" s="10"/>
      <c r="E82" s="92" t="s">
        <v>100</v>
      </c>
      <c r="F82" s="92" t="s">
        <v>15</v>
      </c>
      <c r="G82" s="102">
        <v>5</v>
      </c>
      <c r="H82" s="93">
        <f>+ROUND(15831.0343218333,)</f>
        <v>15831</v>
      </c>
      <c r="I82" s="94">
        <v>15000</v>
      </c>
      <c r="J82" s="187">
        <f t="shared" si="8"/>
        <v>75000</v>
      </c>
    </row>
    <row r="83" spans="1:10" ht="33.75" customHeight="1">
      <c r="A83" s="9" t="s">
        <v>212</v>
      </c>
      <c r="B83" s="9"/>
      <c r="C83" s="10"/>
      <c r="D83" s="10"/>
      <c r="E83" s="92" t="s">
        <v>101</v>
      </c>
      <c r="F83" s="92" t="s">
        <v>14</v>
      </c>
      <c r="G83" s="102">
        <v>3</v>
      </c>
      <c r="H83" s="93">
        <f>+ROUND(28416.0516591667,)</f>
        <v>28416</v>
      </c>
      <c r="I83" s="94">
        <v>28000</v>
      </c>
      <c r="J83" s="187">
        <f t="shared" si="8"/>
        <v>84000</v>
      </c>
    </row>
    <row r="84" spans="1:10" ht="33.75" customHeight="1">
      <c r="A84" s="9" t="s">
        <v>213</v>
      </c>
      <c r="B84" s="9"/>
      <c r="C84" s="10"/>
      <c r="D84" s="10"/>
      <c r="E84" s="92" t="s">
        <v>102</v>
      </c>
      <c r="F84" s="92" t="s">
        <v>14</v>
      </c>
      <c r="G84" s="102">
        <v>2</v>
      </c>
      <c r="H84" s="93">
        <f>+ROUND(83145.7032333333,)</f>
        <v>83146</v>
      </c>
      <c r="I84" s="94">
        <v>80000</v>
      </c>
      <c r="J84" s="187">
        <f t="shared" si="8"/>
        <v>160000</v>
      </c>
    </row>
    <row r="85" spans="1:10" ht="33.75" customHeight="1">
      <c r="A85" s="9" t="s">
        <v>214</v>
      </c>
      <c r="B85" s="9"/>
      <c r="C85" s="10"/>
      <c r="D85" s="10"/>
      <c r="E85" s="92" t="s">
        <v>103</v>
      </c>
      <c r="F85" s="92" t="s">
        <v>14</v>
      </c>
      <c r="G85" s="102">
        <v>2</v>
      </c>
      <c r="H85" s="93">
        <f>+ROUND(18780.7933183333,)</f>
        <v>18781</v>
      </c>
      <c r="I85" s="94">
        <v>18000</v>
      </c>
      <c r="J85" s="187">
        <f t="shared" si="8"/>
        <v>36000</v>
      </c>
    </row>
    <row r="86" spans="1:10" ht="33.75" customHeight="1">
      <c r="A86" s="9" t="s">
        <v>215</v>
      </c>
      <c r="B86" s="9"/>
      <c r="C86" s="10"/>
      <c r="D86" s="10"/>
      <c r="E86" s="92" t="s">
        <v>104</v>
      </c>
      <c r="F86" s="92" t="s">
        <v>14</v>
      </c>
      <c r="G86" s="102">
        <v>2</v>
      </c>
      <c r="H86" s="93">
        <f>+ROUND(57820.7307783333,)</f>
        <v>57821</v>
      </c>
      <c r="I86" s="94">
        <v>50000</v>
      </c>
      <c r="J86" s="187">
        <f t="shared" si="8"/>
        <v>100000</v>
      </c>
    </row>
    <row r="87" spans="1:10" ht="33.75" customHeight="1">
      <c r="A87" s="9" t="s">
        <v>216</v>
      </c>
      <c r="B87" s="9"/>
      <c r="C87" s="10"/>
      <c r="D87" s="10"/>
      <c r="E87" s="92" t="s">
        <v>105</v>
      </c>
      <c r="F87" s="92" t="s">
        <v>14</v>
      </c>
      <c r="G87" s="102">
        <v>3</v>
      </c>
      <c r="H87" s="93">
        <f>+ROUND(82128.4533083333,)</f>
        <v>82128</v>
      </c>
      <c r="I87" s="94">
        <v>75000</v>
      </c>
      <c r="J87" s="187">
        <f t="shared" si="8"/>
        <v>225000</v>
      </c>
    </row>
    <row r="88" spans="1:10" ht="33.75" customHeight="1">
      <c r="A88" s="125"/>
      <c r="B88" s="125"/>
      <c r="C88" s="125"/>
      <c r="D88" s="125"/>
      <c r="E88" s="125"/>
      <c r="F88" s="125"/>
      <c r="G88" s="125"/>
      <c r="H88" s="15" t="s">
        <v>109</v>
      </c>
      <c r="I88" s="98">
        <f>SUM(I81:I87)</f>
        <v>326000</v>
      </c>
      <c r="J88" s="189">
        <f>SUM(J81:J87)</f>
        <v>860000</v>
      </c>
    </row>
    <row r="89" spans="1:10" ht="33.75" customHeight="1">
      <c r="A89" s="168" t="s">
        <v>217</v>
      </c>
      <c r="B89" s="168"/>
      <c r="C89" s="168"/>
      <c r="D89" s="168"/>
      <c r="E89" s="168"/>
      <c r="F89" s="104"/>
      <c r="G89" s="89"/>
      <c r="H89" s="88"/>
      <c r="I89" s="90"/>
      <c r="J89" s="189"/>
    </row>
    <row r="90" spans="1:10" ht="33.75" customHeight="1">
      <c r="A90" s="9" t="s">
        <v>110</v>
      </c>
      <c r="B90" s="9"/>
      <c r="C90" s="10"/>
      <c r="D90" s="10"/>
      <c r="E90" s="100" t="s">
        <v>112</v>
      </c>
      <c r="F90" s="92" t="s">
        <v>68</v>
      </c>
      <c r="G90" s="45">
        <v>12</v>
      </c>
      <c r="H90" s="93">
        <f>+ROUND(78678.719555,)</f>
        <v>78679</v>
      </c>
      <c r="I90" s="94">
        <v>78000</v>
      </c>
      <c r="J90" s="187">
        <f t="shared" ref="J90:J91" si="9">+I90*G90</f>
        <v>936000</v>
      </c>
    </row>
    <row r="91" spans="1:10" ht="33.75" customHeight="1">
      <c r="A91" s="9" t="s">
        <v>111</v>
      </c>
      <c r="B91" s="9"/>
      <c r="C91" s="10"/>
      <c r="D91" s="10"/>
      <c r="E91" s="100" t="s">
        <v>113</v>
      </c>
      <c r="F91" s="92" t="s">
        <v>15</v>
      </c>
      <c r="G91" s="45">
        <v>8</v>
      </c>
      <c r="H91" s="93">
        <f>+ROUND(23127.2276640333,)</f>
        <v>23127</v>
      </c>
      <c r="I91" s="94">
        <v>23000</v>
      </c>
      <c r="J91" s="187">
        <f t="shared" si="9"/>
        <v>184000</v>
      </c>
    </row>
    <row r="92" spans="1:10" ht="33.75" customHeight="1">
      <c r="A92" s="9"/>
      <c r="B92" s="9"/>
      <c r="C92" s="10"/>
      <c r="D92" s="10"/>
      <c r="E92" s="97"/>
      <c r="F92" s="9"/>
      <c r="G92" s="87"/>
      <c r="H92" s="15" t="s">
        <v>129</v>
      </c>
      <c r="I92" s="98">
        <f>SUM(I90:I91)</f>
        <v>101000</v>
      </c>
      <c r="J92" s="189">
        <f>SUM(J90:J91)</f>
        <v>1120000</v>
      </c>
    </row>
    <row r="93" spans="1:10" ht="33.75" customHeight="1">
      <c r="A93" s="168" t="s">
        <v>218</v>
      </c>
      <c r="B93" s="168"/>
      <c r="C93" s="168"/>
      <c r="D93" s="168"/>
      <c r="E93" s="168"/>
      <c r="F93" s="104"/>
      <c r="G93" s="89"/>
      <c r="H93" s="88"/>
      <c r="I93" s="90"/>
      <c r="J93" s="189"/>
    </row>
    <row r="94" spans="1:10" ht="33.75" customHeight="1">
      <c r="A94" s="9" t="s">
        <v>115</v>
      </c>
      <c r="B94" s="9"/>
      <c r="C94" s="10"/>
      <c r="D94" s="10"/>
      <c r="E94" s="92" t="s">
        <v>114</v>
      </c>
      <c r="F94" s="92" t="s">
        <v>68</v>
      </c>
      <c r="G94" s="102">
        <v>36.18118758860161</v>
      </c>
      <c r="H94" s="93">
        <f>+ROUND(31968.5050433333,)</f>
        <v>31969</v>
      </c>
      <c r="I94" s="94">
        <v>30000</v>
      </c>
      <c r="J94" s="187">
        <f>+I94*G94</f>
        <v>1085435.6276580482</v>
      </c>
    </row>
    <row r="95" spans="1:10" ht="33.75" customHeight="1">
      <c r="A95" s="9"/>
      <c r="B95" s="9"/>
      <c r="C95" s="10"/>
      <c r="D95" s="10"/>
      <c r="E95" s="97"/>
      <c r="F95" s="9"/>
      <c r="G95" s="87"/>
      <c r="H95" s="15" t="s">
        <v>130</v>
      </c>
      <c r="I95" s="98">
        <f>SUM(I94:I94)</f>
        <v>30000</v>
      </c>
      <c r="J95" s="189">
        <f>SUM(J94)</f>
        <v>1085435.6276580482</v>
      </c>
    </row>
    <row r="96" spans="1:10" ht="33.75" customHeight="1">
      <c r="A96" s="168" t="s">
        <v>219</v>
      </c>
      <c r="B96" s="168"/>
      <c r="C96" s="168"/>
      <c r="D96" s="168"/>
      <c r="E96" s="168"/>
      <c r="F96" s="104"/>
      <c r="G96" s="89"/>
      <c r="H96" s="88"/>
      <c r="I96" s="90"/>
      <c r="J96" s="189"/>
    </row>
    <row r="97" spans="1:10" ht="33.75" customHeight="1">
      <c r="A97" s="9" t="s">
        <v>121</v>
      </c>
      <c r="B97" s="9"/>
      <c r="C97" s="10"/>
      <c r="D97" s="10"/>
      <c r="E97" s="100" t="s">
        <v>246</v>
      </c>
      <c r="F97" s="92" t="s">
        <v>68</v>
      </c>
      <c r="G97" s="102">
        <v>23.42</v>
      </c>
      <c r="H97" s="106">
        <f>+ROUND(20014.5185333333,)</f>
        <v>20015</v>
      </c>
      <c r="I97" s="94">
        <v>19000</v>
      </c>
      <c r="J97" s="187">
        <f t="shared" ref="J97:J105" si="10">+I97*G97</f>
        <v>444980.00000000006</v>
      </c>
    </row>
    <row r="98" spans="1:10" ht="33.75" customHeight="1">
      <c r="A98" s="9" t="s">
        <v>122</v>
      </c>
      <c r="B98" s="9"/>
      <c r="C98" s="10"/>
      <c r="D98" s="10"/>
      <c r="E98" s="92" t="s">
        <v>191</v>
      </c>
      <c r="F98" s="92" t="s">
        <v>68</v>
      </c>
      <c r="G98" s="102">
        <v>151.16</v>
      </c>
      <c r="H98" s="106">
        <f>+ROUND(19841.1550166667,)</f>
        <v>19841</v>
      </c>
      <c r="I98" s="94">
        <v>16000</v>
      </c>
      <c r="J98" s="187">
        <f t="shared" si="10"/>
        <v>2418560</v>
      </c>
    </row>
    <row r="99" spans="1:10" ht="33.75" customHeight="1">
      <c r="A99" s="9" t="s">
        <v>220</v>
      </c>
      <c r="B99" s="9"/>
      <c r="C99" s="10"/>
      <c r="D99" s="10"/>
      <c r="E99" s="92" t="s">
        <v>192</v>
      </c>
      <c r="F99" s="92" t="s">
        <v>68</v>
      </c>
      <c r="G99" s="102">
        <v>81.03</v>
      </c>
      <c r="H99" s="106">
        <f>+ROUND(21644.8948333333,)</f>
        <v>21645</v>
      </c>
      <c r="I99" s="94">
        <v>16000</v>
      </c>
      <c r="J99" s="187">
        <f t="shared" si="10"/>
        <v>1296480</v>
      </c>
    </row>
    <row r="100" spans="1:10" ht="33.75" customHeight="1">
      <c r="A100" s="9" t="s">
        <v>221</v>
      </c>
      <c r="B100" s="9"/>
      <c r="C100" s="10"/>
      <c r="D100" s="10"/>
      <c r="E100" s="92" t="s">
        <v>116</v>
      </c>
      <c r="F100" s="92" t="s">
        <v>68</v>
      </c>
      <c r="G100" s="102">
        <v>23.92</v>
      </c>
      <c r="H100" s="106">
        <f>+ROUND(29162.6577,)</f>
        <v>29163</v>
      </c>
      <c r="I100" s="94">
        <v>25000</v>
      </c>
      <c r="J100" s="187">
        <f t="shared" si="10"/>
        <v>598000</v>
      </c>
    </row>
    <row r="101" spans="1:10" ht="33.75" customHeight="1">
      <c r="A101" s="9" t="s">
        <v>222</v>
      </c>
      <c r="B101" s="9"/>
      <c r="C101" s="10"/>
      <c r="D101" s="10"/>
      <c r="E101" s="92" t="s">
        <v>117</v>
      </c>
      <c r="F101" s="92" t="s">
        <v>68</v>
      </c>
      <c r="G101" s="102">
        <v>23.92</v>
      </c>
      <c r="H101" s="106">
        <f>+ROUND(27834.3288166667,)</f>
        <v>27834</v>
      </c>
      <c r="I101" s="94">
        <v>25000</v>
      </c>
      <c r="J101" s="187">
        <f t="shared" si="10"/>
        <v>598000</v>
      </c>
    </row>
    <row r="102" spans="1:10" ht="33.75" customHeight="1">
      <c r="A102" s="9" t="s">
        <v>223</v>
      </c>
      <c r="B102" s="9"/>
      <c r="C102" s="10"/>
      <c r="D102" s="10"/>
      <c r="E102" s="100" t="s">
        <v>118</v>
      </c>
      <c r="F102" s="92" t="s">
        <v>68</v>
      </c>
      <c r="G102" s="102">
        <v>362.18</v>
      </c>
      <c r="H102" s="106">
        <f>+ROUND(42458.72263,)</f>
        <v>42459</v>
      </c>
      <c r="I102" s="94">
        <v>35000</v>
      </c>
      <c r="J102" s="187">
        <f t="shared" si="10"/>
        <v>12676300</v>
      </c>
    </row>
    <row r="103" spans="1:10" ht="33.75" customHeight="1">
      <c r="A103" s="9" t="s">
        <v>224</v>
      </c>
      <c r="B103" s="9"/>
      <c r="C103" s="10"/>
      <c r="D103" s="10"/>
      <c r="E103" s="100" t="s">
        <v>119</v>
      </c>
      <c r="F103" s="92" t="s">
        <v>68</v>
      </c>
      <c r="G103" s="102">
        <v>420</v>
      </c>
      <c r="H103" s="106">
        <f>+ROUND(35355.2145333333,)</f>
        <v>35355</v>
      </c>
      <c r="I103" s="94">
        <v>30000</v>
      </c>
      <c r="J103" s="187">
        <f t="shared" si="10"/>
        <v>12600000</v>
      </c>
    </row>
    <row r="104" spans="1:10" ht="33.75" customHeight="1">
      <c r="A104" s="9" t="s">
        <v>225</v>
      </c>
      <c r="B104" s="9"/>
      <c r="C104" s="10"/>
      <c r="D104" s="10"/>
      <c r="E104" s="92" t="s">
        <v>193</v>
      </c>
      <c r="F104" s="92" t="s">
        <v>15</v>
      </c>
      <c r="G104" s="102">
        <v>332.78</v>
      </c>
      <c r="H104" s="106">
        <f>+ROUND(5855.81208333333,)</f>
        <v>5856</v>
      </c>
      <c r="I104" s="94">
        <v>55000</v>
      </c>
      <c r="J104" s="187">
        <f t="shared" si="10"/>
        <v>18302900</v>
      </c>
    </row>
    <row r="105" spans="1:10" ht="33.75" customHeight="1">
      <c r="A105" s="9" t="s">
        <v>226</v>
      </c>
      <c r="B105" s="22"/>
      <c r="C105" s="22"/>
      <c r="D105" s="22"/>
      <c r="E105" s="100" t="s">
        <v>120</v>
      </c>
      <c r="F105" s="92" t="s">
        <v>68</v>
      </c>
      <c r="G105" s="102">
        <v>20</v>
      </c>
      <c r="H105" s="106">
        <f>+ROUND(21593.9395033332,)</f>
        <v>21594</v>
      </c>
      <c r="I105" s="94">
        <v>19000</v>
      </c>
      <c r="J105" s="187">
        <f t="shared" si="10"/>
        <v>380000</v>
      </c>
    </row>
    <row r="106" spans="1:10" ht="33.75" customHeight="1">
      <c r="A106" s="125"/>
      <c r="B106" s="125"/>
      <c r="C106" s="125"/>
      <c r="D106" s="125"/>
      <c r="E106" s="125"/>
      <c r="F106" s="125"/>
      <c r="G106" s="125"/>
      <c r="H106" s="15" t="s">
        <v>131</v>
      </c>
      <c r="I106" s="98">
        <f>SUM(I97:I105)</f>
        <v>240000</v>
      </c>
      <c r="J106" s="189">
        <f>SUM(J97:J105)</f>
        <v>49315220</v>
      </c>
    </row>
    <row r="107" spans="1:10" ht="33.75" customHeight="1">
      <c r="A107" s="168" t="s">
        <v>227</v>
      </c>
      <c r="B107" s="168"/>
      <c r="C107" s="168"/>
      <c r="D107" s="168"/>
      <c r="E107" s="168"/>
      <c r="F107" s="104"/>
      <c r="G107" s="89"/>
      <c r="H107" s="88"/>
      <c r="I107" s="90"/>
      <c r="J107" s="189"/>
    </row>
    <row r="108" spans="1:10" ht="33.75" customHeight="1">
      <c r="A108" s="9" t="s">
        <v>124</v>
      </c>
      <c r="B108" s="9"/>
      <c r="C108" s="10"/>
      <c r="D108" s="10"/>
      <c r="E108" s="66" t="s">
        <v>175</v>
      </c>
      <c r="F108" s="92" t="s">
        <v>68</v>
      </c>
      <c r="G108" s="102">
        <v>61.42</v>
      </c>
      <c r="H108" s="93">
        <f>+ROUND(48287.4966706667,)</f>
        <v>48287</v>
      </c>
      <c r="I108" s="94">
        <v>42000</v>
      </c>
      <c r="J108" s="187">
        <f>+I108*G108</f>
        <v>2579640</v>
      </c>
    </row>
    <row r="109" spans="1:10" ht="33.75" customHeight="1">
      <c r="A109" s="9"/>
      <c r="B109" s="9"/>
      <c r="C109" s="10"/>
      <c r="D109" s="10"/>
      <c r="E109" s="97"/>
      <c r="F109" s="9"/>
      <c r="G109" s="87"/>
      <c r="H109" s="15" t="s">
        <v>132</v>
      </c>
      <c r="I109" s="98">
        <f>SUM(I108:I108)</f>
        <v>42000</v>
      </c>
      <c r="J109" s="189">
        <f>SUM(J108)</f>
        <v>2579640</v>
      </c>
    </row>
    <row r="110" spans="1:10" ht="33.75" customHeight="1">
      <c r="A110" s="168" t="s">
        <v>228</v>
      </c>
      <c r="B110" s="168"/>
      <c r="C110" s="168"/>
      <c r="D110" s="168"/>
      <c r="E110" s="168"/>
      <c r="F110" s="104"/>
      <c r="G110" s="89"/>
      <c r="H110" s="88"/>
      <c r="I110" s="90"/>
      <c r="J110" s="189"/>
    </row>
    <row r="111" spans="1:10" ht="33.75" customHeight="1">
      <c r="A111" s="9" t="s">
        <v>229</v>
      </c>
      <c r="B111" s="9"/>
      <c r="C111" s="10"/>
      <c r="D111" s="10"/>
      <c r="E111" s="67" t="s">
        <v>176</v>
      </c>
      <c r="F111" s="50" t="s">
        <v>68</v>
      </c>
      <c r="G111" s="38">
        <v>60</v>
      </c>
      <c r="H111" s="93">
        <f>+ROUND(89772.6011507333,)</f>
        <v>89773</v>
      </c>
      <c r="I111" s="94">
        <v>85000</v>
      </c>
      <c r="J111" s="187">
        <f t="shared" ref="J111:J113" si="11">+I111*G111</f>
        <v>5100000</v>
      </c>
    </row>
    <row r="112" spans="1:10" ht="42" customHeight="1">
      <c r="A112" s="9" t="s">
        <v>230</v>
      </c>
      <c r="B112" s="9"/>
      <c r="C112" s="10"/>
      <c r="D112" s="10"/>
      <c r="E112" s="67" t="s">
        <v>204</v>
      </c>
      <c r="F112" s="50" t="s">
        <v>15</v>
      </c>
      <c r="G112" s="38">
        <v>15</v>
      </c>
      <c r="H112" s="93">
        <f>+ROUND(63408.2696026667,)</f>
        <v>63408</v>
      </c>
      <c r="I112" s="94">
        <v>60000</v>
      </c>
      <c r="J112" s="187">
        <f t="shared" si="11"/>
        <v>900000</v>
      </c>
    </row>
    <row r="113" spans="1:128" ht="43.5" customHeight="1">
      <c r="A113" s="9" t="s">
        <v>231</v>
      </c>
      <c r="B113" s="9"/>
      <c r="C113" s="10"/>
      <c r="D113" s="10"/>
      <c r="E113" s="66" t="s">
        <v>177</v>
      </c>
      <c r="F113" s="50" t="s">
        <v>15</v>
      </c>
      <c r="G113" s="38">
        <v>14</v>
      </c>
      <c r="H113" s="93">
        <f>+ROUND(18824.3063236667,)</f>
        <v>18824</v>
      </c>
      <c r="I113" s="94">
        <v>13000</v>
      </c>
      <c r="J113" s="187">
        <f t="shared" si="11"/>
        <v>182000</v>
      </c>
    </row>
    <row r="114" spans="1:128" ht="33.75" customHeight="1">
      <c r="A114" s="9"/>
      <c r="B114" s="9"/>
      <c r="C114" s="10"/>
      <c r="D114" s="10"/>
      <c r="E114" s="97"/>
      <c r="F114" s="9"/>
      <c r="G114" s="87"/>
      <c r="H114" s="15" t="s">
        <v>159</v>
      </c>
      <c r="I114" s="98">
        <f>SUM(I111:I113)</f>
        <v>158000</v>
      </c>
      <c r="J114" s="189">
        <f>SUM(J111:J113)</f>
        <v>6182000</v>
      </c>
    </row>
    <row r="115" spans="1:128" ht="33.75" customHeight="1">
      <c r="A115" s="168" t="s">
        <v>232</v>
      </c>
      <c r="B115" s="168"/>
      <c r="C115" s="168"/>
      <c r="D115" s="168"/>
      <c r="E115" s="168"/>
      <c r="F115" s="104"/>
      <c r="G115" s="89"/>
      <c r="H115" s="88"/>
      <c r="I115" s="90"/>
      <c r="J115" s="189"/>
    </row>
    <row r="116" spans="1:128" ht="33.75" customHeight="1">
      <c r="A116" s="9" t="s">
        <v>133</v>
      </c>
      <c r="B116" s="9"/>
      <c r="C116" s="10"/>
      <c r="D116" s="10"/>
      <c r="E116" s="100" t="s">
        <v>123</v>
      </c>
      <c r="F116" s="92" t="s">
        <v>68</v>
      </c>
      <c r="G116" s="102">
        <v>20</v>
      </c>
      <c r="H116" s="93">
        <f>+ROUND(80640.7022341667,)</f>
        <v>80641</v>
      </c>
      <c r="I116" s="94">
        <v>80000</v>
      </c>
      <c r="J116" s="187">
        <f>+I116*G116</f>
        <v>1600000</v>
      </c>
    </row>
    <row r="117" spans="1:128" ht="33.75" customHeight="1">
      <c r="A117" s="9"/>
      <c r="B117" s="9"/>
      <c r="C117" s="10"/>
      <c r="D117" s="10"/>
      <c r="E117" s="97"/>
      <c r="F117" s="9"/>
      <c r="G117" s="87"/>
      <c r="H117" s="15" t="s">
        <v>160</v>
      </c>
      <c r="I117" s="98">
        <f>SUM(I116:I116)</f>
        <v>80000</v>
      </c>
      <c r="J117" s="189">
        <f>SUM(J116)</f>
        <v>1600000</v>
      </c>
    </row>
    <row r="118" spans="1:128" s="24" customFormat="1" ht="33.75" customHeight="1">
      <c r="A118" s="168" t="s">
        <v>233</v>
      </c>
      <c r="B118" s="168"/>
      <c r="C118" s="168"/>
      <c r="D118" s="168"/>
      <c r="E118" s="168"/>
      <c r="F118" s="104"/>
      <c r="G118" s="89"/>
      <c r="H118" s="88"/>
      <c r="I118" s="90"/>
      <c r="J118" s="189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25"/>
    </row>
    <row r="119" spans="1:128" s="24" customFormat="1" ht="33.75" customHeight="1">
      <c r="A119" s="9" t="s">
        <v>134</v>
      </c>
      <c r="B119" s="9"/>
      <c r="C119" s="10"/>
      <c r="D119" s="10"/>
      <c r="E119" s="100" t="s">
        <v>125</v>
      </c>
      <c r="F119" s="92" t="s">
        <v>68</v>
      </c>
      <c r="G119" s="38">
        <v>438</v>
      </c>
      <c r="H119" s="106">
        <f>+ROUND(221356.227288333,)</f>
        <v>221356</v>
      </c>
      <c r="I119" s="94">
        <v>220000</v>
      </c>
      <c r="J119" s="187">
        <f t="shared" ref="J119:J123" si="12">+I119*G119</f>
        <v>96360000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25"/>
    </row>
    <row r="120" spans="1:128" s="24" customFormat="1" ht="33.75" customHeight="1">
      <c r="A120" s="9" t="s">
        <v>157</v>
      </c>
      <c r="B120" s="9"/>
      <c r="C120" s="10"/>
      <c r="D120" s="10"/>
      <c r="E120" s="100" t="s">
        <v>126</v>
      </c>
      <c r="F120" s="92" t="s">
        <v>15</v>
      </c>
      <c r="G120" s="38">
        <v>45</v>
      </c>
      <c r="H120" s="106">
        <f>+ROUND(80078.973055,)</f>
        <v>80079</v>
      </c>
      <c r="I120" s="94">
        <v>78000</v>
      </c>
      <c r="J120" s="187">
        <f t="shared" si="12"/>
        <v>3510000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25"/>
    </row>
    <row r="121" spans="1:128" s="24" customFormat="1" ht="33.75" customHeight="1">
      <c r="A121" s="9" t="s">
        <v>158</v>
      </c>
      <c r="B121" s="9"/>
      <c r="C121" s="10"/>
      <c r="D121" s="10"/>
      <c r="E121" s="100" t="s">
        <v>127</v>
      </c>
      <c r="F121" s="92" t="s">
        <v>15</v>
      </c>
      <c r="G121" s="38">
        <v>20</v>
      </c>
      <c r="H121" s="106">
        <f>+ROUND(49729.213081,)</f>
        <v>49729</v>
      </c>
      <c r="I121" s="94">
        <v>47000</v>
      </c>
      <c r="J121" s="187">
        <f t="shared" si="12"/>
        <v>940000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25"/>
    </row>
    <row r="122" spans="1:128" s="24" customFormat="1" ht="33.75" customHeight="1">
      <c r="A122" s="9" t="s">
        <v>234</v>
      </c>
      <c r="B122" s="9"/>
      <c r="C122" s="10"/>
      <c r="D122" s="10"/>
      <c r="E122" s="100" t="s">
        <v>194</v>
      </c>
      <c r="F122" s="92" t="s">
        <v>15</v>
      </c>
      <c r="G122" s="38">
        <v>25</v>
      </c>
      <c r="H122" s="106">
        <f>+ROUND(93569.877248,)</f>
        <v>93570</v>
      </c>
      <c r="I122" s="94">
        <v>90000</v>
      </c>
      <c r="J122" s="187">
        <f t="shared" si="12"/>
        <v>2250000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25"/>
    </row>
    <row r="123" spans="1:128" s="24" customFormat="1" ht="42" customHeight="1">
      <c r="A123" s="9" t="s">
        <v>235</v>
      </c>
      <c r="B123" s="9"/>
      <c r="C123" s="10"/>
      <c r="D123" s="10"/>
      <c r="E123" s="100" t="s">
        <v>128</v>
      </c>
      <c r="F123" s="96" t="s">
        <v>68</v>
      </c>
      <c r="G123" s="38">
        <v>90</v>
      </c>
      <c r="H123" s="106">
        <f>+ROUND(181741.870506667,)</f>
        <v>181742</v>
      </c>
      <c r="I123" s="94">
        <v>179000</v>
      </c>
      <c r="J123" s="187">
        <f t="shared" si="12"/>
        <v>16110000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25"/>
    </row>
    <row r="124" spans="1:128" s="24" customFormat="1" ht="33.75" customHeight="1">
      <c r="A124" s="125"/>
      <c r="B124" s="125"/>
      <c r="C124" s="125"/>
      <c r="D124" s="125"/>
      <c r="E124" s="125"/>
      <c r="F124" s="125"/>
      <c r="G124" s="125"/>
      <c r="H124" s="15" t="s">
        <v>132</v>
      </c>
      <c r="I124" s="98">
        <f>SUM(I119:I123)</f>
        <v>614000</v>
      </c>
      <c r="J124" s="189">
        <f>SUM(J119:J123)</f>
        <v>119170000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25"/>
    </row>
    <row r="125" spans="1:128" s="24" customFormat="1" ht="33.75" customHeight="1">
      <c r="A125" s="168" t="s">
        <v>236</v>
      </c>
      <c r="B125" s="168"/>
      <c r="C125" s="168"/>
      <c r="D125" s="168"/>
      <c r="E125" s="168"/>
      <c r="F125" s="104"/>
      <c r="G125" s="89"/>
      <c r="H125" s="88"/>
      <c r="I125" s="90"/>
      <c r="J125" s="189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25"/>
    </row>
    <row r="126" spans="1:128" s="24" customFormat="1" ht="33.75" customHeight="1">
      <c r="A126" s="9" t="s">
        <v>136</v>
      </c>
      <c r="B126" s="9"/>
      <c r="C126" s="10"/>
      <c r="D126" s="10"/>
      <c r="E126" s="66" t="s">
        <v>195</v>
      </c>
      <c r="F126" s="92" t="s">
        <v>14</v>
      </c>
      <c r="G126" s="102">
        <v>15</v>
      </c>
      <c r="H126" s="106">
        <f>+ROUND(111057.847427167,)</f>
        <v>111058</v>
      </c>
      <c r="I126" s="94">
        <v>105000</v>
      </c>
      <c r="J126" s="187">
        <f t="shared" ref="J126:J129" si="13">+I126*G126</f>
        <v>1575000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25"/>
    </row>
    <row r="127" spans="1:128" s="24" customFormat="1" ht="33.75" customHeight="1">
      <c r="A127" s="9" t="s">
        <v>237</v>
      </c>
      <c r="B127" s="9"/>
      <c r="C127" s="10"/>
      <c r="D127" s="10"/>
      <c r="E127" s="66" t="s">
        <v>172</v>
      </c>
      <c r="F127" s="92" t="s">
        <v>14</v>
      </c>
      <c r="G127" s="102">
        <v>60</v>
      </c>
      <c r="H127" s="106">
        <f>+ROUND(223892.837055,)</f>
        <v>223893</v>
      </c>
      <c r="I127" s="94">
        <v>210000</v>
      </c>
      <c r="J127" s="187">
        <f t="shared" si="13"/>
        <v>12600000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25"/>
    </row>
    <row r="128" spans="1:128" s="24" customFormat="1" ht="33.75" customHeight="1">
      <c r="A128" s="9" t="s">
        <v>238</v>
      </c>
      <c r="B128" s="9"/>
      <c r="C128" s="10"/>
      <c r="D128" s="10"/>
      <c r="E128" s="66" t="s">
        <v>173</v>
      </c>
      <c r="F128" s="92" t="s">
        <v>14</v>
      </c>
      <c r="G128" s="102">
        <v>2</v>
      </c>
      <c r="H128" s="106">
        <f>+ROUND(79699.9265641667,)</f>
        <v>79700</v>
      </c>
      <c r="I128" s="94">
        <v>79000</v>
      </c>
      <c r="J128" s="187">
        <f t="shared" si="13"/>
        <v>158000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25"/>
    </row>
    <row r="129" spans="1:10" ht="33.75" customHeight="1">
      <c r="A129" s="9" t="s">
        <v>239</v>
      </c>
      <c r="B129" s="9"/>
      <c r="C129" s="10"/>
      <c r="D129" s="10"/>
      <c r="E129" s="66" t="s">
        <v>174</v>
      </c>
      <c r="F129" s="92" t="s">
        <v>14</v>
      </c>
      <c r="G129" s="102">
        <v>15</v>
      </c>
      <c r="H129" s="106">
        <f>+ROUND(138043.916018333,)</f>
        <v>138044</v>
      </c>
      <c r="I129" s="94">
        <v>115000</v>
      </c>
      <c r="J129" s="187">
        <f t="shared" si="13"/>
        <v>1725000</v>
      </c>
    </row>
    <row r="130" spans="1:10" ht="33.75" customHeight="1">
      <c r="A130" s="125"/>
      <c r="B130" s="125"/>
      <c r="C130" s="125"/>
      <c r="D130" s="125"/>
      <c r="E130" s="125"/>
      <c r="F130" s="125"/>
      <c r="G130" s="125"/>
      <c r="H130" s="15" t="s">
        <v>159</v>
      </c>
      <c r="I130" s="98">
        <f>SUM(I126:I129)</f>
        <v>509000</v>
      </c>
      <c r="J130" s="189">
        <f>SUM(J126:J129)</f>
        <v>16058000</v>
      </c>
    </row>
    <row r="131" spans="1:10" ht="33.75" customHeight="1">
      <c r="A131" s="168" t="s">
        <v>240</v>
      </c>
      <c r="B131" s="168"/>
      <c r="C131" s="168"/>
      <c r="D131" s="168"/>
      <c r="E131" s="168"/>
      <c r="F131" s="104"/>
      <c r="G131" s="89"/>
      <c r="H131" s="88"/>
      <c r="I131" s="90"/>
      <c r="J131" s="189"/>
    </row>
    <row r="132" spans="1:10" ht="33.75" customHeight="1">
      <c r="A132" s="9" t="s">
        <v>139</v>
      </c>
      <c r="B132" s="9"/>
      <c r="C132" s="10"/>
      <c r="D132" s="10"/>
      <c r="E132" s="100" t="s">
        <v>135</v>
      </c>
      <c r="F132" s="92" t="s">
        <v>14</v>
      </c>
      <c r="G132" s="102">
        <v>6</v>
      </c>
      <c r="H132" s="93">
        <f>+ROUND(64717.4583058333,)</f>
        <v>64717</v>
      </c>
      <c r="I132" s="94">
        <v>60000</v>
      </c>
      <c r="J132" s="187">
        <f>+I132*G132</f>
        <v>360000</v>
      </c>
    </row>
    <row r="133" spans="1:10" ht="33.75" customHeight="1">
      <c r="A133" s="9"/>
      <c r="B133" s="9"/>
      <c r="C133" s="10"/>
      <c r="D133" s="10"/>
      <c r="E133" s="97"/>
      <c r="F133" s="9"/>
      <c r="G133" s="87"/>
      <c r="H133" s="15" t="s">
        <v>160</v>
      </c>
      <c r="I133" s="98">
        <f>SUM(I132:I132)</f>
        <v>60000</v>
      </c>
      <c r="J133" s="189">
        <f>SUM(J132)</f>
        <v>360000</v>
      </c>
    </row>
    <row r="134" spans="1:10" ht="33.75" customHeight="1">
      <c r="A134" s="168" t="s">
        <v>241</v>
      </c>
      <c r="B134" s="168"/>
      <c r="C134" s="168"/>
      <c r="D134" s="168"/>
      <c r="E134" s="168"/>
      <c r="F134" s="104"/>
      <c r="G134" s="89"/>
      <c r="H134" s="88"/>
      <c r="I134" s="90"/>
      <c r="J134" s="189"/>
    </row>
    <row r="135" spans="1:10" ht="33.75" customHeight="1">
      <c r="A135" s="9" t="s">
        <v>142</v>
      </c>
      <c r="B135" s="9"/>
      <c r="C135" s="10"/>
      <c r="D135" s="10"/>
      <c r="E135" s="92" t="s">
        <v>137</v>
      </c>
      <c r="F135" s="92" t="s">
        <v>14</v>
      </c>
      <c r="G135" s="102">
        <v>2</v>
      </c>
      <c r="H135" s="93">
        <f>+ROUND(203811.675079167,)</f>
        <v>203812</v>
      </c>
      <c r="I135" s="94">
        <v>200000</v>
      </c>
      <c r="J135" s="187">
        <f t="shared" ref="J135:J136" si="14">+I135*G135</f>
        <v>400000</v>
      </c>
    </row>
    <row r="136" spans="1:10" ht="33.75" customHeight="1">
      <c r="A136" s="9" t="s">
        <v>162</v>
      </c>
      <c r="B136" s="9"/>
      <c r="C136" s="10"/>
      <c r="D136" s="10"/>
      <c r="E136" s="107" t="s">
        <v>138</v>
      </c>
      <c r="F136" s="92" t="s">
        <v>68</v>
      </c>
      <c r="G136" s="102">
        <v>35</v>
      </c>
      <c r="H136" s="93">
        <f>+ROUND(55652.6616383333,)</f>
        <v>55653</v>
      </c>
      <c r="I136" s="94">
        <v>55000</v>
      </c>
      <c r="J136" s="187">
        <f t="shared" si="14"/>
        <v>1925000</v>
      </c>
    </row>
    <row r="137" spans="1:10" ht="33.75" customHeight="1">
      <c r="A137" s="9"/>
      <c r="B137" s="9"/>
      <c r="C137" s="10"/>
      <c r="D137" s="10"/>
      <c r="E137" s="97"/>
      <c r="F137" s="9"/>
      <c r="G137" s="87"/>
      <c r="H137" s="15" t="s">
        <v>161</v>
      </c>
      <c r="I137" s="98">
        <f>SUM(I135:I136)</f>
        <v>255000</v>
      </c>
      <c r="J137" s="189">
        <f>SUM(J135:J136)</f>
        <v>2325000</v>
      </c>
    </row>
    <row r="138" spans="1:10" ht="33.75" customHeight="1">
      <c r="A138" s="168" t="s">
        <v>242</v>
      </c>
      <c r="B138" s="168"/>
      <c r="C138" s="168"/>
      <c r="D138" s="168"/>
      <c r="E138" s="168"/>
      <c r="F138" s="104"/>
      <c r="G138" s="89"/>
      <c r="H138" s="88"/>
      <c r="I138" s="90"/>
      <c r="J138" s="189"/>
    </row>
    <row r="139" spans="1:10" ht="73.5" customHeight="1">
      <c r="A139" s="9" t="s">
        <v>164</v>
      </c>
      <c r="B139" s="9"/>
      <c r="C139" s="10"/>
      <c r="D139" s="10"/>
      <c r="E139" s="92" t="s">
        <v>140</v>
      </c>
      <c r="F139" s="96" t="s">
        <v>68</v>
      </c>
      <c r="G139" s="45">
        <v>350</v>
      </c>
      <c r="H139" s="93">
        <f>+ROUND(14401.6084125,)</f>
        <v>14402</v>
      </c>
      <c r="I139" s="94">
        <v>12000</v>
      </c>
      <c r="J139" s="187">
        <f t="shared" ref="J139:J140" si="15">+I139*G139</f>
        <v>4200000</v>
      </c>
    </row>
    <row r="140" spans="1:10" ht="81.75" customHeight="1">
      <c r="A140" s="9" t="s">
        <v>243</v>
      </c>
      <c r="B140" s="9"/>
      <c r="C140" s="10"/>
      <c r="D140" s="10"/>
      <c r="E140" s="107" t="s">
        <v>141</v>
      </c>
      <c r="F140" s="96" t="s">
        <v>15</v>
      </c>
      <c r="G140" s="45">
        <v>50</v>
      </c>
      <c r="H140" s="93">
        <f>+ROUND(13841.9159266667,)</f>
        <v>13842</v>
      </c>
      <c r="I140" s="94">
        <v>12000</v>
      </c>
      <c r="J140" s="187">
        <f t="shared" si="15"/>
        <v>600000</v>
      </c>
    </row>
    <row r="141" spans="1:10" ht="33.75" customHeight="1">
      <c r="A141" s="9"/>
      <c r="B141" s="9"/>
      <c r="C141" s="10"/>
      <c r="D141" s="10"/>
      <c r="E141" s="97"/>
      <c r="F141" s="9"/>
      <c r="G141" s="87"/>
      <c r="H141" s="15" t="s">
        <v>163</v>
      </c>
      <c r="I141" s="98">
        <f>SUM(I139:I140)</f>
        <v>24000</v>
      </c>
      <c r="J141" s="189">
        <f>SUM(J139:J140)</f>
        <v>4800000</v>
      </c>
    </row>
    <row r="142" spans="1:10" ht="33.75" customHeight="1">
      <c r="A142" s="168" t="s">
        <v>244</v>
      </c>
      <c r="B142" s="168"/>
      <c r="C142" s="168"/>
      <c r="D142" s="168"/>
      <c r="E142" s="168"/>
      <c r="F142" s="104"/>
      <c r="G142" s="89"/>
      <c r="H142" s="88"/>
      <c r="I142" s="90"/>
      <c r="J142" s="189"/>
    </row>
    <row r="143" spans="1:10" ht="82.5" customHeight="1">
      <c r="A143" s="9" t="s">
        <v>245</v>
      </c>
      <c r="B143" s="9"/>
      <c r="C143" s="10"/>
      <c r="D143" s="10"/>
      <c r="E143" s="100" t="s">
        <v>143</v>
      </c>
      <c r="F143" s="92" t="s">
        <v>14</v>
      </c>
      <c r="G143" s="102">
        <v>250</v>
      </c>
      <c r="H143" s="93">
        <f>+ROUND(100381.9415,)</f>
        <v>100382</v>
      </c>
      <c r="I143" s="94">
        <v>90000</v>
      </c>
      <c r="J143" s="187">
        <f>+I143*G143</f>
        <v>22500000</v>
      </c>
    </row>
    <row r="144" spans="1:10" ht="33.75" customHeight="1">
      <c r="A144" s="9"/>
      <c r="B144" s="9"/>
      <c r="C144" s="10"/>
      <c r="D144" s="10"/>
      <c r="E144" s="97"/>
      <c r="F144" s="9"/>
      <c r="G144" s="87"/>
      <c r="H144" s="15" t="s">
        <v>165</v>
      </c>
      <c r="I144" s="98">
        <f>SUM(I143:I143)</f>
        <v>90000</v>
      </c>
      <c r="J144" s="189">
        <f>SUM(J143)</f>
        <v>22500000</v>
      </c>
    </row>
    <row r="145" spans="1:10" ht="31.5" customHeight="1">
      <c r="A145" s="125"/>
      <c r="B145" s="125"/>
      <c r="C145" s="125"/>
      <c r="D145" s="125"/>
      <c r="E145" s="125"/>
      <c r="F145" s="171" t="s">
        <v>147</v>
      </c>
      <c r="G145" s="171"/>
      <c r="H145" s="171"/>
      <c r="I145" s="108">
        <f>ROUND(I144+I141+I137+I133+I130+I124+I117+I114+I109+I106+I95+I92+I88+I79+I75+I72+I67+I55+I51+I41+I36+I31,0)</f>
        <v>19912000</v>
      </c>
      <c r="J145" s="108">
        <f>ROUND(J144+J141+J137+J133+J130+J124+J117+J114+J109+J106+J95+J92+J88+J79+J75+J72+J67+J55+J51+J41+J36+J31,0)</f>
        <v>401314846</v>
      </c>
    </row>
    <row r="146" spans="1:10" ht="31.5" customHeight="1">
      <c r="A146" s="125" t="s">
        <v>145</v>
      </c>
      <c r="B146" s="125"/>
      <c r="C146" s="125"/>
      <c r="D146" s="125"/>
      <c r="E146" s="125"/>
      <c r="F146" s="125"/>
      <c r="G146" s="125"/>
      <c r="H146" s="125"/>
      <c r="I146" s="125"/>
      <c r="J146" s="187"/>
    </row>
    <row r="147" spans="1:10" ht="31.5" customHeight="1">
      <c r="A147" s="168" t="s">
        <v>146</v>
      </c>
      <c r="B147" s="168"/>
      <c r="C147" s="168"/>
      <c r="D147" s="168"/>
      <c r="E147" s="168"/>
      <c r="F147" s="88"/>
      <c r="G147" s="89"/>
      <c r="H147" s="88"/>
      <c r="I147" s="90"/>
      <c r="J147" s="189"/>
    </row>
    <row r="148" spans="1:10" ht="31.5" customHeight="1">
      <c r="A148" s="9" t="s">
        <v>26</v>
      </c>
      <c r="B148" s="9"/>
      <c r="C148" s="10"/>
      <c r="D148" s="10"/>
      <c r="E148" s="92" t="s">
        <v>42</v>
      </c>
      <c r="F148" s="92" t="s">
        <v>14</v>
      </c>
      <c r="G148" s="38">
        <v>1</v>
      </c>
      <c r="H148" s="93">
        <f>+ROUND(225735.783095,)</f>
        <v>225736</v>
      </c>
      <c r="I148" s="94">
        <v>220000</v>
      </c>
      <c r="J148" s="187">
        <f t="shared" ref="J148:J150" si="16">+I148*G148</f>
        <v>220000</v>
      </c>
    </row>
    <row r="149" spans="1:10" ht="31.5" customHeight="1">
      <c r="A149" s="9" t="s">
        <v>27</v>
      </c>
      <c r="B149" s="9"/>
      <c r="C149" s="10"/>
      <c r="D149" s="10"/>
      <c r="E149" s="92" t="s">
        <v>189</v>
      </c>
      <c r="F149" s="92" t="s">
        <v>14</v>
      </c>
      <c r="G149" s="38">
        <v>31</v>
      </c>
      <c r="H149" s="93">
        <f>+ROUND(97655.4330333333,)</f>
        <v>97655</v>
      </c>
      <c r="I149" s="94">
        <v>95000</v>
      </c>
      <c r="J149" s="187">
        <f t="shared" si="16"/>
        <v>2945000</v>
      </c>
    </row>
    <row r="150" spans="1:10" ht="31.5" customHeight="1">
      <c r="A150" s="9" t="s">
        <v>29</v>
      </c>
      <c r="B150" s="9"/>
      <c r="C150" s="10"/>
      <c r="D150" s="10"/>
      <c r="E150" s="92" t="s">
        <v>190</v>
      </c>
      <c r="F150" s="92" t="s">
        <v>15</v>
      </c>
      <c r="G150" s="38">
        <v>104</v>
      </c>
      <c r="H150" s="93">
        <f>+ROUND(14732.91097,)</f>
        <v>14733</v>
      </c>
      <c r="I150" s="94">
        <v>14000</v>
      </c>
      <c r="J150" s="187">
        <f t="shared" si="16"/>
        <v>1456000</v>
      </c>
    </row>
    <row r="151" spans="1:10" ht="31.5" customHeight="1">
      <c r="A151" s="9"/>
      <c r="B151" s="9"/>
      <c r="C151" s="10"/>
      <c r="D151" s="10"/>
      <c r="E151" s="97"/>
      <c r="F151" s="9"/>
      <c r="G151" s="87"/>
      <c r="H151" s="15" t="s">
        <v>170</v>
      </c>
      <c r="I151" s="109">
        <f>SUM(I148:I150)</f>
        <v>329000</v>
      </c>
      <c r="J151" s="109">
        <f>SUM(J148:J150)</f>
        <v>4621000</v>
      </c>
    </row>
    <row r="152" spans="1:10" ht="31.05" customHeight="1">
      <c r="A152" s="9"/>
      <c r="B152" s="9"/>
      <c r="C152" s="10"/>
      <c r="D152" s="10"/>
      <c r="E152" s="97"/>
      <c r="F152" s="9"/>
      <c r="G152" s="87"/>
      <c r="H152" s="15" t="s">
        <v>63</v>
      </c>
      <c r="I152" s="109">
        <f>I151+I145</f>
        <v>20241000</v>
      </c>
      <c r="J152" s="109">
        <f>J151+J145</f>
        <v>405935846</v>
      </c>
    </row>
    <row r="153" spans="1:10" ht="19.2" customHeight="1">
      <c r="A153" s="130"/>
      <c r="B153" s="130"/>
      <c r="C153" s="130"/>
      <c r="D153" s="130"/>
      <c r="E153" s="130"/>
      <c r="F153" s="169" t="s">
        <v>166</v>
      </c>
      <c r="G153" s="169"/>
      <c r="H153" s="110">
        <v>0.13669999999999999</v>
      </c>
      <c r="I153" s="111">
        <f>ROUND(I152*H153,0)</f>
        <v>2766945</v>
      </c>
      <c r="J153" s="111">
        <f>ROUND(J152*H153,0)</f>
        <v>55491430</v>
      </c>
    </row>
    <row r="154" spans="1:10" ht="19.2" customHeight="1">
      <c r="A154" s="170"/>
      <c r="B154" s="170"/>
      <c r="C154" s="170"/>
      <c r="D154" s="170"/>
      <c r="E154" s="170"/>
      <c r="F154" s="169" t="s">
        <v>167</v>
      </c>
      <c r="G154" s="169" t="s">
        <v>167</v>
      </c>
      <c r="H154" s="110">
        <v>6.3299999999999995E-2</v>
      </c>
      <c r="I154" s="111">
        <f>ROUND(I152*H154,)</f>
        <v>1281255</v>
      </c>
      <c r="J154" s="111">
        <f>ROUND(J152*H154,)</f>
        <v>25695739</v>
      </c>
    </row>
    <row r="155" spans="1:10" ht="19.2" customHeight="1">
      <c r="A155" s="170"/>
      <c r="B155" s="170"/>
      <c r="C155" s="170"/>
      <c r="D155" s="170"/>
      <c r="E155" s="170"/>
      <c r="F155" s="169" t="s">
        <v>168</v>
      </c>
      <c r="G155" s="169" t="s">
        <v>168</v>
      </c>
      <c r="H155" s="110">
        <v>0.05</v>
      </c>
      <c r="I155" s="111">
        <f>ROUND(I152*H155,)</f>
        <v>1012050</v>
      </c>
      <c r="J155" s="111">
        <f>ROUND(J152*H155,)</f>
        <v>20296792</v>
      </c>
    </row>
    <row r="156" spans="1:10" ht="19.5" customHeight="1">
      <c r="A156" s="120"/>
      <c r="B156" s="120"/>
      <c r="C156" s="120"/>
      <c r="D156" s="120"/>
      <c r="E156" s="120"/>
      <c r="F156" s="169" t="s">
        <v>169</v>
      </c>
      <c r="G156" s="169" t="s">
        <v>169</v>
      </c>
      <c r="H156" s="110">
        <v>0.19</v>
      </c>
      <c r="I156" s="111">
        <f>ROUND(+I155*H156,)</f>
        <v>192290</v>
      </c>
      <c r="J156" s="111">
        <f>ROUND(+J155*H156,)</f>
        <v>3856390</v>
      </c>
    </row>
    <row r="157" spans="1:10" ht="29.25" customHeight="1">
      <c r="A157" s="166"/>
      <c r="B157" s="167"/>
      <c r="C157" s="167"/>
      <c r="D157" s="167"/>
      <c r="E157" s="167"/>
      <c r="F157" s="164" t="s">
        <v>10</v>
      </c>
      <c r="G157" s="164"/>
      <c r="H157" s="112"/>
      <c r="I157" s="113">
        <f>SUM(I152:I156)</f>
        <v>25493540</v>
      </c>
      <c r="J157" s="113">
        <f>SUM(J152:J156)</f>
        <v>511276197</v>
      </c>
    </row>
    <row r="164" spans="5:5">
      <c r="E164" s="191"/>
    </row>
    <row r="165" spans="5:5">
      <c r="E165" s="1" t="s">
        <v>258</v>
      </c>
    </row>
    <row r="166" spans="5:5">
      <c r="E166" s="1" t="s">
        <v>259</v>
      </c>
    </row>
    <row r="167" spans="5:5">
      <c r="E167" s="1" t="s">
        <v>260</v>
      </c>
    </row>
    <row r="168" spans="5:5">
      <c r="E168" s="1" t="s">
        <v>261</v>
      </c>
    </row>
  </sheetData>
  <mergeCells count="57">
    <mergeCell ref="J11:J12"/>
    <mergeCell ref="A2:J2"/>
    <mergeCell ref="A3:J3"/>
    <mergeCell ref="A4:J4"/>
    <mergeCell ref="A5:J5"/>
    <mergeCell ref="A6:J6"/>
    <mergeCell ref="A7:J7"/>
    <mergeCell ref="A8:J8"/>
    <mergeCell ref="A9:J10"/>
    <mergeCell ref="A11:A12"/>
    <mergeCell ref="B11:B12"/>
    <mergeCell ref="C11:D11"/>
    <mergeCell ref="E11:E12"/>
    <mergeCell ref="F11:F12"/>
    <mergeCell ref="G11:G12"/>
    <mergeCell ref="H11:H12"/>
    <mergeCell ref="A145:E145"/>
    <mergeCell ref="A93:E93"/>
    <mergeCell ref="A154:E154"/>
    <mergeCell ref="A130:G130"/>
    <mergeCell ref="A131:E131"/>
    <mergeCell ref="A134:E134"/>
    <mergeCell ref="A138:E138"/>
    <mergeCell ref="A118:E118"/>
    <mergeCell ref="A124:G124"/>
    <mergeCell ref="A125:E125"/>
    <mergeCell ref="A106:G106"/>
    <mergeCell ref="A13:E13"/>
    <mergeCell ref="A32:E32"/>
    <mergeCell ref="F156:G156"/>
    <mergeCell ref="A155:E155"/>
    <mergeCell ref="F153:G153"/>
    <mergeCell ref="F154:G154"/>
    <mergeCell ref="F155:G155"/>
    <mergeCell ref="A107:E107"/>
    <mergeCell ref="A110:E110"/>
    <mergeCell ref="A115:E115"/>
    <mergeCell ref="A142:E142"/>
    <mergeCell ref="A56:E56"/>
    <mergeCell ref="A147:E147"/>
    <mergeCell ref="A146:I146"/>
    <mergeCell ref="F145:H145"/>
    <mergeCell ref="F157:G157"/>
    <mergeCell ref="I11:I12"/>
    <mergeCell ref="A157:E157"/>
    <mergeCell ref="A153:E153"/>
    <mergeCell ref="A37:E37"/>
    <mergeCell ref="A42:E42"/>
    <mergeCell ref="A52:E52"/>
    <mergeCell ref="A156:E156"/>
    <mergeCell ref="A68:E68"/>
    <mergeCell ref="A73:E73"/>
    <mergeCell ref="A76:E76"/>
    <mergeCell ref="A80:E80"/>
    <mergeCell ref="A88:G88"/>
    <mergeCell ref="A89:E89"/>
    <mergeCell ref="A96:E96"/>
  </mergeCells>
  <phoneticPr fontId="4" type="noConversion"/>
  <pageMargins left="0.82677165354330717" right="0.82677165354330717" top="1.1023622047244095" bottom="0.94488188976377963" header="0.31496062992125984" footer="0.31496062992125984"/>
  <pageSetup scale="32" orientation="portrait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a6cb9e4b-f1d1-4245-83ec-6cad768d538a"/>
    <ds:schemaRef ds:uri="http://purl.org/dc/elements/1.1/"/>
    <ds:schemaRef ds:uri="http://purl.org/dc/terms/"/>
    <ds:schemaRef ds:uri="9d85dbaf-23eb-4e57-a637-93dcacc8b1a1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PRESUPUESTO </vt:lpstr>
      <vt:lpstr>OFERTA ECONOMICA</vt:lpstr>
      <vt:lpstr>'OFERTA ECONOMICA'!Área_de_impresión</vt:lpstr>
      <vt:lpstr>'PRESUPUESTO '!Área_de_impresión</vt:lpstr>
      <vt:lpstr>'OFERTA ECONOMICA'!Títulos_a_imprimir</vt:lpstr>
      <vt:lpstr>'PRESUPUESTO 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Raul</cp:lastModifiedBy>
  <cp:revision/>
  <cp:lastPrinted>2021-04-08T13:34:53Z</cp:lastPrinted>
  <dcterms:created xsi:type="dcterms:W3CDTF">2018-04-18T13:08:10Z</dcterms:created>
  <dcterms:modified xsi:type="dcterms:W3CDTF">2024-10-21T01:29:25Z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