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lorel\Dropbox\PC\Downloads\"/>
    </mc:Choice>
  </mc:AlternateContent>
  <xr:revisionPtr revIDLastSave="0" documentId="13_ncr:1_{7127BB9D-D15B-407B-A7B9-C61E379A7EAB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</sheets>
  <definedNames>
    <definedName name="_xlnm._FilterDatabase" localSheetId="0" hidden="1">Hoja1!$B$20:$H$140</definedName>
    <definedName name="_xlnm.Print_Area" localSheetId="0">Hoja1!$B$5:$J$148</definedName>
    <definedName name="_xlnm.Print_Titles" localSheetId="0">Hoja1!$5:$20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39" i="1" l="1"/>
  <c r="J138" i="1"/>
  <c r="J137" i="1"/>
  <c r="J136" i="1"/>
  <c r="J135" i="1"/>
  <c r="J133" i="1"/>
  <c r="J132" i="1"/>
  <c r="J129" i="1"/>
  <c r="H165" i="1"/>
  <c r="J131" i="1"/>
  <c r="J130" i="1" s="1"/>
  <c r="J127" i="1"/>
  <c r="J126" i="1"/>
  <c r="J123" i="1"/>
  <c r="J124" i="1"/>
  <c r="J117" i="1"/>
  <c r="J115" i="1"/>
  <c r="J114" i="1" s="1"/>
  <c r="J113" i="1"/>
  <c r="J112" i="1"/>
  <c r="J110" i="1"/>
  <c r="J109" i="1"/>
  <c r="J107" i="1"/>
  <c r="J99" i="1"/>
  <c r="J96" i="1"/>
  <c r="J95" i="1"/>
  <c r="J93" i="1"/>
  <c r="J87" i="1"/>
  <c r="J88" i="1"/>
  <c r="J89" i="1"/>
  <c r="J90" i="1"/>
  <c r="J91" i="1"/>
  <c r="J86" i="1"/>
  <c r="J84" i="1"/>
  <c r="J82" i="1"/>
  <c r="J81" i="1"/>
  <c r="J79" i="1"/>
  <c r="J78" i="1"/>
  <c r="J75" i="1"/>
  <c r="J67" i="1"/>
  <c r="J68" i="1"/>
  <c r="J69" i="1"/>
  <c r="J70" i="1"/>
  <c r="J71" i="1"/>
  <c r="J72" i="1"/>
  <c r="J73" i="1"/>
  <c r="J66" i="1"/>
  <c r="J58" i="1"/>
  <c r="J59" i="1"/>
  <c r="J60" i="1"/>
  <c r="J61" i="1"/>
  <c r="J62" i="1"/>
  <c r="J63" i="1"/>
  <c r="J64" i="1"/>
  <c r="J57" i="1"/>
  <c r="J54" i="1"/>
  <c r="J51" i="1"/>
  <c r="J50" i="1"/>
  <c r="J47" i="1"/>
  <c r="J48" i="1"/>
  <c r="J46" i="1"/>
  <c r="J40" i="1"/>
  <c r="J41" i="1"/>
  <c r="J42" i="1"/>
  <c r="J43" i="1"/>
  <c r="J39" i="1"/>
  <c r="J36" i="1"/>
  <c r="J37" i="1"/>
  <c r="J35" i="1"/>
  <c r="J26" i="1"/>
  <c r="J30" i="1"/>
  <c r="J31" i="1"/>
  <c r="J32" i="1"/>
  <c r="J33" i="1"/>
  <c r="J22" i="1"/>
  <c r="J10" i="1"/>
  <c r="F155" i="1"/>
  <c r="F162" i="1" s="1"/>
  <c r="F169" i="1" s="1"/>
  <c r="F154" i="1"/>
  <c r="F161" i="1" s="1"/>
  <c r="F168" i="1" s="1"/>
  <c r="F153" i="1"/>
  <c r="F160" i="1" s="1"/>
  <c r="F167" i="1" s="1"/>
  <c r="F152" i="1"/>
  <c r="F159" i="1" s="1"/>
  <c r="F166" i="1" s="1"/>
  <c r="H166" i="1" s="1"/>
  <c r="G132" i="1"/>
  <c r="G131" i="1"/>
  <c r="G129" i="1"/>
  <c r="E128" i="1"/>
  <c r="G128" i="1" s="1"/>
  <c r="G127" i="1"/>
  <c r="G126" i="1"/>
  <c r="G124" i="1"/>
  <c r="G123" i="1"/>
  <c r="E122" i="1"/>
  <c r="G122" i="1" s="1"/>
  <c r="E120" i="1"/>
  <c r="G120" i="1" s="1"/>
  <c r="E119" i="1"/>
  <c r="G119" i="1" s="1"/>
  <c r="E118" i="1"/>
  <c r="G118" i="1" s="1"/>
  <c r="E117" i="1"/>
  <c r="G117" i="1" s="1"/>
  <c r="E115" i="1"/>
  <c r="G115" i="1" s="1"/>
  <c r="H114" i="1" s="1"/>
  <c r="G113" i="1"/>
  <c r="G112" i="1"/>
  <c r="G110" i="1"/>
  <c r="H108" i="1" s="1"/>
  <c r="G109" i="1"/>
  <c r="E107" i="1"/>
  <c r="G107" i="1" s="1"/>
  <c r="E106" i="1"/>
  <c r="G106" i="1" s="1"/>
  <c r="E105" i="1"/>
  <c r="G105" i="1" s="1"/>
  <c r="E104" i="1"/>
  <c r="G104" i="1" s="1"/>
  <c r="E103" i="1"/>
  <c r="G103" i="1" s="1"/>
  <c r="E101" i="1"/>
  <c r="G101" i="1" s="1"/>
  <c r="H100" i="1" s="1"/>
  <c r="G99" i="1"/>
  <c r="E96" i="1"/>
  <c r="G96" i="1" s="1"/>
  <c r="G95" i="1"/>
  <c r="G93" i="1"/>
  <c r="G91" i="1"/>
  <c r="G90" i="1"/>
  <c r="G89" i="1"/>
  <c r="G88" i="1"/>
  <c r="G87" i="1"/>
  <c r="G86" i="1"/>
  <c r="G84" i="1"/>
  <c r="G82" i="1"/>
  <c r="G81" i="1"/>
  <c r="G79" i="1"/>
  <c r="G78" i="1"/>
  <c r="G75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E54" i="1"/>
  <c r="G54" i="1" s="1"/>
  <c r="E53" i="1"/>
  <c r="E98" i="1" s="1"/>
  <c r="G98" i="1" s="1"/>
  <c r="H97" i="1" s="1"/>
  <c r="G51" i="1"/>
  <c r="G50" i="1"/>
  <c r="G48" i="1"/>
  <c r="G47" i="1"/>
  <c r="G46" i="1"/>
  <c r="G43" i="1"/>
  <c r="G42" i="1"/>
  <c r="G41" i="1"/>
  <c r="G40" i="1"/>
  <c r="G39" i="1"/>
  <c r="G37" i="1"/>
  <c r="G36" i="1"/>
  <c r="G35" i="1"/>
  <c r="G33" i="1"/>
  <c r="G32" i="1"/>
  <c r="G31" i="1"/>
  <c r="G30" i="1"/>
  <c r="E29" i="1"/>
  <c r="G29" i="1" s="1"/>
  <c r="E28" i="1"/>
  <c r="G28" i="1" s="1"/>
  <c r="E26" i="1"/>
  <c r="G26" i="1" s="1"/>
  <c r="E25" i="1"/>
  <c r="G25" i="1" s="1"/>
  <c r="E24" i="1"/>
  <c r="G24" i="1" s="1"/>
  <c r="E23" i="1"/>
  <c r="G23" i="1" s="1"/>
  <c r="G22" i="1"/>
  <c r="H10" i="1"/>
  <c r="J108" i="1" l="1"/>
  <c r="J165" i="1" s="1"/>
  <c r="J168" i="1" s="1"/>
  <c r="J23" i="1"/>
  <c r="J98" i="1"/>
  <c r="J97" i="1" s="1"/>
  <c r="J53" i="1"/>
  <c r="J101" i="1"/>
  <c r="J100" i="1" s="1"/>
  <c r="J120" i="1"/>
  <c r="J24" i="1"/>
  <c r="J103" i="1"/>
  <c r="J119" i="1"/>
  <c r="J118" i="1"/>
  <c r="J116" i="1" s="1"/>
  <c r="J106" i="1"/>
  <c r="J122" i="1"/>
  <c r="J121" i="1" s="1"/>
  <c r="H94" i="1"/>
  <c r="J29" i="1"/>
  <c r="J105" i="1"/>
  <c r="J28" i="1"/>
  <c r="J104" i="1"/>
  <c r="J25" i="1"/>
  <c r="J94" i="1"/>
  <c r="J128" i="1"/>
  <c r="J125" i="1" s="1"/>
  <c r="J111" i="1"/>
  <c r="J166" i="1"/>
  <c r="J55" i="1"/>
  <c r="J38" i="1"/>
  <c r="J34" i="1"/>
  <c r="J76" i="1"/>
  <c r="J44" i="1"/>
  <c r="J52" i="1"/>
  <c r="H121" i="1"/>
  <c r="E27" i="1"/>
  <c r="H34" i="1"/>
  <c r="H38" i="1"/>
  <c r="H111" i="1"/>
  <c r="H130" i="1"/>
  <c r="H55" i="1"/>
  <c r="H44" i="1"/>
  <c r="H76" i="1"/>
  <c r="H116" i="1"/>
  <c r="H125" i="1"/>
  <c r="H168" i="1"/>
  <c r="H169" i="1" s="1"/>
  <c r="H102" i="1"/>
  <c r="H167" i="1"/>
  <c r="G53" i="1"/>
  <c r="H52" i="1" s="1"/>
  <c r="J102" i="1" l="1"/>
  <c r="J167" i="1"/>
  <c r="G27" i="1"/>
  <c r="J27" i="1"/>
  <c r="J21" i="1" s="1"/>
  <c r="H151" i="1"/>
  <c r="J151" i="1"/>
  <c r="J152" i="1" s="1"/>
  <c r="J134" i="1"/>
  <c r="J158" i="1"/>
  <c r="H170" i="1"/>
  <c r="H19" i="1" s="1"/>
  <c r="H154" i="1"/>
  <c r="H155" i="1" s="1"/>
  <c r="H153" i="1"/>
  <c r="H152" i="1" l="1"/>
  <c r="H156" i="1" s="1"/>
  <c r="H17" i="1" s="1"/>
  <c r="H133" i="1"/>
  <c r="H21" i="1"/>
  <c r="J140" i="1"/>
  <c r="J153" i="1"/>
  <c r="J154" i="1"/>
  <c r="J155" i="1" s="1"/>
  <c r="J161" i="1"/>
  <c r="J162" i="1" s="1"/>
  <c r="J160" i="1"/>
  <c r="J159" i="1"/>
  <c r="J163" i="1" l="1"/>
  <c r="J18" i="1" s="1"/>
  <c r="J156" i="1"/>
  <c r="J17" i="1" s="1"/>
  <c r="H158" i="1"/>
  <c r="H134" i="1"/>
  <c r="H159" i="1" l="1"/>
  <c r="H160" i="1"/>
  <c r="H161" i="1"/>
  <c r="H162" i="1" s="1"/>
  <c r="H136" i="1"/>
  <c r="H135" i="1"/>
  <c r="H137" i="1"/>
  <c r="H138" i="1" s="1"/>
  <c r="J169" i="1"/>
  <c r="J170" i="1" s="1"/>
  <c r="J19" i="1" s="1"/>
  <c r="J16" i="1" s="1"/>
  <c r="H139" i="1" l="1"/>
  <c r="H140" i="1" s="1"/>
  <c r="H163" i="1"/>
  <c r="H18" i="1" s="1"/>
  <c r="H16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Stiward</author>
  </authors>
  <commentList>
    <comment ref="E11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Stiward:</t>
        </r>
        <r>
          <rPr>
            <sz val="9"/>
            <color indexed="81"/>
            <rFont val="Tahoma"/>
            <family val="2"/>
          </rPr>
          <t xml:space="preserve">
CIERRE</t>
        </r>
      </text>
    </comment>
    <comment ref="E12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Stiward:</t>
        </r>
        <r>
          <rPr>
            <sz val="9"/>
            <color indexed="81"/>
            <rFont val="Tahoma"/>
            <family val="2"/>
          </rPr>
          <t xml:space="preserve">
CIERRE</t>
        </r>
      </text>
    </comment>
  </commentList>
</comments>
</file>

<file path=xl/sharedStrings.xml><?xml version="1.0" encoding="utf-8"?>
<sst xmlns="http://schemas.openxmlformats.org/spreadsheetml/2006/main" count="316" uniqueCount="210">
  <si>
    <t>FUERZAS MILITARES DE COLOMBIA - MINISTERIO DE DEFENSA NACIONAL</t>
  </si>
  <si>
    <t>FUERZA AEREA COLOMBIANA</t>
  </si>
  <si>
    <t>COMANDO AEREO DE COMBATE No. 6</t>
  </si>
  <si>
    <t>OBJETO:</t>
  </si>
  <si>
    <t>ADECUACION SALA DE JUNTAS Y PISO GRUTE DEL COMANDO AÉREO DE COMBATE N° 6.</t>
  </si>
  <si>
    <t xml:space="preserve">NOTAS: </t>
  </si>
  <si>
    <t>FECHA:</t>
  </si>
  <si>
    <t xml:space="preserve">Las cantidades de obra que a continuación se presentan son aproximadas.  </t>
  </si>
  <si>
    <t>Su pago será determinado por la obra medida, realmente ejecutada, previa medición por parte deL supervisor.</t>
  </si>
  <si>
    <t>Durante la ejecución de la obra se deben verificar las medidas por parte del contratista y el supervisor</t>
  </si>
  <si>
    <t>El contratista deberá prever todos los costos correspondientes a materiales, mano de obra, transportes y demás costos directos e indirectos requeridos para realizar la totalidad de las obras.</t>
  </si>
  <si>
    <t>02-01-01-001-002-10  PISO HANGAR</t>
  </si>
  <si>
    <t>FORMULARIO N° 1</t>
  </si>
  <si>
    <t>PRESUPUESTO OFICIAL</t>
  </si>
  <si>
    <t>1. RUBRO 02-01-01 INCREMENTA VALOR</t>
  </si>
  <si>
    <t>2.  RUBRO 02-02-02 AL GASTO</t>
  </si>
  <si>
    <t>3. 02-01-01-001-002-10  PISO HANGAR</t>
  </si>
  <si>
    <t>ÍTEM</t>
  </si>
  <si>
    <t>ACTIVIDAD</t>
  </si>
  <si>
    <t>UND</t>
  </si>
  <si>
    <t>CANTIDAD</t>
  </si>
  <si>
    <t>VALOR UNITARIO</t>
  </si>
  <si>
    <t>VALOR PARCIAL</t>
  </si>
  <si>
    <t>VALOR TOTAL</t>
  </si>
  <si>
    <t xml:space="preserve">PRELIMINARES </t>
  </si>
  <si>
    <t>LOCALIZACIÓN Y REPLANTEO CON ELEMENTOS DE PRECISIÓN.</t>
  </si>
  <si>
    <t>M²</t>
  </si>
  <si>
    <t>DEMOLICIÓN DE MUROS EN BLOQUE / LADRILLO / DRY WALL, INCLUYE RETIRO DEL MATERIAL</t>
  </si>
  <si>
    <t>DESMONTE DE ESTRUCTURA Y ELEMENTOS METÁLICOS, INCLUYE RETIRO.</t>
  </si>
  <si>
    <t>M</t>
  </si>
  <si>
    <t>DEMOLICION DE ENCHAPE DE PISOS Y PAREDES (m²)</t>
  </si>
  <si>
    <t>DESMONTE DE CIELO RASO, INCLUYE DESMONTE DE ESTRUCTURA</t>
  </si>
  <si>
    <t>DESMONTE CUBIERTAS METALICAS</t>
  </si>
  <si>
    <t>DESMONTE DE VENTANERÍA INCLUYE MARCOS, VIDRIOS, PERFILES, ANGEO Y DEMÁS ACCESORIOS, INCLUYE RETIRO</t>
  </si>
  <si>
    <t>DESMONTE DE ELEMENTOS METÁLICOS, INCLUYE RETIRO</t>
  </si>
  <si>
    <t>DESMONTE DE APARATOS SANITARIOS, LAVAMANOS, LAVAPLATOS, ORINALES Y DIVISIONES DE DUCHAS, Y TODOS SUS ACCESORIOS, INCLUYE RETIRO</t>
  </si>
  <si>
    <t>DEMOLICIÓN DE MESÓN EN CONCRETO, INCLUYE RETIRO DE SOBRANTES</t>
  </si>
  <si>
    <t>TALA DE ÁRBOLES PORTE MEDIO Y ALTO, INCLUYE PICADO DE MATERIAL, DISPOSICION FINAL DEL MATERIAL Y COMPENSACION.</t>
  </si>
  <si>
    <t>TALA Y DESENRAICE ÁRBOLES MEDIANOS INCLUYE RETIRO DE SOBRANTES</t>
  </si>
  <si>
    <t>MOVIMIENTO DE TIERRAS</t>
  </si>
  <si>
    <t>EXCAVACIÓN MANUAL EN MATERIAL COMÚN SEGÚN PLANOS. INCLUYE CARGUE, TRANSPORTE Y DISPOSICIÓN FINAL DE SOBRANTES A SITIO AUTORIZADO</t>
  </si>
  <si>
    <t>M³</t>
  </si>
  <si>
    <t>EXTENDIDO Y COMPACTACION COMPACTACIÓN DE CAPA SUBRASANTE HASTA ALCANZAR CBR=95% DEL PROCTOR MODIFICADO</t>
  </si>
  <si>
    <t>RELLENO COMPACTADO AL 95% DEL PROCTOR MODIFICADO TIPO SUB-BASE B-200 SEGÚN PLANOS. INCLUYE SUMINISTRO, EXTENDIDO, NIVELACIÓN, HUMEDECIMIENTO Y COMPACTACIÓN.</t>
  </si>
  <si>
    <t>CIMENTACION</t>
  </si>
  <si>
    <t>03007</t>
  </si>
  <si>
    <t>SOLADO DE LIMPIEZA EN CONCRETO DE 2.000 PSI DE E=0.05 M SEGÚN PLANOS. INCLUYE MATERIALES, MANO DE OBRA, EQUIPOS Y HERRAMIENTAS NECESARIAS</t>
  </si>
  <si>
    <t>03020</t>
  </si>
  <si>
    <t>GEOTEXTIL NT2500 O SIMILAR</t>
  </si>
  <si>
    <t>03015</t>
  </si>
  <si>
    <t>VIGAS DE CIMENTACION EN CONCRETO DE 4.000 PSI IMPERMEABILIZADO SEGÚN PLANOS. INCLUYE MANO DE OBRA, FORMALETAS, EQUIPOS Y HERRAMIENTAS NECESARIAS, NO INCLUYE ACERO DE REFUERZO.</t>
  </si>
  <si>
    <t>03008</t>
  </si>
  <si>
    <t>ZAPATA EN CONCRETO DE 4.000 PSI IMPERMEABILIZADO SEGÚN PLANOS. INCLUYE, MANO DE OBRA, FORMALETAS, EQUIPOS Y HERRAMIENTAS NECESARIAS, NO INCLUYE ACERO DE REFUERZO</t>
  </si>
  <si>
    <t>03010</t>
  </si>
  <si>
    <t>PLACA DE CONTRAPISO EN CONCRETO DE 3.000 PSI IMPERMEABILIZADO, SEGÚN PLANOS. INCLUYE MANO DE OBRA, FORMALETAS, EQUIPOS Y HERRAMIENTAS NECESARIAS, E=0.10 M, NO INCLUYE ACERO DE REFUERZO</t>
  </si>
  <si>
    <t>CONCRETOS</t>
  </si>
  <si>
    <t>4.1</t>
  </si>
  <si>
    <t>ESTRUCTURA EN CONCRETO</t>
  </si>
  <si>
    <t>04001</t>
  </si>
  <si>
    <t>4.1.1</t>
  </si>
  <si>
    <t>COLUMNA EN CONCRETO DE 4.000 PSI SEGÚN PLANOS. INCLUYE MANO DE OBRA, FORMALETAS, EQUIPOS Y HERRAMIENTAS NECESARIAS, NO INCLUYE ACERO DE REFUERZO</t>
  </si>
  <si>
    <t>04002</t>
  </si>
  <si>
    <t>4.1.2</t>
  </si>
  <si>
    <t>VIGAS AEREAS EN CONCRETO DE 4.000 PSI SEGÚN PLANOS. INCLUYE MANO DE OBRA, FORMALETAS, EQUIPOS Y HERRAMIENTAS NECESARIAS, NO INCLUYE ACERO DE REFUERZO</t>
  </si>
  <si>
    <t>4.1.3</t>
  </si>
  <si>
    <t>ANDEN EN CONCRETO ESTAMPADO DE 3000 PSI E= 0,13M. INCLUYE MATERIALES, FORMALETA, TEXTURIZADO, CURADO Y MALLA ELECTROSOLDADA</t>
  </si>
  <si>
    <t>4.2</t>
  </si>
  <si>
    <t>ACERO DE REFUERZO- ANCLAJES</t>
  </si>
  <si>
    <t>04015</t>
  </si>
  <si>
    <t>4.2.1</t>
  </si>
  <si>
    <t>ACERO DE REFUERZO ESTRUCTURAL FY: 420  MPA GR 60 -NTC 2289  INCLUYE EPOXICO, ALAMBRE NEGRO, TRASIEGO, MANEJO</t>
  </si>
  <si>
    <t>Kg</t>
  </si>
  <si>
    <t>04016</t>
  </si>
  <si>
    <t>4.2.2</t>
  </si>
  <si>
    <t>MALLA ELECTROSOLDADA FY  485 MPA -NTC 5806, INCLUYE ALAMBRE NEGRO TRASIEGO, MANEJO</t>
  </si>
  <si>
    <t>MAMPOSTERIA</t>
  </si>
  <si>
    <t>MURO EN BLOQUE DE ARCILLA NO.5 PERFORACION HORIZONTAL E=0.12 MTS (0.33X0.115X0.23) MTS INCLUYE ACERO DE REFUERZO, MORTERO DE PEGA MAS ANCLAJE A PLACAS CONTRAPISO Y ENTREPISO.</t>
  </si>
  <si>
    <t>MESÓN EN CONCRETO</t>
  </si>
  <si>
    <t>REDES HIDRO SANITARIAS</t>
  </si>
  <si>
    <t>6.1</t>
  </si>
  <si>
    <t xml:space="preserve">REDES SANITARIAS </t>
  </si>
  <si>
    <t>6.1.1</t>
  </si>
  <si>
    <t>TUBERÍA PVC SANITARIA Ø 4", INCLUYE ACCESORIOS PARA SU CORRECTA INSTALACION</t>
  </si>
  <si>
    <t>6.1.2</t>
  </si>
  <si>
    <t>PUNTO SANITARIO Ø 4" , INCLUYE ACCESORIOS PARA SU CORRECTA INSTALACION</t>
  </si>
  <si>
    <t>6.1.3</t>
  </si>
  <si>
    <t>PUNTO SANITARIO Ø 2" , INCLUYE ACCESORIOS PARA SU CORRECTA INSTALACION</t>
  </si>
  <si>
    <t>6.1.4</t>
  </si>
  <si>
    <t>TUBERÍA DE VENTILACIÓN Ø 2"</t>
  </si>
  <si>
    <t>6.1.5</t>
  </si>
  <si>
    <t>SIFÓN Ø 3X2", INCLUYE ACCESORIOS PARA SU CORRECTA INSTALACION</t>
  </si>
  <si>
    <t>6.1.6</t>
  </si>
  <si>
    <t>PRUEBA SANITARIA</t>
  </si>
  <si>
    <t>6.1.7</t>
  </si>
  <si>
    <t>TUBERÍA PVC SANITARIA Ø 2", INCLUYE ACCESORIOS PARA SU CORRECTA INSTALACION</t>
  </si>
  <si>
    <t>6.1.8</t>
  </si>
  <si>
    <t>CAJA INSPECCIÓN 60CMX60CM</t>
  </si>
  <si>
    <t>6.2</t>
  </si>
  <si>
    <t>REDES HIDRUALICAS INTERNAS</t>
  </si>
  <si>
    <t/>
  </si>
  <si>
    <t>6.2.1</t>
  </si>
  <si>
    <t>REGATA PARA INSTALACIÓN DE TUBERÍA DE  Ø 1/2" A Ø 4" (INCLUYE RESANE)</t>
  </si>
  <si>
    <t>6.2.2</t>
  </si>
  <si>
    <t>TUBERÍA PVC PRESIÓN RDE 13.5 Ø 1/2" INCLUYE ACCESORIOS PARA SU CORRECTA INSTALACIÓN</t>
  </si>
  <si>
    <t>6.2.3</t>
  </si>
  <si>
    <t>PUNTO DE AGUA FRIA Ø 1/2"INCLUYE ACCESORIOS PARA SU CORRECTA INSTALACIÓN</t>
  </si>
  <si>
    <t>6.2.4</t>
  </si>
  <si>
    <t>REGISTRO DE AGUA INCLUYE TAPA Y CAJA Ø 3/4"</t>
  </si>
  <si>
    <t>6.2.5</t>
  </si>
  <si>
    <t>LLAVE TERMINAL CON CONEXIÓN PARA MANGUERA</t>
  </si>
  <si>
    <t>6.2.6</t>
  </si>
  <si>
    <t>PRUEBA HIDRÁULICA</t>
  </si>
  <si>
    <t>6.2.7</t>
  </si>
  <si>
    <t>DESINFECCIÓN RED HIDRÁULICA</t>
  </si>
  <si>
    <t>6.2.8</t>
  </si>
  <si>
    <t>REGISTRO DE AGUA INCLUYE TAPA Y CAJA Ø 1"</t>
  </si>
  <si>
    <t>DRENAJE AIRES ACONDICIONADOS</t>
  </si>
  <si>
    <t>6.3.1</t>
  </si>
  <si>
    <t>BAJANTE DRENAJE AIRE ACONDICIONADO TUBERIA PVC RDE 21 Ø 1</t>
  </si>
  <si>
    <t>INSTALACIONES ELECTRICAS</t>
  </si>
  <si>
    <t xml:space="preserve">BANCO DE DUCTERÍAS INTERNAS-EXTERNAS TIPO CONDUIT PVC, EMT, IMC, CAJAS DE PASO Y CANALETA  </t>
  </si>
  <si>
    <t>7.1.1</t>
  </si>
  <si>
    <t>DUCTO PVC - DB DE 1XØ3/4". INCLUYE CURVAS, TERMINALES CAJAS Y TAPA CIEGAS Y TODOS LOS ELEMENTOS NECESARIOS PARA SU CORRECTA INSTALACIÓN Y PUESTA EN FUNCIONAMIENTO</t>
  </si>
  <si>
    <t>7.1.2</t>
  </si>
  <si>
    <t>DUCTO PVC - DB DE 1X Ø 1". INCLUYE CURVAS, TERMINALES CAJA, TAPA CIEGAS Y TODOS LOS ELEMENTOS NECESARIOS PARA SU CORRECTA INSTALACIÓN Y PUESTA EN FUNCIONAMIENTO</t>
  </si>
  <si>
    <t>TABLEROS ELÉCTRICOS DE DISTRIBUCIÓN Y CAJAS DE CONTROL</t>
  </si>
  <si>
    <t>7.2.1</t>
  </si>
  <si>
    <t>MANTENIMIENTO DE TABLEROS MONOFÁSICOS, BIFÁSICOS, TRIFÁSICOS, TABLEROS DE CONTROL DE SALIDAS ESPECIALES Y TABLEROS DE CONTROL DE ILUMINACIÓN EXISTENTES, INCLUYE LA VERIFICACIÓN Y REDISTRIBUCIÓN INTERNA DE LAS PROTECCIONES ELÉCTRICAS, BARRAJES Y ELEMENTOS DE FIJACIÓN CONFORME AL CUADRO DE CARGAS Y/O DIAGRAMA UNIFILAR, ASÍ MISMO DEBE INCLUIR TODOS LOS ELEMENTOS Y/O ACCESORIOS NECESARIOS PARA SU CORRECTA INSTALACIÓN Y PUESTA EN FUNCIONAMIENTO.</t>
  </si>
  <si>
    <t>7.2.2</t>
  </si>
  <si>
    <t>TABLERO DE DISTRIBUCIÓN TRIFÁSICO, ENCHUFABLES, DOCE (12) CIRCUITOS, PUERTA CON CHAPA Y LLAVES, INCLUYE PROTECCIONES TERMOMAGNÉTICAS, ESPACIO PARA TOTALIZADOR Y TODOS LOS ELEMENTOS NECESARIOS PARA SU CORRECTA INSTALACIÓN Y PUESTA EN FUNCIONAMIENTO</t>
  </si>
  <si>
    <t>ACOMETIDAS ELECTRICAS</t>
  </si>
  <si>
    <t>7.3.1</t>
  </si>
  <si>
    <t xml:space="preserve">ACOMETIDA EN CABLE 3 X( NO. 8 CUXAWG FASES) + 1 X NO.8 CUXAWG NEUTRO + 1 X NO. 8 CUXDESNXAWG  TIERRA, EN CABLEADO (PE, HF, FR, LS, LIBRE DE HALÓGENOS, RETARDANTE A LA LLAMA, BAJA EMISIÓN DE HUMOS), INCLUYE DUCTERIA, CURVAS, UNIONES, RESANE, PAÑETE, ESTUCO, PINTURA, RECUPERACIÓN DE LA ZONA AFECTADA CON LOS MISMOS ACABADOS ACCESORIOS PARA SU CORRECTA INSTALACIÓN Y PUESTA EN FUNCIONAMIENTO. </t>
  </si>
  <si>
    <t>SALIDAS ELÉCTRICAS INSTALADAS EN DUCTERÍA CONDUIT E.M.T., PVC (INCLUYE VALOR DE LA TOTALIDAD DE TRAMOS DE DUCTERÍA, CABLEADO, CAJAS Y ACCESORIOS REQUERIDOS EN CADA SALIDA - NO SE HARÁN PAGOS POR ACOMETIDAS PARCIALES)</t>
  </si>
  <si>
    <t>7.4.1</t>
  </si>
  <si>
    <t>INTERRUPTOR DOBLE, INCLUYE SALIDA EN CABLEADO CU HFFR-LS NO.12 AWG , TUBERÍA PVC 3/4", INCLUYE: UNIONES, ACCESORIOS DE FIJACIÓN  Y DE CONEXIÓN, FACEPLATE  Y TODOS LOS ACCESORIOS NECESARIOS</t>
  </si>
  <si>
    <t>7.4.2</t>
  </si>
  <si>
    <t>TOMACORRIENTE BIFÁSICA 20A/220V(2Ø+PT), INCLUYE CLAVIJA, SALIDA EN CABLEADO (PE, HF, FR, LS, LIBRE DE HALÓGENOS, RETARDANTE A LA LLAMA, BAJA EMISIÓN DE HUMOS), TUBERÍA PVC 3/4", Y TODOS LOS ACCESORIOS NECESARIOS PARA GARANTIZAR SU CORRECTA INSTALACIÓN Y PUESTA EN SERVICIO.</t>
  </si>
  <si>
    <t>7.4.3</t>
  </si>
  <si>
    <t>TOMACORRIENTE DOBLE MONOFÁSICA 15A./120V.(1Ø+N+PT) (RED NORMAL), INCLUYE SALIDA EN CABLEADO (PE, HF, FR, LS, LIBRE DE HALÓGENOS, RETARDANTE A LA LLAMA, BAJA EMISIÓN DE HUMOS), TUBERÍA EN PVC 3/4" INTRAMUROS Y EMT EN CIELO FALSO 3/4", CAJA, TORNILLERÍA, TERMINALES, UNIONES, CABLEADO, ACCESORIOS NECESARIOS PARA GARANTIZAR SU CORRECTA INSTALACIÓN Y PUESTA EN SERVICIO.</t>
  </si>
  <si>
    <t>7.4.4</t>
  </si>
  <si>
    <t>LUMINARIA LED SYLVANIA LED PANEL CUADRADO 60X60 DE 40W DL, 6500K, 100LM, 100-277V, IP20, FP&gt;0.9, THD&lt;20%, INCLUYE SALIDA EN CABLEADO (PE, HF, FR, LS, LIBRE DE HALÓGENOS, RETARDANTE A LA LLAMA, BAJA EMISIÓN DE HUMOS), TUBERÍA EMT 3/4", CAJA TIPO RAWELT, TORNILLERÍA</t>
  </si>
  <si>
    <t>7.4.5</t>
  </si>
  <si>
    <t>LUMINARIA LED REDONDA 18W, INCLUYE CABLEADO (PE, HF, FR, LS, LIBRE DE HALÓGENOS, RETARDANTE A LA LLAMA, BAJA EMISIÓN DE HUMOS), TUBERÍA EMT 3/4", Y TODOS LOS ACCESORIOS NECESARIOS PARA GARANTIZAR SU CORRECTA</t>
  </si>
  <si>
    <t>7.4.6</t>
  </si>
  <si>
    <t>INTERRUPTOR SENCILLO, INCLUYE SALIDA EN CABLEADO CU HFFR-LS NO.12 AWG , CAJA PLASTICA UNIVERSAL, TUBERIA PVC 3/4 " Y TODOS LOS ACCESORIOS NECESARIOS PARA GARANTIZAR SU CORRECTA INSTALACIÓN Y PUESTA EN SERVICIO.</t>
  </si>
  <si>
    <t>PROTECCIONES, PARARRAYOS Y PUESTAS A TIERRA</t>
  </si>
  <si>
    <t>7.5.1</t>
  </si>
  <si>
    <t>SISTEMA DE APANTALLAMIENTO CONTRA DESCARGAS ATMOSFÉRICAS, INCLUYE (4) PUNTAS CAPTADORAS EN ALUMINIO DE 5/8” ALTURA ÚTIL 60 CM, 58 METROS LINEALES DE CONDUCTOR DE INTERCONEXIÓN DE PUNTAS CAPTADORAS EN ALUMINIO TIPO ALAMBRÓN DE 8 MM DE DIÁMETRO, CON SUS RESPECTIVOS AISLADORES, SOPORTES, CONECTOR ES BIMETÁLICOS, ACCESORIOS, Y DEMÁS ELEMENTOS NECESARIOS PARA SU CORRECTA INSTALACIÓN Y FUNCIONAMIENTO.</t>
  </si>
  <si>
    <t>URBANISMO</t>
  </si>
  <si>
    <t>ESCUDO FAC/UNIDAD  DE 0,80X0,80 ESPESOR 20MM APROX. COLOR LETRA AZUL, EN CUANTO AL ACRÍLICO (FRENTE Y CANTONERA) SE TRABAJARÍA EN 3 MM, LA TAPA POSTERIOR SERIA EN POLIESTILENO CALIBRE 80, LA ILUMINACIÓN ES CON MÓDULO LED ESTILO LUPA.</t>
  </si>
  <si>
    <t>LETRA TIPO CAJA EN ACRLICO ILUMINADA DE 0,20X0,30X0,05 COLOR AZUL FAC,  EN CUANTO AL ACRÍLICO (FRENTE Y CANTONERA) SE TRABAJARÍA EN 3 MM, LA TAPA POSTERIOR SERIA EN POLIESTILENO CALIBRE 80, LA ILUMINACIÓN ES CON MÓDULO LED ESTILO LUPA.</t>
  </si>
  <si>
    <t>PAÑETES, MORTEROS, FILOS Y DILATACIONES</t>
  </si>
  <si>
    <t>PAÑETE IMPERMEABILIZADO MUROS 1:3 - E= 15 MM. INCLUYE SU APLICACIÓN EN FILOS, CARTERAS Y DILATACIONES"</t>
  </si>
  <si>
    <t>ALISTADO DE PISO 4CM - IMPERMEABILIZADO</t>
  </si>
  <si>
    <t>CIELO RASO</t>
  </si>
  <si>
    <t>CIELO RASO PVC  10 MM (INCLUYE ESTRUCTURA Y COMPUERTAS PARA INSPECCION) Y TODOS LOS ACCESORIOS PARA SU CORRECTA INSTALACIÓN Y FUNCIONAMIENTO.</t>
  </si>
  <si>
    <t>ACABADOS E IMPERMEABILIZACIONES</t>
  </si>
  <si>
    <t>PISO PORCELANATO 56.6X56.6CM</t>
  </si>
  <si>
    <t>GUARDAESCOBA EN PORCELANATO SELLADO DE 56,6 X 56,6 CM  H= 8CM (m)</t>
  </si>
  <si>
    <t>m</t>
  </si>
  <si>
    <t>CERÁMICA PARED ESTRUCTURADA ADARE BEIGE CU 0.30 X 0.60 Cm CORONA O SIMILAR AREA BAÑOS, INCLUYE BOQUILLA Y TODO NECESARIO PARA SU INSTALACION Y CORRECTO FUNCIONAMIENTO.</t>
  </si>
  <si>
    <t>PISO TABLÓN TRADICIONAL 30X30 ALFA-LISO CON GRANITO RUSTICO</t>
  </si>
  <si>
    <t>MESÓN EN LÁMINA DE MÁRMOL ANCHO 60CM PIEDRA NATURAL COLOR NEGRO ABSOLUTO O SIMILAR (SEGÚN PLANOS, INCLUYE REENGUEZ  (4 CMS)  Y SALPICADERO DE 0.10CMS</t>
  </si>
  <si>
    <t>PISO HANGAR</t>
  </si>
  <si>
    <t>ESCARIFICACIÓN DE PISO Y REMOCIÓN DE TORNILLOS O ELEMENTOS SOBRESALIENTES DEL PISO + LAVADO PARA REMOCIÓN DE IMPURESAS Y GRASAS + TRATAMIENTO RELLENO Y PULIDO DE JUNTAS CON ELASTOMERO DE POLIUTERANO +IMPRIMACION EN POLIURETANO DE ALTA ADHERENCIA + CAPA DE MORTERO DE NIVELACIÓN FLUIDO DE POLIUTERANO Y ARCILLA DE CUARZO + APLICACIÓN DE POLIURETANO A 3 CAPAS CON PULIDA FINAL + APLICACIÓN DE 2 CAPAS DE POLURETANO AROMATICO</t>
  </si>
  <si>
    <t>SEÑALIZACIÓN PARA DEMARCACIÓN DE ZONAS EN PINTURA EPOXICA A TRES MANOS</t>
  </si>
  <si>
    <t>ML</t>
  </si>
  <si>
    <t>ACABADOS MUROS PINTURA</t>
  </si>
  <si>
    <t>ESTUCO Y VINILO TIPO-2, 3 MANOS (INCLUYE FILOS Y DILATACIÓNES)</t>
  </si>
  <si>
    <t>ESTUCO Y PINTURA EXTERIORES EXTRABLINDAJE ANTIHONGOS ANTIALGAS,  3 MANOS (INCLUYE ESTUCO, FILOS Y DILATACIONES)</t>
  </si>
  <si>
    <t>CARPINTERIA METALICA</t>
  </si>
  <si>
    <t>ESTRUCTURA METÁLICA SEGUN PLANOS. INCLUYE TODOS LOS ELEMENTOS ESTRUCTURALES PARA SU MONTAJE Y CORRECTO FUNCIONAMIENTO, COMO TAMBIEN PINTURA EN ANTICORROSIVO Y ESMALTE.</t>
  </si>
  <si>
    <t>KG</t>
  </si>
  <si>
    <t>CARPINTERIA EN ALUMINIO Y VIDRIO</t>
  </si>
  <si>
    <t>VENTANAS EN ALUMINIO CORREDIZAS Y VIDRIOS FIJOS CON MARCOS DE 52MM LINEA KONCEPT SERIE 50 ALUMINA ANCHO PERFIL 77/43MM Y VIDRIO DE 5 MM CON PELICULA NANOCERAMICA (CONTROL DE INFRARROJOS) IR 35 100,  EN EL ÁREA DE BAÑOS Y COCINA  VIDRIO CON PELICULA DECORA, INCLUYE ANGEO)</t>
  </si>
  <si>
    <t>PUERTA EN VIDRIO TEMPLADO LAMINADO PLANILUX (4 mm) COOL-LITE ST 136 + PVB standard (2 x 0,38 mm) + PLANILUX (4 mm)  BISAGRA HIDRÁULICA (SPEEDY O SIMILAR) INCLUYE CERRADURA (YALE O SIMILAR) Y PORTA CERRADURA EN ALUMINIO PARA PUERTAS DE VIDRIO, COLOR NEGRO ACERO INOXIDABLE DE 40 CM, CHAPAS ENTRE OTROS.</t>
  </si>
  <si>
    <t>FACHADAS EN VIDRIO TEMPLADO Y/O DIVISIONES INTERNAS  DE 10MM CON SANDBLASTING   INCLUYE HERRAJES EN ACERO INOXIDABLE TIPO ESTRELLA SEGÚN DETALLE EN PLANOS O HERRAJE  SIMILAR QUE APOYE EN PLACA O COLUMNAS CON APOYOS EN TUBERÍA EN ACERO PISO TECHO SEGÚN APL</t>
  </si>
  <si>
    <t>DIVISIONES PARA BAÑO FABRICADAS EN LÁMINA DE ACERO INOXIDABLE REF. 304 -2B CALIBRE 20  TERMINADO 3 ANTIMAGNÉTICO, TIPO PANEL DOBLE LAMINA, INTERIOR EN ICOPOR PARA EFECTO ANTI ACÚSTICO, CON DISEÑO MODULAR DE FÁCIL COLOCACIÓN, CUENTA CON BISAGRAS,  ZÓCALO,BASES Y PASADOR TOTALMENTE EN ACERO INOXIDABLE,  BISAGRA CON APERTURA MAYOR DE 100°, FIJACIÓN Y NIVELACIÓN TÉCNICA SEGÚN EL CASO. PARA LOS SANITARIOS, DUCHAS Y ORINALES DE LAS BATERÍAS DE BAÑOS, EN PANELES ENTAMBORADOS DE ACERO INOXIDABLE TIPO SOCODA 304 2B CALIBRE 20.</t>
  </si>
  <si>
    <t xml:space="preserve">CUBIERTA </t>
  </si>
  <si>
    <t xml:space="preserve">TEJA EN LAMINA SIN TRASLAPO COLOR (SEGÚN UMA) EXTERIOR Y BLANCO INTERIOR  SENCILLA PANEL 2" ANCHO 45CM  CAL 24 ( INCLUYE  STANDING S 0,61XML 26 V/B, CLIP TEJA STANDING, TRAXX 3-10-16 X3/4 ) </t>
  </si>
  <si>
    <t>CABALLETE PARA TEJA STANDING SEAM</t>
  </si>
  <si>
    <t>ESTRUCTURA DE CUBIERTA EN PERFILES METÁLICOS TIPO ACESCO O SIMILAR SEGÚN PLANOS. INCLUYE TODOS LOS ELEMENTOS ESTRUCTURALES PARA SU MONTAJE Y CORRECTO FUNCIONAMIENTO COMO TEMPLETES, CONTRAVIENTOS Y OTROS ACCESORIOS, COMO TAMBIÉN PINTURA EN ANTICORROSIVO Y ESMALTE</t>
  </si>
  <si>
    <t>kg</t>
  </si>
  <si>
    <t>APARATOS SANITARIOS Y ACCESORIOS</t>
  </si>
  <si>
    <t>SANITARIO MONTECARLO ADVANCE BLANCO CORONA O SIMILAR, INCLUYE GRIFERIA Y ACCESORIOS.</t>
  </si>
  <si>
    <t>LAVAMANOS CON GRIFERÍA TIPO II</t>
  </si>
  <si>
    <t>ESPEJO BISELADO  E= 4 MM (FLOTADO EN MURO)</t>
  </si>
  <si>
    <t>m²</t>
  </si>
  <si>
    <t>LAVAPLATOS MESON EMPOTRAR ACERO INOXIDABLE 100 X 50CM CON GRIFERÍA</t>
  </si>
  <si>
    <t>ASEO GENERAL</t>
  </si>
  <si>
    <t>ASEO GENERAL INTERIOR Y EXTERIOR, FINAL DE OBRA</t>
  </si>
  <si>
    <t>RETIRO DE SOBRANTES FUERA DE LA UNIDAD</t>
  </si>
  <si>
    <t>m³</t>
  </si>
  <si>
    <t>TOTAL COSTOS DIRECTOS</t>
  </si>
  <si>
    <t>ADMINISTRACIÓN %</t>
  </si>
  <si>
    <t>A</t>
  </si>
  <si>
    <t>IMPREVISTOS %</t>
  </si>
  <si>
    <t>I</t>
  </si>
  <si>
    <t>UTILIDADES %</t>
  </si>
  <si>
    <t>U</t>
  </si>
  <si>
    <t>IVA SOBRE UTILIDAD</t>
  </si>
  <si>
    <t>%</t>
  </si>
  <si>
    <t>TOTAL COSTOS INDIRECTOS (A.I.U)+ IVA SOBRE UTILIDAD</t>
  </si>
  <si>
    <t>VALOR TOTAL OBRAS CIVILES</t>
  </si>
  <si>
    <t>COMITÉ ESTRUCTURADOR COSTOS Y PRESUPUESTOS:</t>
  </si>
  <si>
    <t>ST. BAUTISTA GARCIA DIDSON STIWARD</t>
  </si>
  <si>
    <t>INGENIERO CIVIL</t>
  </si>
  <si>
    <t xml:space="preserve">JHON BLADIMIRO ROMERO ARREDONDO         CC: 1.018.429.716 de Bogota </t>
  </si>
  <si>
    <t>INGEBLAR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</si>
</sst>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[$$-240A]\ * #,##0.00_);_([$$-240A]\ * \(#,##0.00\);_([$$-240A]\ * &quot;-&quot;??_);_(@_)"/>
    <numFmt numFmtId="165" formatCode="0.0"/>
    <numFmt numFmtId="166" formatCode="0.00000"/>
    <numFmt numFmtId="167" formatCode="0.0000"/>
    <numFmt numFmtId="168" formatCode="_-[$$-240A]\ * #,##0.00_-;\-[$$-240A]\ * #,##0.00_-;_-[$$-240A]\ * &quot;-&quot;??_-;_-@_-"/>
  </numFmts>
  <fonts count="30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rial mt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Arial"/>
      <family val="2"/>
    </font>
    <font>
      <b/>
      <sz val="16"/>
      <color theme="1"/>
      <name val="Arial"/>
      <family val="2"/>
    </font>
    <font>
      <b/>
      <sz val="18"/>
      <name val="Arial"/>
      <family val="2"/>
    </font>
    <font>
      <b/>
      <sz val="18"/>
      <color theme="1"/>
      <name val="Arial"/>
      <family val="2"/>
    </font>
    <font>
      <b/>
      <sz val="12"/>
      <color theme="1"/>
      <name val="Arial mt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 mt"/>
    </font>
    <font>
      <sz val="10"/>
      <name val="Arial"/>
      <family val="2"/>
    </font>
    <font>
      <b/>
      <sz val="12"/>
      <color theme="1"/>
      <name val="Aptos Narrow"/>
      <family val="2"/>
      <scheme val="minor"/>
    </font>
    <font>
      <b/>
      <sz val="10"/>
      <name val="Arial"/>
      <family val="2"/>
    </font>
    <font>
      <b/>
      <sz val="14"/>
      <color theme="1"/>
      <name val="Arial"/>
      <family val="2"/>
    </font>
    <font>
      <b/>
      <sz val="18"/>
      <color rgb="FFFF0000"/>
      <name val="Arial"/>
      <family val="2"/>
    </font>
    <font>
      <sz val="12"/>
      <name val="Arial mt"/>
    </font>
    <font>
      <sz val="12"/>
      <name val="Arial"/>
      <family val="2"/>
    </font>
    <font>
      <b/>
      <sz val="14"/>
      <name val="Arial"/>
      <family val="2"/>
    </font>
    <font>
      <b/>
      <sz val="12"/>
      <name val="Arial mt"/>
    </font>
    <font>
      <b/>
      <sz val="12"/>
      <name val="Arial"/>
      <family val="2"/>
    </font>
    <font>
      <b/>
      <u/>
      <sz val="9"/>
      <name val="Arial"/>
      <family val="2"/>
    </font>
    <font>
      <b/>
      <sz val="11"/>
      <name val="Arial"/>
      <family val="2"/>
    </font>
    <font>
      <b/>
      <u/>
      <sz val="10"/>
      <name val="Arial"/>
      <family val="2"/>
    </font>
    <font>
      <sz val="9"/>
      <name val="Arial"/>
      <family val="2"/>
    </font>
    <font>
      <sz val="1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3" fillId="0" borderId="0"/>
    <xf numFmtId="44" fontId="1" fillId="0" borderId="0" applyFont="0" applyFill="0" applyBorder="0" applyAlignment="0" applyProtection="0"/>
  </cellStyleXfs>
  <cellXfs count="244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 wrapText="1"/>
    </xf>
    <xf numFmtId="43" fontId="0" fillId="0" borderId="0" xfId="1" applyFont="1" applyAlignment="1">
      <alignment horizontal="center" vertical="center"/>
    </xf>
    <xf numFmtId="43" fontId="0" fillId="0" borderId="0" xfId="1" applyFont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43" fontId="3" fillId="0" borderId="9" xfId="1" applyFont="1" applyBorder="1" applyAlignment="1" applyProtection="1">
      <alignment horizontal="center" vertical="center"/>
    </xf>
    <xf numFmtId="14" fontId="5" fillId="5" borderId="12" xfId="1" applyNumberFormat="1" applyFont="1" applyFill="1" applyBorder="1" applyAlignment="1">
      <alignment horizontal="center" vertical="center"/>
    </xf>
    <xf numFmtId="43" fontId="8" fillId="6" borderId="13" xfId="1" applyFont="1" applyFill="1" applyBorder="1" applyAlignment="1">
      <alignment vertical="center"/>
    </xf>
    <xf numFmtId="43" fontId="7" fillId="7" borderId="13" xfId="1" applyFont="1" applyFill="1" applyBorder="1" applyAlignment="1">
      <alignment horizontal="center" vertical="center" wrapText="1"/>
    </xf>
    <xf numFmtId="43" fontId="7" fillId="8" borderId="13" xfId="1" applyFont="1" applyFill="1" applyBorder="1" applyAlignment="1">
      <alignment horizontal="center" vertical="center" wrapText="1"/>
    </xf>
    <xf numFmtId="43" fontId="7" fillId="9" borderId="13" xfId="1" applyFont="1" applyFill="1" applyBorder="1" applyAlignment="1">
      <alignment horizontal="center" vertical="center" wrapText="1"/>
    </xf>
    <xf numFmtId="0" fontId="9" fillId="6" borderId="13" xfId="0" applyFont="1" applyFill="1" applyBorder="1" applyAlignment="1">
      <alignment horizontal="center" vertical="center" wrapText="1"/>
    </xf>
    <xf numFmtId="0" fontId="10" fillId="6" borderId="13" xfId="0" applyFont="1" applyFill="1" applyBorder="1" applyAlignment="1">
      <alignment horizontal="center" vertical="center"/>
    </xf>
    <xf numFmtId="43" fontId="3" fillId="6" borderId="13" xfId="1" applyFont="1" applyFill="1" applyBorder="1" applyAlignment="1" applyProtection="1">
      <alignment horizontal="center" vertical="center" wrapText="1"/>
    </xf>
    <xf numFmtId="43" fontId="3" fillId="6" borderId="13" xfId="1" applyFont="1" applyFill="1" applyBorder="1" applyAlignment="1" applyProtection="1">
      <alignment horizontal="center" vertical="center"/>
    </xf>
    <xf numFmtId="43" fontId="5" fillId="6" borderId="13" xfId="1" applyFont="1" applyFill="1" applyBorder="1" applyAlignment="1">
      <alignment horizontal="center" vertical="center"/>
    </xf>
    <xf numFmtId="0" fontId="9" fillId="8" borderId="13" xfId="0" applyFont="1" applyFill="1" applyBorder="1" applyAlignment="1">
      <alignment vertical="center" wrapText="1"/>
    </xf>
    <xf numFmtId="0" fontId="3" fillId="8" borderId="13" xfId="0" applyFont="1" applyFill="1" applyBorder="1" applyAlignment="1">
      <alignment vertical="center" wrapText="1"/>
    </xf>
    <xf numFmtId="0" fontId="3" fillId="8" borderId="13" xfId="0" applyFont="1" applyFill="1" applyBorder="1" applyAlignment="1">
      <alignment horizontal="center" vertical="center" wrapText="1"/>
    </xf>
    <xf numFmtId="43" fontId="5" fillId="8" borderId="13" xfId="1" applyFont="1" applyFill="1" applyBorder="1" applyAlignment="1">
      <alignment horizontal="right" vertical="center"/>
    </xf>
    <xf numFmtId="0" fontId="12" fillId="0" borderId="13" xfId="0" applyFont="1" applyBorder="1" applyAlignment="1">
      <alignment vertical="center" wrapText="1"/>
    </xf>
    <xf numFmtId="0" fontId="4" fillId="0" borderId="13" xfId="0" applyFont="1" applyBorder="1" applyAlignment="1">
      <alignment horizontal="center" vertical="center"/>
    </xf>
    <xf numFmtId="2" fontId="11" fillId="0" borderId="13" xfId="0" applyNumberFormat="1" applyFont="1" applyBorder="1" applyAlignment="1">
      <alignment horizontal="center" vertical="center"/>
    </xf>
    <xf numFmtId="164" fontId="11" fillId="0" borderId="13" xfId="0" applyNumberFormat="1" applyFont="1" applyBorder="1" applyAlignment="1">
      <alignment horizontal="right" vertical="center"/>
    </xf>
    <xf numFmtId="0" fontId="12" fillId="0" borderId="13" xfId="2" applyFont="1" applyBorder="1" applyAlignment="1">
      <alignment vertical="center" wrapText="1"/>
    </xf>
    <xf numFmtId="164" fontId="11" fillId="0" borderId="13" xfId="2" applyNumberFormat="1" applyFont="1" applyBorder="1" applyAlignment="1">
      <alignment horizontal="right" vertical="center"/>
    </xf>
    <xf numFmtId="0" fontId="4" fillId="0" borderId="13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11" fillId="0" borderId="13" xfId="2" applyFont="1" applyBorder="1" applyAlignment="1">
      <alignment horizontal="center" vertical="center"/>
    </xf>
    <xf numFmtId="0" fontId="9" fillId="8" borderId="13" xfId="2" applyFont="1" applyFill="1" applyBorder="1" applyAlignment="1">
      <alignment vertical="center" wrapText="1"/>
    </xf>
    <xf numFmtId="0" fontId="11" fillId="8" borderId="13" xfId="2" applyFont="1" applyFill="1" applyBorder="1" applyAlignment="1">
      <alignment horizontal="center" vertical="center" wrapText="1"/>
    </xf>
    <xf numFmtId="0" fontId="14" fillId="0" borderId="0" xfId="0" applyFont="1" applyAlignment="1">
      <alignment horizontal="right" vertical="center"/>
    </xf>
    <xf numFmtId="0" fontId="11" fillId="0" borderId="13" xfId="0" applyFont="1" applyBorder="1" applyAlignment="1">
      <alignment horizontal="center" vertical="center"/>
    </xf>
    <xf numFmtId="0" fontId="9" fillId="5" borderId="13" xfId="0" applyFont="1" applyFill="1" applyBorder="1" applyAlignment="1">
      <alignment vertical="center" wrapText="1"/>
    </xf>
    <xf numFmtId="0" fontId="3" fillId="5" borderId="13" xfId="0" applyFont="1" applyFill="1" applyBorder="1" applyAlignment="1">
      <alignment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15" fillId="9" borderId="17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165" fontId="12" fillId="0" borderId="13" xfId="0" applyNumberFormat="1" applyFont="1" applyBorder="1" applyAlignment="1">
      <alignment horizontal="center" vertical="center" wrapText="1"/>
    </xf>
    <xf numFmtId="0" fontId="4" fillId="0" borderId="18" xfId="0" applyFont="1" applyBorder="1" applyAlignment="1">
      <alignment vertical="center" wrapText="1"/>
    </xf>
    <xf numFmtId="165" fontId="12" fillId="0" borderId="18" xfId="0" applyNumberFormat="1" applyFont="1" applyBorder="1" applyAlignment="1">
      <alignment horizontal="center" vertical="center" wrapText="1"/>
    </xf>
    <xf numFmtId="164" fontId="11" fillId="0" borderId="18" xfId="2" applyNumberFormat="1" applyFont="1" applyBorder="1" applyAlignment="1">
      <alignment horizontal="right" vertical="center"/>
    </xf>
    <xf numFmtId="0" fontId="15" fillId="9" borderId="19" xfId="0" applyFont="1" applyFill="1" applyBorder="1" applyAlignment="1">
      <alignment horizontal="center" vertical="center"/>
    </xf>
    <xf numFmtId="2" fontId="11" fillId="0" borderId="13" xfId="1" applyNumberFormat="1" applyFont="1" applyFill="1" applyBorder="1" applyAlignment="1" applyProtection="1">
      <alignment horizontal="center" vertical="center"/>
    </xf>
    <xf numFmtId="0" fontId="10" fillId="5" borderId="13" xfId="0" applyFont="1" applyFill="1" applyBorder="1" applyAlignment="1">
      <alignment vertical="center" wrapText="1"/>
    </xf>
    <xf numFmtId="0" fontId="9" fillId="3" borderId="13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9" fillId="10" borderId="13" xfId="2" applyFont="1" applyFill="1" applyBorder="1" applyAlignment="1">
      <alignment vertical="center" wrapText="1"/>
    </xf>
    <xf numFmtId="0" fontId="5" fillId="10" borderId="13" xfId="2" applyFont="1" applyFill="1" applyBorder="1" applyAlignment="1">
      <alignment horizontal="center" vertical="center"/>
    </xf>
    <xf numFmtId="0" fontId="15" fillId="9" borderId="20" xfId="0" applyFont="1" applyFill="1" applyBorder="1" applyAlignment="1">
      <alignment horizontal="left" vertical="center" wrapText="1"/>
    </xf>
    <xf numFmtId="0" fontId="12" fillId="0" borderId="21" xfId="0" applyFont="1" applyBorder="1" applyAlignment="1">
      <alignment vertical="center" wrapText="1"/>
    </xf>
    <xf numFmtId="0" fontId="11" fillId="0" borderId="21" xfId="0" applyFont="1" applyBorder="1" applyAlignment="1">
      <alignment horizontal="center" vertical="center"/>
    </xf>
    <xf numFmtId="2" fontId="11" fillId="0" borderId="21" xfId="0" applyNumberFormat="1" applyFont="1" applyBorder="1" applyAlignment="1">
      <alignment horizontal="center" vertical="center"/>
    </xf>
    <xf numFmtId="164" fontId="11" fillId="0" borderId="21" xfId="0" applyNumberFormat="1" applyFont="1" applyBorder="1" applyAlignment="1">
      <alignment horizontal="right" vertical="center"/>
    </xf>
    <xf numFmtId="0" fontId="15" fillId="5" borderId="24" xfId="0" applyFont="1" applyFill="1" applyBorder="1" applyAlignment="1">
      <alignment horizontal="left" vertical="center" wrapText="1"/>
    </xf>
    <xf numFmtId="0" fontId="15" fillId="5" borderId="21" xfId="0" applyFont="1" applyFill="1" applyBorder="1" applyAlignment="1">
      <alignment horizontal="left" vertical="center" wrapText="1"/>
    </xf>
    <xf numFmtId="0" fontId="15" fillId="5" borderId="20" xfId="0" applyFont="1" applyFill="1" applyBorder="1" applyAlignment="1">
      <alignment horizontal="left" vertical="center" wrapText="1"/>
    </xf>
    <xf numFmtId="0" fontId="15" fillId="5" borderId="13" xfId="0" applyFont="1" applyFill="1" applyBorder="1" applyAlignment="1">
      <alignment vertical="center" wrapText="1"/>
    </xf>
    <xf numFmtId="0" fontId="15" fillId="9" borderId="25" xfId="0" applyFont="1" applyFill="1" applyBorder="1" applyAlignment="1">
      <alignment horizontal="left" vertical="center" wrapText="1"/>
    </xf>
    <xf numFmtId="166" fontId="11" fillId="0" borderId="13" xfId="0" applyNumberFormat="1" applyFont="1" applyBorder="1" applyAlignment="1">
      <alignment horizontal="center" vertical="center"/>
    </xf>
    <xf numFmtId="0" fontId="15" fillId="5" borderId="26" xfId="0" applyFont="1" applyFill="1" applyBorder="1" applyAlignment="1">
      <alignment horizontal="center" vertical="center"/>
    </xf>
    <xf numFmtId="0" fontId="15" fillId="5" borderId="27" xfId="0" applyFont="1" applyFill="1" applyBorder="1" applyAlignment="1">
      <alignment horizontal="left" vertical="center" wrapText="1"/>
    </xf>
    <xf numFmtId="0" fontId="3" fillId="5" borderId="22" xfId="0" applyFont="1" applyFill="1" applyBorder="1" applyAlignment="1">
      <alignment vertical="center" wrapText="1"/>
    </xf>
    <xf numFmtId="0" fontId="3" fillId="5" borderId="22" xfId="0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horizontal="left" vertical="center" wrapText="1"/>
    </xf>
    <xf numFmtId="0" fontId="3" fillId="5" borderId="23" xfId="0" applyFont="1" applyFill="1" applyBorder="1" applyAlignment="1">
      <alignment vertical="center" wrapText="1"/>
    </xf>
    <xf numFmtId="0" fontId="3" fillId="5" borderId="23" xfId="0" applyFont="1" applyFill="1" applyBorder="1" applyAlignment="1">
      <alignment horizontal="center" vertical="center" wrapText="1"/>
    </xf>
    <xf numFmtId="2" fontId="11" fillId="0" borderId="13" xfId="2" applyNumberFormat="1" applyFont="1" applyBorder="1" applyAlignment="1">
      <alignment horizontal="center" vertical="center"/>
    </xf>
    <xf numFmtId="167" fontId="11" fillId="0" borderId="13" xfId="0" applyNumberFormat="1" applyFont="1" applyBorder="1" applyAlignment="1">
      <alignment horizontal="center" vertical="center"/>
    </xf>
    <xf numFmtId="0" fontId="15" fillId="5" borderId="17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vertical="center"/>
    </xf>
    <xf numFmtId="0" fontId="2" fillId="0" borderId="13" xfId="0" applyFont="1" applyBorder="1" applyAlignment="1">
      <alignment vertical="center" wrapText="1"/>
    </xf>
    <xf numFmtId="43" fontId="5" fillId="6" borderId="13" xfId="1" applyFont="1" applyFill="1" applyBorder="1" applyAlignment="1">
      <alignment horizontal="right" vertical="center"/>
    </xf>
    <xf numFmtId="0" fontId="13" fillId="4" borderId="1" xfId="0" applyFont="1" applyFill="1" applyBorder="1" applyAlignment="1">
      <alignment horizontal="center" vertical="center"/>
    </xf>
    <xf numFmtId="0" fontId="18" fillId="4" borderId="2" xfId="0" applyFont="1" applyFill="1" applyBorder="1" applyAlignment="1">
      <alignment vertical="center" wrapText="1"/>
    </xf>
    <xf numFmtId="0" fontId="19" fillId="4" borderId="2" xfId="0" applyFont="1" applyFill="1" applyBorder="1" applyAlignment="1">
      <alignment vertical="center"/>
    </xf>
    <xf numFmtId="43" fontId="13" fillId="4" borderId="2" xfId="1" applyFont="1" applyFill="1" applyBorder="1" applyAlignment="1" applyProtection="1">
      <alignment horizontal="center" vertical="center"/>
    </xf>
    <xf numFmtId="43" fontId="13" fillId="4" borderId="2" xfId="1" applyFont="1" applyFill="1" applyBorder="1" applyAlignment="1" applyProtection="1">
      <alignment horizontal="right" vertical="center"/>
    </xf>
    <xf numFmtId="43" fontId="20" fillId="4" borderId="3" xfId="1" applyFont="1" applyFill="1" applyBorder="1" applyAlignment="1">
      <alignment vertical="center"/>
    </xf>
    <xf numFmtId="0" fontId="13" fillId="4" borderId="4" xfId="0" applyFont="1" applyFill="1" applyBorder="1" applyAlignment="1">
      <alignment horizontal="center" vertical="center"/>
    </xf>
    <xf numFmtId="43" fontId="13" fillId="4" borderId="0" xfId="1" applyFont="1" applyFill="1" applyBorder="1" applyAlignment="1" applyProtection="1">
      <alignment horizontal="center" vertical="center"/>
    </xf>
    <xf numFmtId="43" fontId="20" fillId="4" borderId="5" xfId="1" applyFont="1" applyFill="1" applyBorder="1" applyAlignment="1">
      <alignment vertical="center"/>
    </xf>
    <xf numFmtId="0" fontId="15" fillId="4" borderId="4" xfId="0" applyFont="1" applyFill="1" applyBorder="1" applyAlignment="1">
      <alignment horizontal="left" vertical="center"/>
    </xf>
    <xf numFmtId="43" fontId="15" fillId="4" borderId="5" xfId="1" applyFont="1" applyFill="1" applyBorder="1" applyAlignment="1">
      <alignment horizontal="left" vertical="center" wrapText="1"/>
    </xf>
    <xf numFmtId="43" fontId="13" fillId="4" borderId="0" xfId="1" applyFont="1" applyFill="1" applyBorder="1" applyAlignment="1" applyProtection="1">
      <alignment horizontal="right" vertical="center"/>
    </xf>
    <xf numFmtId="43" fontId="15" fillId="4" borderId="0" xfId="1" applyFont="1" applyFill="1" applyBorder="1" applyAlignment="1" applyProtection="1">
      <alignment horizontal="center" vertical="center"/>
    </xf>
    <xf numFmtId="43" fontId="24" fillId="4" borderId="5" xfId="1" applyFont="1" applyFill="1" applyBorder="1" applyAlignment="1">
      <alignment vertical="center"/>
    </xf>
    <xf numFmtId="0" fontId="25" fillId="4" borderId="4" xfId="0" applyFont="1" applyFill="1" applyBorder="1" applyAlignment="1" applyProtection="1">
      <alignment vertical="center"/>
      <protection hidden="1"/>
    </xf>
    <xf numFmtId="0" fontId="13" fillId="4" borderId="6" xfId="0" applyFont="1" applyFill="1" applyBorder="1" applyAlignment="1">
      <alignment horizontal="left" vertical="center"/>
    </xf>
    <xf numFmtId="0" fontId="18" fillId="4" borderId="7" xfId="0" applyFont="1" applyFill="1" applyBorder="1" applyAlignment="1">
      <alignment vertical="center" wrapText="1"/>
    </xf>
    <xf numFmtId="0" fontId="19" fillId="4" borderId="7" xfId="0" applyFont="1" applyFill="1" applyBorder="1" applyAlignment="1">
      <alignment vertical="center"/>
    </xf>
    <xf numFmtId="43" fontId="13" fillId="4" borderId="7" xfId="1" applyFont="1" applyFill="1" applyBorder="1" applyAlignment="1">
      <alignment horizontal="center" vertical="center" wrapText="1"/>
    </xf>
    <xf numFmtId="43" fontId="13" fillId="4" borderId="7" xfId="1" applyFont="1" applyFill="1" applyBorder="1" applyAlignment="1">
      <alignment horizontal="left" vertical="center" wrapText="1"/>
    </xf>
    <xf numFmtId="43" fontId="27" fillId="4" borderId="8" xfId="1" applyFont="1" applyFill="1" applyBorder="1" applyAlignment="1">
      <alignment vertical="center"/>
    </xf>
    <xf numFmtId="43" fontId="11" fillId="0" borderId="13" xfId="1" applyFont="1" applyBorder="1" applyAlignment="1">
      <alignment horizontal="right" vertical="center"/>
    </xf>
    <xf numFmtId="0" fontId="7" fillId="8" borderId="13" xfId="0" applyFont="1" applyFill="1" applyBorder="1" applyAlignment="1">
      <alignment vertical="center" wrapText="1"/>
    </xf>
    <xf numFmtId="0" fontId="21" fillId="8" borderId="13" xfId="0" applyFont="1" applyFill="1" applyBorder="1" applyAlignment="1">
      <alignment vertical="center" wrapText="1"/>
    </xf>
    <xf numFmtId="0" fontId="7" fillId="8" borderId="13" xfId="0" applyFont="1" applyFill="1" applyBorder="1" applyAlignment="1">
      <alignment horizontal="center" vertical="center" wrapText="1"/>
    </xf>
    <xf numFmtId="43" fontId="3" fillId="6" borderId="13" xfId="1" applyFont="1" applyFill="1" applyBorder="1" applyAlignment="1" applyProtection="1">
      <alignment horizontal="center" vertical="center"/>
      <protection locked="0"/>
    </xf>
    <xf numFmtId="0" fontId="15" fillId="8" borderId="13" xfId="0" applyFont="1" applyFill="1" applyBorder="1" applyAlignment="1" applyProtection="1">
      <alignment vertical="center" wrapText="1"/>
      <protection locked="0"/>
    </xf>
    <xf numFmtId="164" fontId="5" fillId="0" borderId="14" xfId="0" applyNumberFormat="1" applyFont="1" applyBorder="1" applyAlignment="1">
      <alignment horizontal="right" vertical="center"/>
    </xf>
    <xf numFmtId="43" fontId="5" fillId="8" borderId="14" xfId="1" applyFont="1" applyFill="1" applyBorder="1" applyAlignment="1">
      <alignment horizontal="right" vertical="center"/>
    </xf>
    <xf numFmtId="164" fontId="9" fillId="5" borderId="14" xfId="0" applyNumberFormat="1" applyFont="1" applyFill="1" applyBorder="1" applyAlignment="1">
      <alignment vertical="center" wrapText="1"/>
    </xf>
    <xf numFmtId="43" fontId="5" fillId="5" borderId="14" xfId="1" applyFont="1" applyFill="1" applyBorder="1" applyAlignment="1">
      <alignment horizontal="right" vertical="center"/>
    </xf>
    <xf numFmtId="0" fontId="15" fillId="9" borderId="9" xfId="0" applyFont="1" applyFill="1" applyBorder="1" applyAlignment="1">
      <alignment horizontal="center" vertical="center"/>
    </xf>
    <xf numFmtId="0" fontId="12" fillId="0" borderId="14" xfId="0" applyFont="1" applyBorder="1" applyAlignment="1">
      <alignment vertical="center" wrapText="1"/>
    </xf>
    <xf numFmtId="43" fontId="5" fillId="0" borderId="14" xfId="1" applyFont="1" applyFill="1" applyBorder="1" applyAlignment="1">
      <alignment horizontal="right" vertical="center"/>
    </xf>
    <xf numFmtId="43" fontId="11" fillId="0" borderId="14" xfId="1" applyFont="1" applyFill="1" applyBorder="1" applyAlignment="1">
      <alignment vertical="center"/>
    </xf>
    <xf numFmtId="43" fontId="5" fillId="3" borderId="14" xfId="1" applyFont="1" applyFill="1" applyBorder="1" applyAlignment="1">
      <alignment horizontal="right" vertical="center"/>
    </xf>
    <xf numFmtId="0" fontId="5" fillId="10" borderId="14" xfId="2" applyFont="1" applyFill="1" applyBorder="1" applyAlignment="1">
      <alignment horizontal="center" vertical="center"/>
    </xf>
    <xf numFmtId="164" fontId="5" fillId="6" borderId="14" xfId="0" applyNumberFormat="1" applyFont="1" applyFill="1" applyBorder="1" applyAlignment="1">
      <alignment horizontal="right" vertical="center"/>
    </xf>
    <xf numFmtId="0" fontId="11" fillId="0" borderId="14" xfId="0" applyFont="1" applyBorder="1" applyAlignment="1">
      <alignment vertical="center" wrapText="1"/>
    </xf>
    <xf numFmtId="164" fontId="5" fillId="0" borderId="30" xfId="0" applyNumberFormat="1" applyFont="1" applyBorder="1" applyAlignment="1">
      <alignment horizontal="right" vertical="center"/>
    </xf>
    <xf numFmtId="164" fontId="5" fillId="0" borderId="31" xfId="0" applyNumberFormat="1" applyFont="1" applyBorder="1" applyAlignment="1">
      <alignment horizontal="right" vertical="center"/>
    </xf>
    <xf numFmtId="43" fontId="5" fillId="9" borderId="9" xfId="1" applyFont="1" applyFill="1" applyBorder="1" applyAlignment="1">
      <alignment horizontal="right" vertical="center"/>
    </xf>
    <xf numFmtId="164" fontId="5" fillId="0" borderId="32" xfId="0" applyNumberFormat="1" applyFont="1" applyBorder="1" applyAlignment="1">
      <alignment horizontal="right" vertical="center"/>
    </xf>
    <xf numFmtId="43" fontId="5" fillId="5" borderId="31" xfId="1" applyFont="1" applyFill="1" applyBorder="1" applyAlignment="1">
      <alignment horizontal="right" vertical="center"/>
    </xf>
    <xf numFmtId="43" fontId="5" fillId="5" borderId="32" xfId="1" applyFont="1" applyFill="1" applyBorder="1" applyAlignment="1">
      <alignment horizontal="right" vertical="center"/>
    </xf>
    <xf numFmtId="43" fontId="5" fillId="6" borderId="31" xfId="1" applyFont="1" applyFill="1" applyBorder="1" applyAlignment="1">
      <alignment horizontal="right" vertical="center"/>
    </xf>
    <xf numFmtId="43" fontId="0" fillId="0" borderId="14" xfId="1" applyFont="1" applyBorder="1" applyAlignment="1">
      <alignment vertical="center"/>
    </xf>
    <xf numFmtId="43" fontId="5" fillId="6" borderId="14" xfId="1" applyFont="1" applyFill="1" applyBorder="1" applyAlignment="1">
      <alignment horizontal="right" vertical="center"/>
    </xf>
    <xf numFmtId="43" fontId="17" fillId="6" borderId="14" xfId="1" applyFont="1" applyFill="1" applyBorder="1" applyAlignment="1">
      <alignment horizontal="right" vertical="center"/>
    </xf>
    <xf numFmtId="0" fontId="0" fillId="0" borderId="13" xfId="0" applyBorder="1" applyAlignment="1">
      <alignment vertical="center"/>
    </xf>
    <xf numFmtId="168" fontId="0" fillId="0" borderId="0" xfId="0" applyNumberFormat="1" applyAlignment="1">
      <alignment vertical="center"/>
    </xf>
    <xf numFmtId="44" fontId="0" fillId="0" borderId="13" xfId="3" applyFont="1" applyBorder="1" applyAlignment="1">
      <alignment vertical="center"/>
    </xf>
    <xf numFmtId="43" fontId="15" fillId="4" borderId="5" xfId="1" applyFont="1" applyFill="1" applyBorder="1" applyAlignment="1">
      <alignment vertical="center" wrapText="1"/>
    </xf>
    <xf numFmtId="43" fontId="15" fillId="4" borderId="5" xfId="1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  <xf numFmtId="43" fontId="8" fillId="6" borderId="34" xfId="1" applyFont="1" applyFill="1" applyBorder="1" applyAlignment="1">
      <alignment vertical="center"/>
    </xf>
    <xf numFmtId="43" fontId="7" fillId="7" borderId="34" xfId="1" applyFont="1" applyFill="1" applyBorder="1" applyAlignment="1">
      <alignment horizontal="center" vertical="center" wrapText="1"/>
    </xf>
    <xf numFmtId="43" fontId="7" fillId="8" borderId="34" xfId="1" applyFont="1" applyFill="1" applyBorder="1" applyAlignment="1">
      <alignment horizontal="center" vertical="center" wrapText="1"/>
    </xf>
    <xf numFmtId="43" fontId="7" fillId="9" borderId="34" xfId="1" applyFont="1" applyFill="1" applyBorder="1" applyAlignment="1">
      <alignment horizontal="center" vertical="center" wrapText="1"/>
    </xf>
    <xf numFmtId="0" fontId="3" fillId="6" borderId="33" xfId="0" applyFont="1" applyFill="1" applyBorder="1" applyAlignment="1">
      <alignment horizontal="center" vertical="center"/>
    </xf>
    <xf numFmtId="43" fontId="5" fillId="6" borderId="34" xfId="1" applyFont="1" applyFill="1" applyBorder="1" applyAlignment="1">
      <alignment horizontal="center" vertical="center"/>
    </xf>
    <xf numFmtId="0" fontId="3" fillId="8" borderId="33" xfId="0" applyFont="1" applyFill="1" applyBorder="1" applyAlignment="1">
      <alignment horizontal="center" vertical="center"/>
    </xf>
    <xf numFmtId="43" fontId="5" fillId="8" borderId="34" xfId="1" applyFont="1" applyFill="1" applyBorder="1" applyAlignment="1">
      <alignment horizontal="right" vertical="center"/>
    </xf>
    <xf numFmtId="0" fontId="11" fillId="0" borderId="33" xfId="0" applyFont="1" applyBorder="1" applyAlignment="1">
      <alignment horizontal="center" vertical="center" wrapText="1"/>
    </xf>
    <xf numFmtId="164" fontId="5" fillId="0" borderId="34" xfId="0" applyNumberFormat="1" applyFont="1" applyBorder="1" applyAlignment="1">
      <alignment horizontal="right" vertical="center"/>
    </xf>
    <xf numFmtId="2" fontId="11" fillId="0" borderId="33" xfId="0" applyNumberFormat="1" applyFont="1" applyBorder="1" applyAlignment="1">
      <alignment horizontal="center" vertical="center" wrapText="1"/>
    </xf>
    <xf numFmtId="0" fontId="5" fillId="8" borderId="33" xfId="2" applyFont="1" applyFill="1" applyBorder="1" applyAlignment="1">
      <alignment horizontal="center" vertical="center" wrapText="1"/>
    </xf>
    <xf numFmtId="0" fontId="9" fillId="5" borderId="33" xfId="0" applyFont="1" applyFill="1" applyBorder="1" applyAlignment="1">
      <alignment horizontal="center" vertical="center" wrapText="1"/>
    </xf>
    <xf numFmtId="164" fontId="9" fillId="5" borderId="34" xfId="0" applyNumberFormat="1" applyFont="1" applyFill="1" applyBorder="1" applyAlignment="1">
      <alignment vertical="center" wrapText="1"/>
    </xf>
    <xf numFmtId="0" fontId="11" fillId="0" borderId="33" xfId="2" applyFont="1" applyBorder="1" applyAlignment="1">
      <alignment horizontal="center" vertical="center" wrapText="1"/>
    </xf>
    <xf numFmtId="0" fontId="3" fillId="5" borderId="33" xfId="0" applyFont="1" applyFill="1" applyBorder="1" applyAlignment="1">
      <alignment horizontal="center" vertical="center"/>
    </xf>
    <xf numFmtId="43" fontId="5" fillId="5" borderId="34" xfId="1" applyFont="1" applyFill="1" applyBorder="1" applyAlignment="1">
      <alignment horizontal="right" vertical="center"/>
    </xf>
    <xf numFmtId="0" fontId="15" fillId="9" borderId="12" xfId="0" applyFont="1" applyFill="1" applyBorder="1" applyAlignment="1">
      <alignment horizontal="center" vertical="center"/>
    </xf>
    <xf numFmtId="0" fontId="4" fillId="0" borderId="33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3" fillId="0" borderId="33" xfId="0" applyFont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43" fontId="5" fillId="3" borderId="34" xfId="1" applyFont="1" applyFill="1" applyBorder="1" applyAlignment="1">
      <alignment horizontal="right" vertical="center"/>
    </xf>
    <xf numFmtId="0" fontId="5" fillId="10" borderId="33" xfId="2" applyFont="1" applyFill="1" applyBorder="1" applyAlignment="1">
      <alignment horizontal="center" vertical="center" wrapText="1"/>
    </xf>
    <xf numFmtId="0" fontId="5" fillId="10" borderId="34" xfId="2" applyFont="1" applyFill="1" applyBorder="1" applyAlignment="1">
      <alignment horizontal="center" vertical="center"/>
    </xf>
    <xf numFmtId="164" fontId="5" fillId="6" borderId="34" xfId="0" applyNumberFormat="1" applyFont="1" applyFill="1" applyBorder="1" applyAlignment="1">
      <alignment horizontal="right" vertical="center"/>
    </xf>
    <xf numFmtId="0" fontId="15" fillId="9" borderId="36" xfId="0" applyFont="1" applyFill="1" applyBorder="1" applyAlignment="1">
      <alignment horizontal="left" vertical="center" wrapText="1"/>
    </xf>
    <xf numFmtId="0" fontId="15" fillId="9" borderId="17" xfId="0" applyFont="1" applyFill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3" fillId="5" borderId="38" xfId="0" applyFont="1" applyFill="1" applyBorder="1" applyAlignment="1">
      <alignment horizontal="center" vertical="center"/>
    </xf>
    <xf numFmtId="0" fontId="15" fillId="5" borderId="33" xfId="0" applyFont="1" applyFill="1" applyBorder="1" applyAlignment="1">
      <alignment horizontal="center" vertical="center"/>
    </xf>
    <xf numFmtId="0" fontId="15" fillId="9" borderId="17" xfId="0" applyFont="1" applyFill="1" applyBorder="1" applyAlignment="1">
      <alignment horizontal="left" vertical="center" wrapText="1"/>
    </xf>
    <xf numFmtId="43" fontId="5" fillId="9" borderId="12" xfId="1" applyFont="1" applyFill="1" applyBorder="1" applyAlignment="1">
      <alignment horizontal="right" vertical="center"/>
    </xf>
    <xf numFmtId="43" fontId="5" fillId="5" borderId="39" xfId="1" applyFont="1" applyFill="1" applyBorder="1" applyAlignment="1">
      <alignment horizontal="right" vertical="center"/>
    </xf>
    <xf numFmtId="0" fontId="15" fillId="0" borderId="33" xfId="0" applyFont="1" applyBorder="1" applyAlignment="1">
      <alignment horizontal="center" vertical="center"/>
    </xf>
    <xf numFmtId="43" fontId="5" fillId="5" borderId="40" xfId="1" applyFont="1" applyFill="1" applyBorder="1" applyAlignment="1">
      <alignment horizontal="right" vertical="center"/>
    </xf>
    <xf numFmtId="43" fontId="5" fillId="6" borderId="39" xfId="1" applyFont="1" applyFill="1" applyBorder="1" applyAlignment="1">
      <alignment horizontal="right" vertical="center"/>
    </xf>
    <xf numFmtId="43" fontId="0" fillId="0" borderId="34" xfId="1" applyFont="1" applyBorder="1" applyAlignment="1">
      <alignment vertical="center"/>
    </xf>
    <xf numFmtId="43" fontId="5" fillId="6" borderId="34" xfId="1" applyFont="1" applyFill="1" applyBorder="1" applyAlignment="1">
      <alignment horizontal="right" vertical="center"/>
    </xf>
    <xf numFmtId="43" fontId="17" fillId="6" borderId="34" xfId="1" applyFont="1" applyFill="1" applyBorder="1" applyAlignment="1">
      <alignment horizontal="right" vertical="center"/>
    </xf>
    <xf numFmtId="0" fontId="21" fillId="4" borderId="0" xfId="0" applyFont="1" applyFill="1" applyAlignment="1">
      <alignment vertical="center" wrapText="1"/>
    </xf>
    <xf numFmtId="0" fontId="19" fillId="4" borderId="0" xfId="0" applyFont="1" applyFill="1" applyAlignment="1">
      <alignment vertical="center"/>
    </xf>
    <xf numFmtId="0" fontId="22" fillId="4" borderId="0" xfId="0" applyFont="1" applyFill="1" applyAlignment="1">
      <alignment horizontal="left" vertical="center"/>
    </xf>
    <xf numFmtId="43" fontId="15" fillId="4" borderId="0" xfId="1" applyFont="1" applyFill="1" applyBorder="1" applyAlignment="1">
      <alignment horizontal="center" vertical="center" wrapText="1"/>
    </xf>
    <xf numFmtId="43" fontId="15" fillId="4" borderId="0" xfId="1" applyFont="1" applyFill="1" applyBorder="1" applyAlignment="1">
      <alignment horizontal="left" vertical="center" wrapText="1"/>
    </xf>
    <xf numFmtId="0" fontId="18" fillId="4" borderId="0" xfId="0" applyFont="1" applyFill="1" applyAlignment="1">
      <alignment vertical="center" wrapText="1"/>
    </xf>
    <xf numFmtId="0" fontId="19" fillId="4" borderId="0" xfId="0" applyFont="1" applyFill="1" applyAlignment="1">
      <alignment horizontal="center" vertical="center"/>
    </xf>
    <xf numFmtId="0" fontId="23" fillId="4" borderId="0" xfId="0" applyFont="1" applyFill="1" applyAlignment="1">
      <alignment horizontal="center" vertical="center" wrapText="1"/>
    </xf>
    <xf numFmtId="0" fontId="26" fillId="4" borderId="0" xfId="0" applyFont="1" applyFill="1" applyAlignment="1">
      <alignment horizontal="center" vertical="center" wrapText="1"/>
    </xf>
    <xf numFmtId="43" fontId="25" fillId="4" borderId="0" xfId="1" applyFont="1" applyFill="1" applyBorder="1" applyAlignment="1">
      <alignment horizontal="left" vertical="center" wrapText="1"/>
    </xf>
    <xf numFmtId="0" fontId="0" fillId="0" borderId="7" xfId="0" applyBorder="1" applyAlignment="1">
      <alignment vertical="center"/>
    </xf>
    <xf numFmtId="0" fontId="7" fillId="6" borderId="33" xfId="0" applyFont="1" applyFill="1" applyBorder="1" applyAlignment="1">
      <alignment horizontal="center" vertical="center" wrapText="1"/>
    </xf>
    <xf numFmtId="0" fontId="7" fillId="6" borderId="13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4" borderId="5" xfId="0" applyFont="1" applyFill="1" applyBorder="1" applyAlignment="1">
      <alignment horizontal="left" vertical="center"/>
    </xf>
    <xf numFmtId="0" fontId="4" fillId="4" borderId="6" xfId="0" applyFont="1" applyFill="1" applyBorder="1" applyAlignment="1">
      <alignment horizontal="left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4" fillId="4" borderId="8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7" borderId="3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7" fillId="8" borderId="33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7" fillId="9" borderId="35" xfId="0" applyFont="1" applyFill="1" applyBorder="1" applyAlignment="1">
      <alignment horizontal="center" vertical="center" wrapText="1"/>
    </xf>
    <xf numFmtId="0" fontId="7" fillId="9" borderId="15" xfId="0" applyFont="1" applyFill="1" applyBorder="1" applyAlignment="1">
      <alignment horizontal="center" vertical="center" wrapText="1"/>
    </xf>
    <xf numFmtId="0" fontId="7" fillId="9" borderId="16" xfId="0" applyFont="1" applyFill="1" applyBorder="1" applyAlignment="1">
      <alignment horizontal="center" vertical="center" wrapText="1"/>
    </xf>
    <xf numFmtId="0" fontId="16" fillId="6" borderId="35" xfId="0" applyFont="1" applyFill="1" applyBorder="1" applyAlignment="1">
      <alignment horizontal="center" vertical="center" wrapText="1"/>
    </xf>
    <xf numFmtId="0" fontId="16" fillId="6" borderId="15" xfId="0" applyFont="1" applyFill="1" applyBorder="1" applyAlignment="1">
      <alignment horizontal="center" vertical="center" wrapText="1"/>
    </xf>
    <xf numFmtId="0" fontId="16" fillId="6" borderId="16" xfId="0" applyFont="1" applyFill="1" applyBorder="1" applyAlignment="1">
      <alignment horizontal="center" vertical="center" wrapText="1"/>
    </xf>
    <xf numFmtId="0" fontId="11" fillId="4" borderId="35" xfId="0" applyFont="1" applyFill="1" applyBorder="1" applyAlignment="1">
      <alignment horizontal="right" vertical="center" wrapText="1"/>
    </xf>
    <xf numFmtId="0" fontId="11" fillId="4" borderId="16" xfId="0" applyFont="1" applyFill="1" applyBorder="1" applyAlignment="1">
      <alignment horizontal="right" vertical="center" wrapText="1"/>
    </xf>
    <xf numFmtId="43" fontId="4" fillId="0" borderId="13" xfId="1" applyFont="1" applyBorder="1" applyAlignment="1" applyProtection="1">
      <alignment horizontal="center" vertical="center"/>
    </xf>
    <xf numFmtId="0" fontId="16" fillId="6" borderId="14" xfId="0" applyFont="1" applyFill="1" applyBorder="1" applyAlignment="1">
      <alignment horizontal="center" vertical="center" wrapText="1"/>
    </xf>
    <xf numFmtId="0" fontId="8" fillId="6" borderId="41" xfId="0" applyFont="1" applyFill="1" applyBorder="1" applyAlignment="1">
      <alignment horizontal="center" vertical="center" wrapText="1"/>
    </xf>
    <xf numFmtId="0" fontId="8" fillId="6" borderId="28" xfId="0" applyFont="1" applyFill="1" applyBorder="1" applyAlignment="1">
      <alignment horizontal="center" vertical="center" wrapText="1"/>
    </xf>
    <xf numFmtId="0" fontId="8" fillId="6" borderId="29" xfId="0" applyFont="1" applyFill="1" applyBorder="1" applyAlignment="1">
      <alignment horizontal="center" vertical="center" wrapText="1"/>
    </xf>
    <xf numFmtId="0" fontId="23" fillId="4" borderId="0" xfId="0" applyFont="1" applyFill="1" applyAlignment="1">
      <alignment horizontal="left" vertical="center" wrapText="1"/>
    </xf>
    <xf numFmtId="0" fontId="26" fillId="4" borderId="0" xfId="0" applyFont="1" applyFill="1" applyAlignment="1">
      <alignment horizontal="left" vertical="center" wrapText="1"/>
    </xf>
    <xf numFmtId="0" fontId="0" fillId="7" borderId="1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11" fillId="4" borderId="14" xfId="0" applyFont="1" applyFill="1" applyBorder="1" applyAlignment="1">
      <alignment horizontal="right" vertical="center" wrapText="1"/>
    </xf>
    <xf numFmtId="0" fontId="7" fillId="7" borderId="14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 wrapText="1"/>
    </xf>
    <xf numFmtId="0" fontId="7" fillId="8" borderId="14" xfId="0" applyFont="1" applyFill="1" applyBorder="1" applyAlignment="1">
      <alignment horizontal="center" vertical="center" wrapText="1"/>
    </xf>
    <xf numFmtId="0" fontId="7" fillId="8" borderId="15" xfId="0" applyFont="1" applyFill="1" applyBorder="1" applyAlignment="1">
      <alignment horizontal="center" vertical="center" wrapText="1"/>
    </xf>
    <xf numFmtId="0" fontId="7" fillId="8" borderId="16" xfId="0" applyFont="1" applyFill="1" applyBorder="1" applyAlignment="1">
      <alignment horizontal="center" vertical="center" wrapText="1"/>
    </xf>
    <xf numFmtId="0" fontId="7" fillId="9" borderId="14" xfId="0" applyFont="1" applyFill="1" applyBorder="1" applyAlignment="1">
      <alignment horizontal="center" vertical="center" wrapText="1"/>
    </xf>
  </cellXfs>
  <cellStyles count="4">
    <cellStyle name="Millares" xfId="1" builtinId="3"/>
    <cellStyle name="Moneda" xfId="3" builtinId="4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1413622</xdr:colOff>
      <xdr:row>4</xdr:row>
      <xdr:rowOff>67235</xdr:rowOff>
    </xdr:from>
    <xdr:ext cx="1225251" cy="773207"/>
    <xdr:pic>
      <xdr:nvPicPr>
        <xdr:cNvPr id="2" name="Picture 1">
          <a:extLst>
            <a:ext uri="{FF2B5EF4-FFF2-40B4-BE49-F238E27FC236}">
              <a16:creationId xmlns:a16="http://schemas.microsoft.com/office/drawing/2014/main" id="{405BDEC8-7B4D-4957-AC8D-1A6F2C7A42C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1595847" y="600635"/>
          <a:ext cx="1225251" cy="773207"/>
        </a:xfrm>
        <a:prstGeom prst="rect">
          <a:avLst/>
        </a:prstGeom>
      </xdr:spPr>
    </xdr:pic>
    <xdr:clientData/>
  </xdr:oneCellAnchor>
  <xdr:oneCellAnchor>
    <xdr:from>
      <xdr:col>2</xdr:col>
      <xdr:colOff>464933</xdr:colOff>
      <xdr:row>4</xdr:row>
      <xdr:rowOff>65329</xdr:rowOff>
    </xdr:from>
    <xdr:ext cx="1225251" cy="773207"/>
    <xdr:pic>
      <xdr:nvPicPr>
        <xdr:cNvPr id="3" name="Picture 1">
          <a:extLst>
            <a:ext uri="{FF2B5EF4-FFF2-40B4-BE49-F238E27FC236}">
              <a16:creationId xmlns:a16="http://schemas.microsoft.com/office/drawing/2014/main" id="{659ACCE0-71F2-4999-8B37-C6D7FE2165E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2007983" y="598729"/>
          <a:ext cx="1225251" cy="773207"/>
        </a:xfrm>
        <a:prstGeom prst="rect">
          <a:avLst/>
        </a:prstGeom>
      </xdr:spPr>
    </xdr:pic>
    <xdr:clientData/>
  </xdr:oneCellAnchor>
  <xdr:oneCellAnchor>
    <xdr:from>
      <xdr:col>9</xdr:col>
      <xdr:colOff>0</xdr:colOff>
      <xdr:row>4</xdr:row>
      <xdr:rowOff>67235</xdr:rowOff>
    </xdr:from>
    <xdr:ext cx="1225251" cy="773207"/>
    <xdr:pic>
      <xdr:nvPicPr>
        <xdr:cNvPr id="4" name="Picture 1">
          <a:extLst>
            <a:ext uri="{FF2B5EF4-FFF2-40B4-BE49-F238E27FC236}">
              <a16:creationId xmlns:a16="http://schemas.microsoft.com/office/drawing/2014/main" id="{F09BC78C-A550-43AF-8F88-3CBD3E4E768A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11599769" y="605117"/>
          <a:ext cx="1225251" cy="773207"/>
        </a:xfrm>
        <a:prstGeom prst="rect">
          <a:avLst/>
        </a:prstGeom>
      </xdr:spPr>
    </xdr:pic>
    <xdr:clientData/>
  </xdr:oneCellAnchor>
  <xdr:twoCellAnchor editAs="oneCell">
    <xdr:from>
      <xdr:col>9</xdr:col>
      <xdr:colOff>134471</xdr:colOff>
      <xdr:row>144</xdr:row>
      <xdr:rowOff>3578</xdr:rowOff>
    </xdr:from>
    <xdr:to>
      <xdr:col>9</xdr:col>
      <xdr:colOff>1882588</xdr:colOff>
      <xdr:row>145</xdr:row>
      <xdr:rowOff>88077</xdr:rowOff>
    </xdr:to>
    <xdr:pic>
      <xdr:nvPicPr>
        <xdr:cNvPr id="5" name="Imagen 4" descr="Texto, Carta&#10;&#10;Descripción generada automáticamente">
          <a:extLst>
            <a:ext uri="{FF2B5EF4-FFF2-40B4-BE49-F238E27FC236}">
              <a16:creationId xmlns:a16="http://schemas.microsoft.com/office/drawing/2014/main" id="{092A9C9E-6718-4043-2B5C-767EDB17A7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795812" y="53101531"/>
          <a:ext cx="1748117" cy="7837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347"/>
  <sheetViews>
    <sheetView tabSelected="1" view="pageBreakPreview" topLeftCell="E135" zoomScale="92" zoomScaleNormal="85" zoomScaleSheetLayoutView="92" workbookViewId="0">
      <selection activeCell="K139" sqref="K139"/>
    </sheetView>
  </sheetViews>
  <sheetFormatPr baseColWidth="10" defaultColWidth="11.6328125" defaultRowHeight="15.5"/>
  <cols>
    <col min="1" max="2" width="11.6328125" style="1"/>
    <col min="3" max="3" width="84.81640625" style="2" customWidth="1"/>
    <col min="4" max="4" width="7.90625" style="1" customWidth="1"/>
    <col min="5" max="5" width="14.90625" style="3" customWidth="1"/>
    <col min="6" max="6" width="22.08984375" style="4" bestFit="1" customWidth="1"/>
    <col min="7" max="7" width="22.81640625" style="4" customWidth="1"/>
    <col min="8" max="8" width="30.453125" style="4" customWidth="1"/>
    <col min="9" max="9" width="21.1796875" style="1" customWidth="1"/>
    <col min="10" max="10" width="38.453125" style="4" customWidth="1"/>
    <col min="11" max="11" width="11.6328125" style="1"/>
    <col min="12" max="12" width="19.54296875" style="1" customWidth="1"/>
    <col min="13" max="16384" width="11.6328125" style="1"/>
  </cols>
  <sheetData>
    <row r="3" spans="2:10" ht="12.65" customHeight="1" thickBot="1"/>
    <row r="4" spans="2:10" ht="16" hidden="1" thickBot="1"/>
    <row r="5" spans="2:10" ht="21.65" customHeight="1">
      <c r="B5" s="190" t="s">
        <v>0</v>
      </c>
      <c r="C5" s="191"/>
      <c r="D5" s="191"/>
      <c r="E5" s="191"/>
      <c r="F5" s="191"/>
      <c r="G5" s="191"/>
      <c r="H5" s="192"/>
      <c r="I5" s="133"/>
      <c r="J5" s="134"/>
    </row>
    <row r="6" spans="2:10" ht="28.25" customHeight="1">
      <c r="B6" s="193" t="s">
        <v>1</v>
      </c>
      <c r="C6" s="194"/>
      <c r="D6" s="194"/>
      <c r="E6" s="194"/>
      <c r="F6" s="194"/>
      <c r="G6" s="194"/>
      <c r="H6" s="195"/>
      <c r="J6" s="135"/>
    </row>
    <row r="7" spans="2:10" ht="22.25" customHeight="1" thickBot="1">
      <c r="B7" s="196" t="s">
        <v>2</v>
      </c>
      <c r="C7" s="197"/>
      <c r="D7" s="197"/>
      <c r="E7" s="197"/>
      <c r="F7" s="197"/>
      <c r="G7" s="197"/>
      <c r="H7" s="198"/>
      <c r="J7" s="135"/>
    </row>
    <row r="8" spans="2:10" ht="15" thickBot="1">
      <c r="B8" s="5" t="s">
        <v>3</v>
      </c>
      <c r="C8" s="199" t="s">
        <v>4</v>
      </c>
      <c r="D8" s="200"/>
      <c r="E8" s="200"/>
      <c r="F8" s="200"/>
      <c r="G8" s="200"/>
      <c r="H8" s="200"/>
      <c r="J8" s="135"/>
    </row>
    <row r="9" spans="2:10" ht="15" thickBot="1">
      <c r="B9" s="6"/>
      <c r="C9" s="201"/>
      <c r="D9" s="201"/>
      <c r="E9" s="201"/>
      <c r="F9" s="201"/>
      <c r="G9" s="201"/>
      <c r="H9" s="202"/>
      <c r="J9" s="135"/>
    </row>
    <row r="10" spans="2:10" ht="15" thickBot="1">
      <c r="B10" s="7" t="s">
        <v>5</v>
      </c>
      <c r="C10" s="203"/>
      <c r="D10" s="203"/>
      <c r="E10" s="203"/>
      <c r="F10" s="204"/>
      <c r="G10" s="8" t="s">
        <v>6</v>
      </c>
      <c r="H10" s="9">
        <f ca="1">TODAY()</f>
        <v>45586</v>
      </c>
      <c r="J10" s="9">
        <f ca="1">TODAY()</f>
        <v>45586</v>
      </c>
    </row>
    <row r="11" spans="2:10" ht="14.5">
      <c r="B11" s="205" t="s">
        <v>7</v>
      </c>
      <c r="C11" s="206"/>
      <c r="D11" s="206"/>
      <c r="E11" s="206"/>
      <c r="F11" s="206"/>
      <c r="G11" s="206"/>
      <c r="H11" s="207"/>
      <c r="J11" s="135"/>
    </row>
    <row r="12" spans="2:10" ht="14.5">
      <c r="B12" s="205" t="s">
        <v>8</v>
      </c>
      <c r="C12" s="206"/>
      <c r="D12" s="206"/>
      <c r="E12" s="206"/>
      <c r="F12" s="206"/>
      <c r="G12" s="206"/>
      <c r="H12" s="207"/>
      <c r="J12" s="135"/>
    </row>
    <row r="13" spans="2:10" ht="14.5">
      <c r="B13" s="205" t="s">
        <v>9</v>
      </c>
      <c r="C13" s="206"/>
      <c r="D13" s="206"/>
      <c r="E13" s="206"/>
      <c r="F13" s="206"/>
      <c r="G13" s="206"/>
      <c r="H13" s="207"/>
      <c r="J13" s="135"/>
    </row>
    <row r="14" spans="2:10" ht="15" thickBot="1">
      <c r="B14" s="208" t="s">
        <v>10</v>
      </c>
      <c r="C14" s="209"/>
      <c r="D14" s="209"/>
      <c r="E14" s="209"/>
      <c r="F14" s="209"/>
      <c r="G14" s="209"/>
      <c r="H14" s="210"/>
      <c r="J14" s="135"/>
    </row>
    <row r="15" spans="2:10" ht="20">
      <c r="B15" s="211" t="s">
        <v>12</v>
      </c>
      <c r="C15" s="212"/>
      <c r="D15" s="212"/>
      <c r="E15" s="212"/>
      <c r="F15" s="212"/>
      <c r="G15" s="212"/>
      <c r="H15" s="213"/>
      <c r="J15" s="135"/>
    </row>
    <row r="16" spans="2:10" ht="23">
      <c r="B16" s="188" t="s">
        <v>13</v>
      </c>
      <c r="C16" s="189"/>
      <c r="D16" s="189"/>
      <c r="E16" s="189"/>
      <c r="F16" s="189"/>
      <c r="G16" s="189"/>
      <c r="H16" s="10">
        <f>+H17+H18+H19</f>
        <v>851904000.00000012</v>
      </c>
      <c r="J16" s="136">
        <f>+J17+J18+J19</f>
        <v>804536926.01952171</v>
      </c>
    </row>
    <row r="17" spans="2:12" ht="23">
      <c r="B17" s="214" t="s">
        <v>14</v>
      </c>
      <c r="C17" s="215"/>
      <c r="D17" s="215"/>
      <c r="E17" s="215"/>
      <c r="F17" s="215"/>
      <c r="G17" s="215"/>
      <c r="H17" s="11">
        <f>+H156</f>
        <v>426618400</v>
      </c>
      <c r="J17" s="137">
        <f>+J156</f>
        <v>402897657.72828442</v>
      </c>
    </row>
    <row r="18" spans="2:12" ht="23">
      <c r="B18" s="216" t="s">
        <v>15</v>
      </c>
      <c r="C18" s="217"/>
      <c r="D18" s="217"/>
      <c r="E18" s="217"/>
      <c r="F18" s="217"/>
      <c r="G18" s="217"/>
      <c r="H18" s="12">
        <f>+H163</f>
        <v>75285600.000000015</v>
      </c>
      <c r="J18" s="138">
        <f>+J163</f>
        <v>71099522.461161733</v>
      </c>
    </row>
    <row r="19" spans="2:12" ht="23">
      <c r="B19" s="218" t="s">
        <v>16</v>
      </c>
      <c r="C19" s="219"/>
      <c r="D19" s="219"/>
      <c r="E19" s="219"/>
      <c r="F19" s="219"/>
      <c r="G19" s="220"/>
      <c r="H19" s="13">
        <f>+H170</f>
        <v>350000000.00000012</v>
      </c>
      <c r="J19" s="139">
        <f>+J170</f>
        <v>330539745.8300755</v>
      </c>
    </row>
    <row r="20" spans="2:12" ht="30.65" customHeight="1">
      <c r="B20" s="140" t="s">
        <v>17</v>
      </c>
      <c r="C20" s="14" t="s">
        <v>18</v>
      </c>
      <c r="D20" s="15" t="s">
        <v>19</v>
      </c>
      <c r="E20" s="16" t="s">
        <v>20</v>
      </c>
      <c r="F20" s="17" t="s">
        <v>21</v>
      </c>
      <c r="G20" s="17" t="s">
        <v>22</v>
      </c>
      <c r="H20" s="18" t="s">
        <v>23</v>
      </c>
      <c r="I20" s="104" t="s">
        <v>21</v>
      </c>
      <c r="J20" s="141" t="s">
        <v>23</v>
      </c>
    </row>
    <row r="21" spans="2:12">
      <c r="B21" s="142">
        <v>1</v>
      </c>
      <c r="C21" s="19" t="s">
        <v>24</v>
      </c>
      <c r="D21" s="20"/>
      <c r="E21" s="21"/>
      <c r="F21" s="20"/>
      <c r="G21" s="20"/>
      <c r="H21" s="22">
        <f>+SUM(G22:G33)</f>
        <v>10568191.3791</v>
      </c>
      <c r="I21" s="105"/>
      <c r="J21" s="143">
        <f>SUM(J22:J33)</f>
        <v>9980588.4399999995</v>
      </c>
    </row>
    <row r="22" spans="2:12" ht="14.5">
      <c r="B22" s="144">
        <v>1.1000000000000001</v>
      </c>
      <c r="C22" s="23" t="s">
        <v>25</v>
      </c>
      <c r="D22" s="24" t="s">
        <v>26</v>
      </c>
      <c r="E22" s="25">
        <v>90</v>
      </c>
      <c r="F22" s="26">
        <v>7589.72</v>
      </c>
      <c r="G22" s="26">
        <f>IFERROR((F22*E22),"")</f>
        <v>683074.8</v>
      </c>
      <c r="H22" s="106"/>
      <c r="I22" s="130">
        <v>7168</v>
      </c>
      <c r="J22" s="145">
        <f>+I22*E22</f>
        <v>645120</v>
      </c>
      <c r="L22" s="129"/>
    </row>
    <row r="23" spans="2:12" ht="27" customHeight="1">
      <c r="B23" s="144">
        <v>1.2</v>
      </c>
      <c r="C23" s="27" t="s">
        <v>27</v>
      </c>
      <c r="D23" s="24" t="s">
        <v>26</v>
      </c>
      <c r="E23" s="25">
        <f>+ROUND((((4.04+1.18+2)*3)*1.15),2)</f>
        <v>24.91</v>
      </c>
      <c r="F23" s="28">
        <v>33005.32</v>
      </c>
      <c r="G23" s="26">
        <f>IFERROR((F23*E23),"")</f>
        <v>822162.52119999996</v>
      </c>
      <c r="H23" s="106"/>
      <c r="I23" s="130">
        <v>31170</v>
      </c>
      <c r="J23" s="145">
        <f t="shared" ref="J23:J43" si="0">+I23*E23</f>
        <v>776444.7</v>
      </c>
      <c r="L23" s="129"/>
    </row>
    <row r="24" spans="2:12" ht="15" customHeight="1">
      <c r="B24" s="144">
        <v>1.3</v>
      </c>
      <c r="C24" s="29" t="s">
        <v>28</v>
      </c>
      <c r="D24" s="30" t="s">
        <v>29</v>
      </c>
      <c r="E24" s="25">
        <f>3+4*2+7.34*2+10</f>
        <v>35.68</v>
      </c>
      <c r="F24" s="28">
        <v>22386.86</v>
      </c>
      <c r="G24" s="26">
        <f t="shared" ref="G24:G33" si="1">IFERROR((F24*E24),"")</f>
        <v>798763.16480000003</v>
      </c>
      <c r="H24" s="106"/>
      <c r="I24" s="130">
        <v>21142</v>
      </c>
      <c r="J24" s="145">
        <f t="shared" si="0"/>
        <v>754346.55999999994</v>
      </c>
      <c r="L24" s="129"/>
    </row>
    <row r="25" spans="2:12" ht="15" customHeight="1">
      <c r="B25" s="144">
        <v>1.4</v>
      </c>
      <c r="C25" s="31" t="s">
        <v>30</v>
      </c>
      <c r="D25" s="24" t="s">
        <v>26</v>
      </c>
      <c r="E25" s="25">
        <f>(6*5)*1.15</f>
        <v>34.5</v>
      </c>
      <c r="F25" s="28">
        <v>22962.1</v>
      </c>
      <c r="G25" s="26">
        <f t="shared" si="1"/>
        <v>792192.45</v>
      </c>
      <c r="H25" s="106"/>
      <c r="I25" s="130">
        <v>21685</v>
      </c>
      <c r="J25" s="145">
        <f t="shared" si="0"/>
        <v>748132.5</v>
      </c>
      <c r="L25" s="129"/>
    </row>
    <row r="26" spans="2:12" ht="15" customHeight="1">
      <c r="B26" s="144">
        <v>1.5</v>
      </c>
      <c r="C26" s="31" t="s">
        <v>31</v>
      </c>
      <c r="D26" s="24" t="s">
        <v>26</v>
      </c>
      <c r="E26" s="25">
        <f>7.34*5</f>
        <v>36.700000000000003</v>
      </c>
      <c r="F26" s="28">
        <v>24515.16</v>
      </c>
      <c r="G26" s="26">
        <f t="shared" si="1"/>
        <v>899706.37200000009</v>
      </c>
      <c r="H26" s="106"/>
      <c r="I26" s="130">
        <v>23152</v>
      </c>
      <c r="J26" s="145">
        <f t="shared" si="0"/>
        <v>849678.4</v>
      </c>
      <c r="L26" s="129"/>
    </row>
    <row r="27" spans="2:12" ht="15" customHeight="1">
      <c r="B27" s="144">
        <v>1.6</v>
      </c>
      <c r="C27" s="29" t="s">
        <v>32</v>
      </c>
      <c r="D27" s="24" t="s">
        <v>26</v>
      </c>
      <c r="E27" s="25">
        <f>+E26*1.1</f>
        <v>40.370000000000005</v>
      </c>
      <c r="F27" s="28">
        <v>11112.03</v>
      </c>
      <c r="G27" s="26">
        <f t="shared" si="1"/>
        <v>448592.65110000008</v>
      </c>
      <c r="H27" s="106"/>
      <c r="I27" s="130">
        <v>10494</v>
      </c>
      <c r="J27" s="145">
        <f t="shared" si="0"/>
        <v>423642.78</v>
      </c>
      <c r="L27" s="129"/>
    </row>
    <row r="28" spans="2:12" ht="31.25" customHeight="1">
      <c r="B28" s="144">
        <v>1.7</v>
      </c>
      <c r="C28" s="29" t="s">
        <v>33</v>
      </c>
      <c r="D28" s="24" t="s">
        <v>26</v>
      </c>
      <c r="E28" s="25">
        <f>1*0.5*3+1.5*2</f>
        <v>4.5</v>
      </c>
      <c r="F28" s="28">
        <v>19973.22</v>
      </c>
      <c r="G28" s="26">
        <f t="shared" si="1"/>
        <v>89879.49</v>
      </c>
      <c r="H28" s="106"/>
      <c r="I28" s="130">
        <v>18863</v>
      </c>
      <c r="J28" s="145">
        <f t="shared" si="0"/>
        <v>84883.5</v>
      </c>
      <c r="L28" s="129"/>
    </row>
    <row r="29" spans="2:12" ht="15" customHeight="1">
      <c r="B29" s="144">
        <v>1.8</v>
      </c>
      <c r="C29" s="31" t="s">
        <v>34</v>
      </c>
      <c r="D29" s="24" t="s">
        <v>26</v>
      </c>
      <c r="E29" s="25">
        <f>2.2*1+5</f>
        <v>7.2</v>
      </c>
      <c r="F29" s="28">
        <v>21103.3</v>
      </c>
      <c r="G29" s="26">
        <f t="shared" si="1"/>
        <v>151943.76</v>
      </c>
      <c r="H29" s="106"/>
      <c r="I29" s="130">
        <v>19930</v>
      </c>
      <c r="J29" s="145">
        <f t="shared" si="0"/>
        <v>143496</v>
      </c>
      <c r="L29" s="129"/>
    </row>
    <row r="30" spans="2:12" ht="27" customHeight="1">
      <c r="B30" s="144">
        <v>1.9</v>
      </c>
      <c r="C30" s="32" t="s">
        <v>35</v>
      </c>
      <c r="D30" s="30" t="s">
        <v>19</v>
      </c>
      <c r="E30" s="25">
        <v>4</v>
      </c>
      <c r="F30" s="28">
        <v>26693.58</v>
      </c>
      <c r="G30" s="26">
        <f t="shared" si="1"/>
        <v>106774.32</v>
      </c>
      <c r="H30" s="106"/>
      <c r="I30" s="130">
        <v>25209</v>
      </c>
      <c r="J30" s="145">
        <f t="shared" si="0"/>
        <v>100836</v>
      </c>
      <c r="L30" s="129"/>
    </row>
    <row r="31" spans="2:12" ht="23.4" customHeight="1">
      <c r="B31" s="146">
        <v>1.1000000000000001</v>
      </c>
      <c r="C31" s="27" t="s">
        <v>36</v>
      </c>
      <c r="D31" s="33" t="s">
        <v>29</v>
      </c>
      <c r="E31" s="25">
        <v>3</v>
      </c>
      <c r="F31" s="28">
        <v>125055.66</v>
      </c>
      <c r="G31" s="26">
        <f t="shared" si="1"/>
        <v>375166.98</v>
      </c>
      <c r="H31" s="106"/>
      <c r="I31" s="130">
        <v>118103</v>
      </c>
      <c r="J31" s="145">
        <f t="shared" si="0"/>
        <v>354309</v>
      </c>
      <c r="L31" s="129"/>
    </row>
    <row r="32" spans="2:12" ht="29" customHeight="1">
      <c r="B32" s="146">
        <v>1.1100000000000001</v>
      </c>
      <c r="C32" s="27" t="s">
        <v>37</v>
      </c>
      <c r="D32" s="30" t="s">
        <v>19</v>
      </c>
      <c r="E32" s="25">
        <v>1</v>
      </c>
      <c r="F32" s="28">
        <v>4409626.2</v>
      </c>
      <c r="G32" s="26">
        <f t="shared" si="1"/>
        <v>4409626.2</v>
      </c>
      <c r="H32" s="106"/>
      <c r="I32" s="130">
        <v>4164451</v>
      </c>
      <c r="J32" s="145">
        <f t="shared" si="0"/>
        <v>4164451</v>
      </c>
      <c r="L32" s="129"/>
    </row>
    <row r="33" spans="1:12" ht="23.4" customHeight="1">
      <c r="B33" s="146">
        <v>1.1200000000000001</v>
      </c>
      <c r="C33" s="27" t="s">
        <v>38</v>
      </c>
      <c r="D33" s="30" t="s">
        <v>19</v>
      </c>
      <c r="E33" s="25">
        <v>1</v>
      </c>
      <c r="F33" s="28">
        <v>990308.67</v>
      </c>
      <c r="G33" s="26">
        <f t="shared" si="1"/>
        <v>990308.67</v>
      </c>
      <c r="H33" s="106"/>
      <c r="I33" s="130">
        <v>935248</v>
      </c>
      <c r="J33" s="145">
        <f t="shared" si="0"/>
        <v>935248</v>
      </c>
      <c r="L33" s="129"/>
    </row>
    <row r="34" spans="1:12">
      <c r="B34" s="147">
        <v>2</v>
      </c>
      <c r="C34" s="34" t="s">
        <v>39</v>
      </c>
      <c r="D34" s="35"/>
      <c r="E34" s="35"/>
      <c r="F34" s="35"/>
      <c r="G34" s="35"/>
      <c r="H34" s="107">
        <f>+SUM(G35:G37)</f>
        <v>29433562.199999999</v>
      </c>
      <c r="I34" s="130"/>
      <c r="J34" s="143">
        <f>SUM(J35:J37)</f>
        <v>27797040</v>
      </c>
      <c r="L34" s="129"/>
    </row>
    <row r="35" spans="1:12" ht="38" customHeight="1">
      <c r="A35" s="36">
        <v>2001</v>
      </c>
      <c r="B35" s="144">
        <v>2.1</v>
      </c>
      <c r="C35" s="23" t="s">
        <v>40</v>
      </c>
      <c r="D35" s="37" t="s">
        <v>41</v>
      </c>
      <c r="E35" s="25">
        <v>90</v>
      </c>
      <c r="F35" s="26">
        <v>211082.9</v>
      </c>
      <c r="G35" s="26">
        <f>IFERROR((F35*E35),"")</f>
        <v>18997461</v>
      </c>
      <c r="H35" s="106"/>
      <c r="I35" s="130">
        <v>199347</v>
      </c>
      <c r="J35" s="145">
        <f t="shared" si="0"/>
        <v>17941230</v>
      </c>
      <c r="L35" s="129"/>
    </row>
    <row r="36" spans="1:12" ht="38" customHeight="1">
      <c r="A36" s="36"/>
      <c r="B36" s="144">
        <v>2.2000000000000002</v>
      </c>
      <c r="C36" s="23" t="s">
        <v>42</v>
      </c>
      <c r="D36" s="33" t="s">
        <v>26</v>
      </c>
      <c r="E36" s="25">
        <v>90</v>
      </c>
      <c r="F36" s="28">
        <v>16849.25</v>
      </c>
      <c r="G36" s="26">
        <f>IFERROR((F36*E36),"")</f>
        <v>1516432.5</v>
      </c>
      <c r="H36" s="106"/>
      <c r="I36" s="130">
        <v>15912</v>
      </c>
      <c r="J36" s="145">
        <f t="shared" si="0"/>
        <v>1432080</v>
      </c>
      <c r="L36" s="129"/>
    </row>
    <row r="37" spans="1:12" ht="38" customHeight="1">
      <c r="A37" s="36"/>
      <c r="B37" s="144">
        <v>2.2999999999999998</v>
      </c>
      <c r="C37" s="23" t="s">
        <v>43</v>
      </c>
      <c r="D37" s="33" t="s">
        <v>41</v>
      </c>
      <c r="E37" s="25">
        <v>45</v>
      </c>
      <c r="F37" s="28">
        <v>198214.86</v>
      </c>
      <c r="G37" s="26">
        <f t="shared" ref="G37" si="2">IFERROR((F37*E37),"")</f>
        <v>8919668.6999999993</v>
      </c>
      <c r="H37" s="106"/>
      <c r="I37" s="130">
        <v>187194</v>
      </c>
      <c r="J37" s="145">
        <f t="shared" si="0"/>
        <v>8423730</v>
      </c>
      <c r="L37" s="129"/>
    </row>
    <row r="38" spans="1:12">
      <c r="B38" s="148">
        <v>3</v>
      </c>
      <c r="C38" s="38" t="s">
        <v>44</v>
      </c>
      <c r="D38" s="38"/>
      <c r="E38" s="38"/>
      <c r="F38" s="38"/>
      <c r="G38" s="38"/>
      <c r="H38" s="108">
        <f>+SUM(G39:G43)</f>
        <v>37374393.200000003</v>
      </c>
      <c r="I38" s="130"/>
      <c r="J38" s="149">
        <f>SUM(J39:J43)</f>
        <v>35296335</v>
      </c>
      <c r="L38" s="129"/>
    </row>
    <row r="39" spans="1:12" ht="32.4" customHeight="1">
      <c r="A39" s="36" t="s">
        <v>45</v>
      </c>
      <c r="B39" s="150">
        <v>3.1</v>
      </c>
      <c r="C39" s="23" t="s">
        <v>46</v>
      </c>
      <c r="D39" s="33" t="s">
        <v>26</v>
      </c>
      <c r="E39" s="25">
        <v>90</v>
      </c>
      <c r="F39" s="28">
        <v>28137.599999999999</v>
      </c>
      <c r="G39" s="26">
        <f t="shared" ref="G39:G42" si="3">IFERROR((F39*E39),"")</f>
        <v>2532384</v>
      </c>
      <c r="H39" s="106"/>
      <c r="I39" s="130">
        <v>26573</v>
      </c>
      <c r="J39" s="145">
        <f t="shared" si="0"/>
        <v>2391570</v>
      </c>
      <c r="L39" s="129"/>
    </row>
    <row r="40" spans="1:12" ht="32.4" customHeight="1">
      <c r="A40" s="36" t="s">
        <v>47</v>
      </c>
      <c r="B40" s="150">
        <v>3.2</v>
      </c>
      <c r="C40" s="23" t="s">
        <v>48</v>
      </c>
      <c r="D40" s="33" t="s">
        <v>26</v>
      </c>
      <c r="E40" s="25">
        <v>90</v>
      </c>
      <c r="F40" s="28">
        <v>9816.82</v>
      </c>
      <c r="G40" s="26">
        <f t="shared" si="3"/>
        <v>883513.79999999993</v>
      </c>
      <c r="H40" s="106"/>
      <c r="I40" s="130">
        <v>9271</v>
      </c>
      <c r="J40" s="145">
        <f t="shared" si="0"/>
        <v>834390</v>
      </c>
      <c r="L40" s="129"/>
    </row>
    <row r="41" spans="1:12" ht="41" customHeight="1">
      <c r="A41" s="36" t="s">
        <v>49</v>
      </c>
      <c r="B41" s="150">
        <v>3.3</v>
      </c>
      <c r="C41" s="23" t="s">
        <v>50</v>
      </c>
      <c r="D41" s="33" t="s">
        <v>41</v>
      </c>
      <c r="E41" s="25">
        <v>6.2</v>
      </c>
      <c r="F41" s="28">
        <v>1740650.88</v>
      </c>
      <c r="G41" s="26">
        <f t="shared" si="3"/>
        <v>10792035.456</v>
      </c>
      <c r="H41" s="106"/>
      <c r="I41" s="130">
        <v>1643871</v>
      </c>
      <c r="J41" s="145">
        <f t="shared" si="0"/>
        <v>10192000.200000001</v>
      </c>
      <c r="L41" s="129"/>
    </row>
    <row r="42" spans="1:12" ht="41.4" customHeight="1">
      <c r="A42" s="36" t="s">
        <v>51</v>
      </c>
      <c r="B42" s="150">
        <v>3.4</v>
      </c>
      <c r="C42" s="23" t="s">
        <v>52</v>
      </c>
      <c r="D42" s="33" t="s">
        <v>41</v>
      </c>
      <c r="E42" s="25">
        <v>3.2</v>
      </c>
      <c r="F42" s="28">
        <v>1692386.17</v>
      </c>
      <c r="G42" s="26">
        <f t="shared" si="3"/>
        <v>5415635.7439999999</v>
      </c>
      <c r="H42" s="106"/>
      <c r="I42" s="130">
        <v>1598289</v>
      </c>
      <c r="J42" s="145">
        <f t="shared" si="0"/>
        <v>5114524.8000000007</v>
      </c>
      <c r="L42" s="129"/>
    </row>
    <row r="43" spans="1:12" ht="49.25" customHeight="1">
      <c r="A43" s="36" t="s">
        <v>53</v>
      </c>
      <c r="B43" s="150">
        <v>3.5</v>
      </c>
      <c r="C43" s="23" t="s">
        <v>54</v>
      </c>
      <c r="D43" s="33" t="s">
        <v>26</v>
      </c>
      <c r="E43" s="25">
        <v>90</v>
      </c>
      <c r="F43" s="28">
        <v>197231.38</v>
      </c>
      <c r="G43" s="26">
        <f>IFERROR((F43*E43),"")</f>
        <v>17750824.199999999</v>
      </c>
      <c r="H43" s="106"/>
      <c r="I43" s="130">
        <v>186265</v>
      </c>
      <c r="J43" s="145">
        <f t="shared" si="0"/>
        <v>16763850</v>
      </c>
      <c r="L43" s="129"/>
    </row>
    <row r="44" spans="1:12" ht="16" thickBot="1">
      <c r="B44" s="151">
        <v>4</v>
      </c>
      <c r="C44" s="38" t="s">
        <v>55</v>
      </c>
      <c r="D44" s="39"/>
      <c r="E44" s="40"/>
      <c r="F44" s="39"/>
      <c r="G44" s="39"/>
      <c r="H44" s="109">
        <f>SUM(G46:G51)</f>
        <v>48383735.373999991</v>
      </c>
      <c r="I44" s="130"/>
      <c r="J44" s="152">
        <f>SUM(J46:J51)</f>
        <v>45693247.200000003</v>
      </c>
      <c r="L44" s="129"/>
    </row>
    <row r="45" spans="1:12" ht="15" thickBot="1">
      <c r="B45" s="41" t="s">
        <v>56</v>
      </c>
      <c r="C45" s="41" t="s">
        <v>57</v>
      </c>
      <c r="D45" s="41"/>
      <c r="E45" s="41"/>
      <c r="F45" s="41"/>
      <c r="G45" s="41"/>
      <c r="H45" s="110"/>
      <c r="I45" s="130"/>
      <c r="J45" s="153"/>
      <c r="L45" s="129"/>
    </row>
    <row r="46" spans="1:12" ht="72.650000000000006" customHeight="1">
      <c r="A46" s="1" t="s">
        <v>58</v>
      </c>
      <c r="B46" s="154" t="s">
        <v>59</v>
      </c>
      <c r="C46" s="32" t="s">
        <v>60</v>
      </c>
      <c r="D46" s="42" t="s">
        <v>41</v>
      </c>
      <c r="E46" s="43">
        <v>3.2</v>
      </c>
      <c r="F46" s="28">
        <v>1902779.99</v>
      </c>
      <c r="G46" s="26">
        <f>IFERROR((F46*E46),"")</f>
        <v>6088895.9680000003</v>
      </c>
      <c r="H46" s="111"/>
      <c r="I46" s="130">
        <v>1796985</v>
      </c>
      <c r="J46" s="145">
        <f t="shared" ref="J46:J51" si="4">+I46*E46</f>
        <v>5750352</v>
      </c>
      <c r="L46" s="129"/>
    </row>
    <row r="47" spans="1:12" ht="43.25" customHeight="1">
      <c r="A47" s="1" t="s">
        <v>61</v>
      </c>
      <c r="B47" s="154" t="s">
        <v>62</v>
      </c>
      <c r="C47" s="32" t="s">
        <v>63</v>
      </c>
      <c r="D47" s="42" t="s">
        <v>41</v>
      </c>
      <c r="E47" s="43">
        <v>6.2</v>
      </c>
      <c r="F47" s="28">
        <v>1856836.38</v>
      </c>
      <c r="G47" s="26">
        <f>IFERROR((F47*E47),"")</f>
        <v>11512385.556</v>
      </c>
      <c r="H47" s="111"/>
      <c r="I47" s="130">
        <v>1753596</v>
      </c>
      <c r="J47" s="145">
        <f t="shared" si="4"/>
        <v>10872295.200000001</v>
      </c>
      <c r="L47" s="129"/>
    </row>
    <row r="48" spans="1:12" ht="44.4" customHeight="1" thickBot="1">
      <c r="B48" s="154" t="s">
        <v>64</v>
      </c>
      <c r="C48" s="44" t="s">
        <v>65</v>
      </c>
      <c r="D48" s="33" t="s">
        <v>26</v>
      </c>
      <c r="E48" s="45">
        <v>15</v>
      </c>
      <c r="F48" s="46">
        <v>119248.23</v>
      </c>
      <c r="G48" s="26">
        <f>IFERROR((F48*E48),"")</f>
        <v>1788723.45</v>
      </c>
      <c r="H48" s="155"/>
      <c r="I48" s="130">
        <v>112618</v>
      </c>
      <c r="J48" s="145">
        <f t="shared" si="4"/>
        <v>1689270</v>
      </c>
      <c r="L48" s="129"/>
    </row>
    <row r="49" spans="1:12" ht="15" thickBot="1">
      <c r="B49" s="47" t="s">
        <v>66</v>
      </c>
      <c r="C49" s="41" t="s">
        <v>67</v>
      </c>
      <c r="D49" s="41"/>
      <c r="E49" s="41"/>
      <c r="F49" s="41"/>
      <c r="G49" s="41"/>
      <c r="H49" s="110"/>
      <c r="I49" s="130"/>
      <c r="J49" s="153"/>
      <c r="L49" s="129"/>
    </row>
    <row r="50" spans="1:12" ht="25">
      <c r="A50" s="1" t="s">
        <v>68</v>
      </c>
      <c r="B50" s="154" t="s">
        <v>69</v>
      </c>
      <c r="C50" s="32" t="s">
        <v>70</v>
      </c>
      <c r="D50" s="30" t="s">
        <v>71</v>
      </c>
      <c r="E50" s="30">
        <v>2900</v>
      </c>
      <c r="F50" s="28">
        <v>9215.4599999999991</v>
      </c>
      <c r="G50" s="26">
        <f>IFERROR((F50*E50),"")</f>
        <v>26724833.999999996</v>
      </c>
      <c r="H50" s="112"/>
      <c r="I50" s="130">
        <v>8703</v>
      </c>
      <c r="J50" s="145">
        <f t="shared" si="4"/>
        <v>25238700</v>
      </c>
      <c r="L50" s="129"/>
    </row>
    <row r="51" spans="1:12" ht="25">
      <c r="A51" s="1" t="s">
        <v>72</v>
      </c>
      <c r="B51" s="154" t="s">
        <v>73</v>
      </c>
      <c r="C51" s="32" t="s">
        <v>74</v>
      </c>
      <c r="D51" s="24" t="s">
        <v>71</v>
      </c>
      <c r="E51" s="48">
        <v>285</v>
      </c>
      <c r="F51" s="28">
        <v>7961.04</v>
      </c>
      <c r="G51" s="26">
        <f>IFERROR((F51*E51),"")</f>
        <v>2268896.4</v>
      </c>
      <c r="H51" s="113"/>
      <c r="I51" s="130">
        <v>7518</v>
      </c>
      <c r="J51" s="145">
        <f t="shared" si="4"/>
        <v>2142630</v>
      </c>
      <c r="L51" s="129"/>
    </row>
    <row r="52" spans="1:12">
      <c r="B52" s="151">
        <v>5</v>
      </c>
      <c r="C52" s="49" t="s">
        <v>75</v>
      </c>
      <c r="D52" s="39"/>
      <c r="E52" s="40"/>
      <c r="F52" s="39"/>
      <c r="G52" s="39"/>
      <c r="H52" s="109">
        <f>SUM(G53:G54)</f>
        <v>17226986.899824005</v>
      </c>
      <c r="I52" s="130"/>
      <c r="J52" s="152">
        <f>SUM(J53+J54)</f>
        <v>16269104.449600004</v>
      </c>
      <c r="L52" s="129"/>
    </row>
    <row r="53" spans="1:12" ht="49.25" customHeight="1">
      <c r="B53" s="156">
        <v>5.0999999999999996</v>
      </c>
      <c r="C53" s="32" t="s">
        <v>76</v>
      </c>
      <c r="D53" s="33" t="s">
        <v>26</v>
      </c>
      <c r="E53" s="25">
        <f>(11*2+5.5*2+2.54)*3.2*1.1</f>
        <v>125.10080000000002</v>
      </c>
      <c r="F53" s="28">
        <v>134834.28</v>
      </c>
      <c r="G53" s="26">
        <f>IFERROR((F53*E53),"")</f>
        <v>16867876.295424003</v>
      </c>
      <c r="H53" s="112"/>
      <c r="I53" s="130">
        <v>127337</v>
      </c>
      <c r="J53" s="145">
        <f t="shared" ref="J53:J54" si="5">+I53*E53</f>
        <v>15929960.569600003</v>
      </c>
      <c r="L53" s="129"/>
    </row>
    <row r="54" spans="1:12" ht="26.4" customHeight="1">
      <c r="B54" s="156">
        <v>5.2</v>
      </c>
      <c r="C54" s="32" t="s">
        <v>77</v>
      </c>
      <c r="D54" s="33" t="s">
        <v>26</v>
      </c>
      <c r="E54" s="25">
        <f>0.95*0.6*2+(0.6*1.5)</f>
        <v>2.04</v>
      </c>
      <c r="F54" s="28">
        <v>176034.61</v>
      </c>
      <c r="G54" s="26">
        <f>IFERROR((F54*E54),"")</f>
        <v>359110.60439999995</v>
      </c>
      <c r="H54" s="112"/>
      <c r="I54" s="130">
        <v>166247</v>
      </c>
      <c r="J54" s="145">
        <f t="shared" si="5"/>
        <v>339143.88</v>
      </c>
      <c r="L54" s="129"/>
    </row>
    <row r="55" spans="1:12">
      <c r="B55" s="157">
        <v>6</v>
      </c>
      <c r="C55" s="50" t="s">
        <v>78</v>
      </c>
      <c r="D55" s="51"/>
      <c r="E55" s="52"/>
      <c r="F55" s="51"/>
      <c r="G55" s="51"/>
      <c r="H55" s="114">
        <f>SUM(G56:G75)</f>
        <v>6113077.7300000004</v>
      </c>
      <c r="I55" s="130"/>
      <c r="J55" s="158">
        <f>SUM(J57:J75)</f>
        <v>5773192</v>
      </c>
      <c r="L55" s="129"/>
    </row>
    <row r="56" spans="1:12">
      <c r="B56" s="159" t="s">
        <v>79</v>
      </c>
      <c r="C56" s="53" t="s">
        <v>80</v>
      </c>
      <c r="D56" s="54"/>
      <c r="E56" s="54"/>
      <c r="F56" s="54"/>
      <c r="G56" s="54"/>
      <c r="H56" s="115"/>
      <c r="I56" s="130"/>
      <c r="J56" s="160"/>
      <c r="L56" s="129"/>
    </row>
    <row r="57" spans="1:12" ht="40.75" customHeight="1">
      <c r="B57" s="150" t="s">
        <v>81</v>
      </c>
      <c r="C57" s="27" t="s">
        <v>82</v>
      </c>
      <c r="D57" s="33" t="s">
        <v>29</v>
      </c>
      <c r="E57" s="25">
        <v>10</v>
      </c>
      <c r="F57" s="28">
        <v>45422.41</v>
      </c>
      <c r="G57" s="26">
        <f t="shared" ref="G57:G120" si="6">IFERROR((F57*E57),"")</f>
        <v>454224.10000000003</v>
      </c>
      <c r="H57" s="106"/>
      <c r="I57" s="130">
        <v>42897</v>
      </c>
      <c r="J57" s="145">
        <f t="shared" ref="J57:J75" si="7">+I57*E57</f>
        <v>428970</v>
      </c>
      <c r="L57" s="129"/>
    </row>
    <row r="58" spans="1:12" ht="24" customHeight="1">
      <c r="B58" s="150" t="s">
        <v>83</v>
      </c>
      <c r="C58" s="27" t="s">
        <v>84</v>
      </c>
      <c r="D58" s="30" t="s">
        <v>19</v>
      </c>
      <c r="E58" s="25">
        <v>3</v>
      </c>
      <c r="F58" s="28">
        <v>79550.52</v>
      </c>
      <c r="G58" s="26">
        <f t="shared" si="6"/>
        <v>238651.56</v>
      </c>
      <c r="H58" s="106"/>
      <c r="I58" s="130">
        <v>75128</v>
      </c>
      <c r="J58" s="145">
        <f t="shared" si="7"/>
        <v>225384</v>
      </c>
      <c r="L58" s="129"/>
    </row>
    <row r="59" spans="1:12" ht="24" customHeight="1">
      <c r="B59" s="150" t="s">
        <v>85</v>
      </c>
      <c r="C59" s="27" t="s">
        <v>86</v>
      </c>
      <c r="D59" s="30" t="s">
        <v>19</v>
      </c>
      <c r="E59" s="25">
        <v>7</v>
      </c>
      <c r="F59" s="28">
        <v>59086.03</v>
      </c>
      <c r="G59" s="26">
        <f t="shared" si="6"/>
        <v>413602.20999999996</v>
      </c>
      <c r="H59" s="106"/>
      <c r="I59" s="130">
        <v>55801</v>
      </c>
      <c r="J59" s="145">
        <f t="shared" si="7"/>
        <v>390607</v>
      </c>
      <c r="L59" s="129"/>
    </row>
    <row r="60" spans="1:12" ht="14.5">
      <c r="B60" s="150" t="s">
        <v>87</v>
      </c>
      <c r="C60" s="23" t="s">
        <v>88</v>
      </c>
      <c r="D60" s="37" t="s">
        <v>29</v>
      </c>
      <c r="E60" s="25">
        <v>10</v>
      </c>
      <c r="F60" s="26">
        <v>30238.09</v>
      </c>
      <c r="G60" s="26">
        <f t="shared" si="6"/>
        <v>302380.90000000002</v>
      </c>
      <c r="H60" s="106"/>
      <c r="I60" s="130">
        <v>28557</v>
      </c>
      <c r="J60" s="145">
        <f t="shared" si="7"/>
        <v>285570</v>
      </c>
      <c r="L60" s="129"/>
    </row>
    <row r="61" spans="1:12" ht="14.5">
      <c r="B61" s="150" t="s">
        <v>89</v>
      </c>
      <c r="C61" s="23" t="s">
        <v>90</v>
      </c>
      <c r="D61" s="30" t="s">
        <v>19</v>
      </c>
      <c r="E61" s="25">
        <v>5</v>
      </c>
      <c r="F61" s="26">
        <v>49579.72</v>
      </c>
      <c r="G61" s="26">
        <f t="shared" si="6"/>
        <v>247898.6</v>
      </c>
      <c r="H61" s="106"/>
      <c r="I61" s="130">
        <v>46823</v>
      </c>
      <c r="J61" s="145">
        <f t="shared" si="7"/>
        <v>234115</v>
      </c>
      <c r="L61" s="129"/>
    </row>
    <row r="62" spans="1:12" ht="14.5">
      <c r="B62" s="150" t="s">
        <v>91</v>
      </c>
      <c r="C62" s="23" t="s">
        <v>92</v>
      </c>
      <c r="D62" s="30" t="s">
        <v>19</v>
      </c>
      <c r="E62" s="25">
        <v>1</v>
      </c>
      <c r="F62" s="26">
        <v>137390.67000000001</v>
      </c>
      <c r="G62" s="26">
        <f t="shared" si="6"/>
        <v>137390.67000000001</v>
      </c>
      <c r="H62" s="106"/>
      <c r="I62" s="130">
        <v>129752</v>
      </c>
      <c r="J62" s="145">
        <f t="shared" si="7"/>
        <v>129752</v>
      </c>
      <c r="L62" s="129"/>
    </row>
    <row r="63" spans="1:12" ht="31.75" customHeight="1">
      <c r="B63" s="150" t="s">
        <v>93</v>
      </c>
      <c r="C63" s="23" t="s">
        <v>94</v>
      </c>
      <c r="D63" s="37" t="s">
        <v>29</v>
      </c>
      <c r="E63" s="25">
        <v>30</v>
      </c>
      <c r="F63" s="26">
        <v>25476.81</v>
      </c>
      <c r="G63" s="26">
        <f t="shared" si="6"/>
        <v>764304.3</v>
      </c>
      <c r="H63" s="106"/>
      <c r="I63" s="130">
        <v>24060</v>
      </c>
      <c r="J63" s="145">
        <f t="shared" si="7"/>
        <v>721800</v>
      </c>
      <c r="L63" s="129"/>
    </row>
    <row r="64" spans="1:12" ht="14.5">
      <c r="B64" s="150" t="s">
        <v>95</v>
      </c>
      <c r="C64" s="23" t="s">
        <v>96</v>
      </c>
      <c r="D64" s="30" t="s">
        <v>19</v>
      </c>
      <c r="E64" s="25">
        <v>1</v>
      </c>
      <c r="F64" s="26">
        <v>506129.18</v>
      </c>
      <c r="G64" s="26">
        <f t="shared" si="6"/>
        <v>506129.18</v>
      </c>
      <c r="H64" s="106"/>
      <c r="I64" s="130">
        <v>477988</v>
      </c>
      <c r="J64" s="145">
        <f t="shared" si="7"/>
        <v>477988</v>
      </c>
      <c r="L64" s="129"/>
    </row>
    <row r="65" spans="2:12">
      <c r="B65" s="159" t="s">
        <v>97</v>
      </c>
      <c r="C65" s="53" t="s">
        <v>98</v>
      </c>
      <c r="D65" s="54" t="s">
        <v>99</v>
      </c>
      <c r="E65" s="54"/>
      <c r="F65" s="54" t="s">
        <v>99</v>
      </c>
      <c r="G65" s="54" t="str">
        <f t="shared" si="6"/>
        <v/>
      </c>
      <c r="H65" s="116"/>
      <c r="I65" s="130"/>
      <c r="J65" s="161"/>
      <c r="L65" s="129"/>
    </row>
    <row r="66" spans="2:12" ht="14.5">
      <c r="B66" s="144" t="s">
        <v>100</v>
      </c>
      <c r="C66" s="23" t="s">
        <v>101</v>
      </c>
      <c r="D66" s="37" t="s">
        <v>29</v>
      </c>
      <c r="E66" s="25">
        <v>30</v>
      </c>
      <c r="F66" s="28">
        <v>30955.14</v>
      </c>
      <c r="G66" s="26">
        <f t="shared" si="6"/>
        <v>928654.2</v>
      </c>
      <c r="H66" s="106"/>
      <c r="I66" s="130">
        <v>29234</v>
      </c>
      <c r="J66" s="145">
        <f t="shared" si="7"/>
        <v>877020</v>
      </c>
      <c r="L66" s="129"/>
    </row>
    <row r="67" spans="2:12" ht="25">
      <c r="B67" s="144" t="s">
        <v>102</v>
      </c>
      <c r="C67" s="23" t="s">
        <v>103</v>
      </c>
      <c r="D67" s="37" t="s">
        <v>29</v>
      </c>
      <c r="E67" s="25">
        <v>25</v>
      </c>
      <c r="F67" s="26">
        <v>28458</v>
      </c>
      <c r="G67" s="26">
        <f t="shared" si="6"/>
        <v>711450</v>
      </c>
      <c r="H67" s="106"/>
      <c r="I67" s="130">
        <v>26876</v>
      </c>
      <c r="J67" s="145">
        <f t="shared" si="7"/>
        <v>671900</v>
      </c>
      <c r="L67" s="129"/>
    </row>
    <row r="68" spans="2:12" ht="14.5">
      <c r="B68" s="144" t="s">
        <v>104</v>
      </c>
      <c r="C68" s="23" t="s">
        <v>105</v>
      </c>
      <c r="D68" s="30" t="s">
        <v>19</v>
      </c>
      <c r="E68" s="25">
        <v>10</v>
      </c>
      <c r="F68" s="26">
        <v>26331.119999999999</v>
      </c>
      <c r="G68" s="26">
        <f t="shared" si="6"/>
        <v>263311.2</v>
      </c>
      <c r="H68" s="106"/>
      <c r="I68" s="130">
        <v>24867</v>
      </c>
      <c r="J68" s="145">
        <f t="shared" si="7"/>
        <v>248670</v>
      </c>
      <c r="L68" s="129"/>
    </row>
    <row r="69" spans="2:12" ht="14.5">
      <c r="B69" s="144" t="s">
        <v>106</v>
      </c>
      <c r="C69" s="23" t="s">
        <v>107</v>
      </c>
      <c r="D69" s="30" t="s">
        <v>19</v>
      </c>
      <c r="E69" s="25">
        <v>2</v>
      </c>
      <c r="F69" s="26">
        <v>59891.47</v>
      </c>
      <c r="G69" s="26">
        <f t="shared" si="6"/>
        <v>119782.94</v>
      </c>
      <c r="H69" s="106"/>
      <c r="I69" s="130">
        <v>56562</v>
      </c>
      <c r="J69" s="145">
        <f t="shared" si="7"/>
        <v>113124</v>
      </c>
      <c r="L69" s="129"/>
    </row>
    <row r="70" spans="2:12" ht="14.5">
      <c r="B70" s="144" t="s">
        <v>108</v>
      </c>
      <c r="C70" s="23" t="s">
        <v>109</v>
      </c>
      <c r="D70" s="30" t="s">
        <v>19</v>
      </c>
      <c r="E70" s="25">
        <v>2</v>
      </c>
      <c r="F70" s="26">
        <v>72752.87</v>
      </c>
      <c r="G70" s="26">
        <f t="shared" si="6"/>
        <v>145505.74</v>
      </c>
      <c r="H70" s="106"/>
      <c r="I70" s="130">
        <v>68708</v>
      </c>
      <c r="J70" s="145">
        <f t="shared" si="7"/>
        <v>137416</v>
      </c>
      <c r="L70" s="129"/>
    </row>
    <row r="71" spans="2:12" ht="14.5">
      <c r="B71" s="144" t="s">
        <v>110</v>
      </c>
      <c r="C71" s="23" t="s">
        <v>111</v>
      </c>
      <c r="D71" s="30" t="s">
        <v>19</v>
      </c>
      <c r="E71" s="25">
        <v>1</v>
      </c>
      <c r="F71" s="26">
        <v>139990.64000000001</v>
      </c>
      <c r="G71" s="26">
        <f t="shared" si="6"/>
        <v>139990.64000000001</v>
      </c>
      <c r="H71" s="106"/>
      <c r="I71" s="130">
        <v>132207</v>
      </c>
      <c r="J71" s="145">
        <f t="shared" si="7"/>
        <v>132207</v>
      </c>
      <c r="L71" s="129"/>
    </row>
    <row r="72" spans="2:12" ht="14.5">
      <c r="B72" s="144" t="s">
        <v>112</v>
      </c>
      <c r="C72" s="23" t="s">
        <v>113</v>
      </c>
      <c r="D72" s="37" t="s">
        <v>29</v>
      </c>
      <c r="E72" s="25">
        <v>20</v>
      </c>
      <c r="F72" s="26">
        <v>6164.72</v>
      </c>
      <c r="G72" s="26">
        <f t="shared" si="6"/>
        <v>123294.40000000001</v>
      </c>
      <c r="H72" s="106"/>
      <c r="I72" s="130">
        <v>5822</v>
      </c>
      <c r="J72" s="145">
        <f t="shared" si="7"/>
        <v>116440</v>
      </c>
      <c r="L72" s="129"/>
    </row>
    <row r="73" spans="2:12" ht="15" thickBot="1">
      <c r="B73" s="144" t="s">
        <v>114</v>
      </c>
      <c r="C73" s="23" t="s">
        <v>115</v>
      </c>
      <c r="D73" s="30" t="s">
        <v>19</v>
      </c>
      <c r="E73" s="25">
        <v>1</v>
      </c>
      <c r="F73" s="26">
        <v>279128.99</v>
      </c>
      <c r="G73" s="26">
        <f t="shared" si="6"/>
        <v>279128.99</v>
      </c>
      <c r="H73" s="106"/>
      <c r="I73" s="130">
        <v>263609</v>
      </c>
      <c r="J73" s="145">
        <f t="shared" si="7"/>
        <v>263609</v>
      </c>
      <c r="L73" s="129"/>
    </row>
    <row r="74" spans="2:12" ht="15" thickBot="1">
      <c r="B74" s="159">
        <v>6.3</v>
      </c>
      <c r="C74" s="55" t="s">
        <v>116</v>
      </c>
      <c r="D74" s="55"/>
      <c r="E74" s="55"/>
      <c r="F74" s="55"/>
      <c r="G74" s="55"/>
      <c r="H74" s="64"/>
      <c r="I74" s="130"/>
      <c r="J74" s="162"/>
      <c r="L74" s="129"/>
    </row>
    <row r="75" spans="2:12" ht="14.5">
      <c r="B75" s="144" t="s">
        <v>117</v>
      </c>
      <c r="C75" s="23" t="s">
        <v>118</v>
      </c>
      <c r="D75" s="37" t="s">
        <v>29</v>
      </c>
      <c r="E75" s="25">
        <v>10</v>
      </c>
      <c r="F75" s="26">
        <v>33737.81</v>
      </c>
      <c r="G75" s="26">
        <f t="shared" si="6"/>
        <v>337378.1</v>
      </c>
      <c r="H75" s="106"/>
      <c r="I75" s="130">
        <v>31862</v>
      </c>
      <c r="J75" s="145">
        <f t="shared" si="7"/>
        <v>318620</v>
      </c>
      <c r="L75" s="129"/>
    </row>
    <row r="76" spans="2:12" ht="16" thickBot="1">
      <c r="B76" s="151">
        <v>7</v>
      </c>
      <c r="C76" s="38" t="s">
        <v>119</v>
      </c>
      <c r="D76" s="39"/>
      <c r="E76" s="40"/>
      <c r="F76" s="39"/>
      <c r="G76" s="39"/>
      <c r="H76" s="109">
        <f>+SUM(G78:G93)</f>
        <v>19969007.469999999</v>
      </c>
      <c r="I76" s="130"/>
      <c r="J76" s="152">
        <f>SUM(J78:J93)</f>
        <v>18858794</v>
      </c>
      <c r="L76" s="129"/>
    </row>
    <row r="77" spans="2:12" ht="29" customHeight="1" thickBot="1">
      <c r="B77" s="163">
        <v>7.1</v>
      </c>
      <c r="C77" s="55" t="s">
        <v>120</v>
      </c>
      <c r="D77" s="55"/>
      <c r="E77" s="55"/>
      <c r="F77" s="55"/>
      <c r="G77" s="55"/>
      <c r="H77" s="64"/>
      <c r="I77" s="130"/>
      <c r="J77" s="162"/>
      <c r="L77" s="129"/>
    </row>
    <row r="78" spans="2:12" ht="36.65" customHeight="1">
      <c r="B78" s="144" t="s">
        <v>121</v>
      </c>
      <c r="C78" s="23" t="s">
        <v>122</v>
      </c>
      <c r="D78" s="37" t="s">
        <v>29</v>
      </c>
      <c r="E78" s="25">
        <v>150</v>
      </c>
      <c r="F78" s="26">
        <v>15891.34</v>
      </c>
      <c r="G78" s="26">
        <f t="shared" ref="G78" si="8">IFERROR((F78*E78),"")</f>
        <v>2383701</v>
      </c>
      <c r="H78" s="112"/>
      <c r="I78" s="130">
        <v>15008</v>
      </c>
      <c r="J78" s="145">
        <f t="shared" ref="J78:J132" si="9">+I78*E78</f>
        <v>2251200</v>
      </c>
      <c r="L78" s="129"/>
    </row>
    <row r="79" spans="2:12" ht="38" thickBot="1">
      <c r="B79" s="144" t="s">
        <v>123</v>
      </c>
      <c r="C79" s="23" t="s">
        <v>124</v>
      </c>
      <c r="D79" s="37" t="s">
        <v>29</v>
      </c>
      <c r="E79" s="25">
        <v>120</v>
      </c>
      <c r="F79" s="26">
        <v>19836.87</v>
      </c>
      <c r="G79" s="26">
        <f t="shared" si="6"/>
        <v>2380424.4</v>
      </c>
      <c r="H79" s="106"/>
      <c r="I79" s="130">
        <v>18734</v>
      </c>
      <c r="J79" s="145">
        <f t="shared" si="9"/>
        <v>2248080</v>
      </c>
      <c r="L79" s="129"/>
    </row>
    <row r="80" spans="2:12" ht="17" customHeight="1" thickBot="1">
      <c r="B80" s="163">
        <v>7.2</v>
      </c>
      <c r="C80" s="55" t="s">
        <v>125</v>
      </c>
      <c r="D80" s="55"/>
      <c r="E80" s="55"/>
      <c r="F80" s="55"/>
      <c r="G80" s="55"/>
      <c r="H80" s="64"/>
      <c r="I80" s="130"/>
      <c r="J80" s="162"/>
      <c r="L80" s="129"/>
    </row>
    <row r="81" spans="2:12" ht="87.5">
      <c r="B81" s="144" t="s">
        <v>126</v>
      </c>
      <c r="C81" s="23" t="s">
        <v>127</v>
      </c>
      <c r="D81" s="30" t="s">
        <v>19</v>
      </c>
      <c r="E81" s="25">
        <v>1</v>
      </c>
      <c r="F81" s="26">
        <v>2217580.4900000002</v>
      </c>
      <c r="G81" s="26">
        <f>IFERROR((F81*E81),"")</f>
        <v>2217580.4900000002</v>
      </c>
      <c r="H81" s="106"/>
      <c r="I81" s="130">
        <v>2094283</v>
      </c>
      <c r="J81" s="145">
        <f t="shared" si="9"/>
        <v>2094283</v>
      </c>
      <c r="L81" s="129"/>
    </row>
    <row r="82" spans="2:12" ht="50.5" thickBot="1">
      <c r="B82" s="144" t="s">
        <v>128</v>
      </c>
      <c r="C82" s="23" t="s">
        <v>129</v>
      </c>
      <c r="D82" s="30" t="s">
        <v>19</v>
      </c>
      <c r="E82" s="25">
        <v>1</v>
      </c>
      <c r="F82" s="26">
        <v>1184305.71</v>
      </c>
      <c r="G82" s="26">
        <f t="shared" si="6"/>
        <v>1184305.71</v>
      </c>
      <c r="H82" s="106"/>
      <c r="I82" s="130">
        <v>1118458</v>
      </c>
      <c r="J82" s="145">
        <f t="shared" si="9"/>
        <v>1118458</v>
      </c>
      <c r="L82" s="129"/>
    </row>
    <row r="83" spans="2:12" ht="17" customHeight="1" thickBot="1">
      <c r="B83" s="163">
        <v>7.3</v>
      </c>
      <c r="C83" s="55" t="s">
        <v>130</v>
      </c>
      <c r="D83" s="55"/>
      <c r="E83" s="55"/>
      <c r="F83" s="55"/>
      <c r="G83" s="55"/>
      <c r="H83" s="64"/>
      <c r="I83" s="130"/>
      <c r="J83" s="162"/>
      <c r="L83" s="129"/>
    </row>
    <row r="84" spans="2:12" ht="75.5" thickBot="1">
      <c r="B84" s="144" t="s">
        <v>131</v>
      </c>
      <c r="C84" s="23" t="s">
        <v>132</v>
      </c>
      <c r="D84" s="37" t="s">
        <v>29</v>
      </c>
      <c r="E84" s="25">
        <v>35</v>
      </c>
      <c r="F84" s="26">
        <v>67176.59</v>
      </c>
      <c r="G84" s="26">
        <f t="shared" si="6"/>
        <v>2351180.65</v>
      </c>
      <c r="H84" s="117"/>
      <c r="I84" s="130">
        <v>63442</v>
      </c>
      <c r="J84" s="145">
        <f t="shared" si="9"/>
        <v>2220470</v>
      </c>
      <c r="L84" s="129"/>
    </row>
    <row r="85" spans="2:12" ht="50.4" customHeight="1" thickBot="1">
      <c r="B85" s="163">
        <v>7.4</v>
      </c>
      <c r="C85" s="55" t="s">
        <v>133</v>
      </c>
      <c r="D85" s="55"/>
      <c r="E85" s="55"/>
      <c r="F85" s="55"/>
      <c r="G85" s="55"/>
      <c r="H85" s="64"/>
      <c r="I85" s="130"/>
      <c r="J85" s="162"/>
      <c r="L85" s="129"/>
    </row>
    <row r="86" spans="2:12" ht="37.5">
      <c r="B86" s="144" t="s">
        <v>134</v>
      </c>
      <c r="C86" s="23" t="s">
        <v>135</v>
      </c>
      <c r="D86" s="37" t="s">
        <v>19</v>
      </c>
      <c r="E86" s="25">
        <v>2</v>
      </c>
      <c r="F86" s="26">
        <v>92817.27</v>
      </c>
      <c r="G86" s="26">
        <f t="shared" si="6"/>
        <v>185634.54</v>
      </c>
      <c r="H86" s="118"/>
      <c r="I86" s="130">
        <v>87657</v>
      </c>
      <c r="J86" s="145">
        <f t="shared" si="9"/>
        <v>175314</v>
      </c>
      <c r="L86" s="129"/>
    </row>
    <row r="87" spans="2:12" ht="50">
      <c r="B87" s="144" t="s">
        <v>136</v>
      </c>
      <c r="C87" s="23" t="s">
        <v>137</v>
      </c>
      <c r="D87" s="37" t="s">
        <v>19</v>
      </c>
      <c r="E87" s="25">
        <v>2</v>
      </c>
      <c r="F87" s="26">
        <v>204877.32</v>
      </c>
      <c r="G87" s="26">
        <f t="shared" si="6"/>
        <v>409754.64</v>
      </c>
      <c r="H87" s="118"/>
      <c r="I87" s="130">
        <v>193486</v>
      </c>
      <c r="J87" s="145">
        <f t="shared" si="9"/>
        <v>386972</v>
      </c>
      <c r="L87" s="129"/>
    </row>
    <row r="88" spans="2:12" ht="73.25" customHeight="1">
      <c r="B88" s="164" t="s">
        <v>138</v>
      </c>
      <c r="C88" s="56" t="s">
        <v>139</v>
      </c>
      <c r="D88" s="57" t="s">
        <v>19</v>
      </c>
      <c r="E88" s="58">
        <v>12</v>
      </c>
      <c r="F88" s="26">
        <v>197345.22</v>
      </c>
      <c r="G88" s="26">
        <f t="shared" si="6"/>
        <v>2368142.64</v>
      </c>
      <c r="H88" s="118"/>
      <c r="I88" s="130">
        <v>186373</v>
      </c>
      <c r="J88" s="145">
        <f t="shared" si="9"/>
        <v>2236476</v>
      </c>
      <c r="L88" s="129"/>
    </row>
    <row r="89" spans="2:12" ht="58.25" customHeight="1">
      <c r="B89" s="144" t="s">
        <v>140</v>
      </c>
      <c r="C89" s="23" t="s">
        <v>141</v>
      </c>
      <c r="D89" s="37" t="s">
        <v>19</v>
      </c>
      <c r="E89" s="25">
        <v>10</v>
      </c>
      <c r="F89" s="26">
        <v>236674.74</v>
      </c>
      <c r="G89" s="26">
        <f t="shared" si="6"/>
        <v>2366747.4</v>
      </c>
      <c r="H89" s="106"/>
      <c r="I89" s="130">
        <v>223516</v>
      </c>
      <c r="J89" s="145">
        <f t="shared" si="9"/>
        <v>2235160</v>
      </c>
      <c r="L89" s="129"/>
    </row>
    <row r="90" spans="2:12" ht="58.25" customHeight="1">
      <c r="B90" s="144" t="s">
        <v>142</v>
      </c>
      <c r="C90" s="23" t="s">
        <v>143</v>
      </c>
      <c r="D90" s="37" t="s">
        <v>19</v>
      </c>
      <c r="E90" s="25">
        <v>6</v>
      </c>
      <c r="F90" s="26">
        <v>184335.61</v>
      </c>
      <c r="G90" s="26">
        <f t="shared" si="6"/>
        <v>1106013.6599999999</v>
      </c>
      <c r="H90" s="118"/>
      <c r="I90" s="130">
        <v>174087</v>
      </c>
      <c r="J90" s="145">
        <f t="shared" si="9"/>
        <v>1044522</v>
      </c>
      <c r="L90" s="129"/>
    </row>
    <row r="91" spans="2:12" ht="58.25" customHeight="1" thickBot="1">
      <c r="B91" s="144" t="s">
        <v>144</v>
      </c>
      <c r="C91" s="23" t="s">
        <v>145</v>
      </c>
      <c r="D91" s="37" t="s">
        <v>19</v>
      </c>
      <c r="E91" s="25">
        <v>2</v>
      </c>
      <c r="F91" s="26">
        <v>129843.5</v>
      </c>
      <c r="G91" s="26">
        <f t="shared" si="6"/>
        <v>259687</v>
      </c>
      <c r="H91" s="118"/>
      <c r="I91" s="130">
        <v>122624</v>
      </c>
      <c r="J91" s="145">
        <f t="shared" si="9"/>
        <v>245248</v>
      </c>
      <c r="L91" s="129"/>
    </row>
    <row r="92" spans="2:12" ht="16.25" customHeight="1" thickBot="1">
      <c r="B92" s="163">
        <v>7.5</v>
      </c>
      <c r="C92" s="55" t="s">
        <v>146</v>
      </c>
      <c r="D92" s="55"/>
      <c r="E92" s="55"/>
      <c r="F92" s="55"/>
      <c r="G92" s="55"/>
      <c r="H92" s="64"/>
      <c r="I92" s="130"/>
      <c r="J92" s="162"/>
      <c r="L92" s="129"/>
    </row>
    <row r="93" spans="2:12" ht="84" customHeight="1">
      <c r="B93" s="165" t="s">
        <v>147</v>
      </c>
      <c r="C93" s="56" t="s">
        <v>148</v>
      </c>
      <c r="D93" s="57" t="s">
        <v>19</v>
      </c>
      <c r="E93" s="58">
        <v>1</v>
      </c>
      <c r="F93" s="59">
        <v>2755835.34</v>
      </c>
      <c r="G93" s="26">
        <f t="shared" si="6"/>
        <v>2755835.34</v>
      </c>
      <c r="H93" s="118"/>
      <c r="I93" s="130">
        <v>2602611</v>
      </c>
      <c r="J93" s="145">
        <f t="shared" si="9"/>
        <v>2602611</v>
      </c>
      <c r="L93" s="129"/>
    </row>
    <row r="94" spans="2:12" ht="15" thickBot="1">
      <c r="B94" s="166">
        <v>8</v>
      </c>
      <c r="C94" s="60" t="s">
        <v>149</v>
      </c>
      <c r="D94" s="61"/>
      <c r="E94" s="61"/>
      <c r="F94" s="61"/>
      <c r="G94" s="60"/>
      <c r="H94" s="109">
        <f>+SUM(G95:G96)</f>
        <v>5059341.84</v>
      </c>
      <c r="I94" s="130"/>
      <c r="J94" s="152">
        <f>SUM(J95:J96)</f>
        <v>4778032</v>
      </c>
      <c r="L94" s="129"/>
    </row>
    <row r="95" spans="2:12" ht="50">
      <c r="B95" s="144">
        <v>8.1</v>
      </c>
      <c r="C95" s="23" t="s">
        <v>150</v>
      </c>
      <c r="D95" s="37" t="s">
        <v>19</v>
      </c>
      <c r="E95" s="25">
        <v>2</v>
      </c>
      <c r="F95" s="26">
        <v>883730.91</v>
      </c>
      <c r="G95" s="26">
        <f t="shared" ref="G95:G96" si="10">IFERROR((F95*E95),"")</f>
        <v>1767461.82</v>
      </c>
      <c r="H95" s="106"/>
      <c r="I95" s="130">
        <v>834595</v>
      </c>
      <c r="J95" s="145">
        <f t="shared" si="9"/>
        <v>1669190</v>
      </c>
      <c r="L95" s="129"/>
    </row>
    <row r="96" spans="2:12" ht="37.5">
      <c r="B96" s="144">
        <v>8.1999999999999993</v>
      </c>
      <c r="C96" s="23" t="s">
        <v>151</v>
      </c>
      <c r="D96" s="37" t="s">
        <v>19</v>
      </c>
      <c r="E96" s="25">
        <f>13+9</f>
        <v>22</v>
      </c>
      <c r="F96" s="26">
        <v>149630.91</v>
      </c>
      <c r="G96" s="26">
        <f t="shared" si="10"/>
        <v>3291880.02</v>
      </c>
      <c r="H96" s="106"/>
      <c r="I96" s="130">
        <v>141311</v>
      </c>
      <c r="J96" s="145">
        <f t="shared" si="9"/>
        <v>3108842</v>
      </c>
      <c r="L96" s="129"/>
    </row>
    <row r="97" spans="1:12">
      <c r="B97" s="151">
        <v>9</v>
      </c>
      <c r="C97" s="38" t="s">
        <v>152</v>
      </c>
      <c r="D97" s="39"/>
      <c r="E97" s="40"/>
      <c r="F97" s="39"/>
      <c r="G97" s="39"/>
      <c r="H97" s="109">
        <f>+SUM(G98:G99)</f>
        <v>14736841.141536001</v>
      </c>
      <c r="I97" s="130"/>
      <c r="J97" s="152">
        <f>SUM(J98:J99)</f>
        <v>13917492.336000001</v>
      </c>
      <c r="L97" s="129"/>
    </row>
    <row r="98" spans="1:12" ht="25">
      <c r="B98" s="144">
        <v>9.1</v>
      </c>
      <c r="C98" s="23" t="s">
        <v>153</v>
      </c>
      <c r="D98" s="37" t="s">
        <v>26</v>
      </c>
      <c r="E98" s="25">
        <f>+E53*2+80</f>
        <v>330.20160000000004</v>
      </c>
      <c r="F98" s="26">
        <v>33312.21</v>
      </c>
      <c r="G98" s="26">
        <f t="shared" si="6"/>
        <v>10999745.041536001</v>
      </c>
      <c r="H98" s="106"/>
      <c r="I98" s="130">
        <v>31460</v>
      </c>
      <c r="J98" s="145">
        <f t="shared" si="9"/>
        <v>10388142.336000001</v>
      </c>
      <c r="L98" s="129"/>
    </row>
    <row r="99" spans="1:12" ht="15" thickBot="1">
      <c r="B99" s="144">
        <v>9.1999999999999993</v>
      </c>
      <c r="C99" s="56" t="s">
        <v>154</v>
      </c>
      <c r="D99" s="37" t="s">
        <v>26</v>
      </c>
      <c r="E99" s="58">
        <v>90</v>
      </c>
      <c r="F99" s="59">
        <v>41523.29</v>
      </c>
      <c r="G99" s="26">
        <f t="shared" si="6"/>
        <v>3737096.1</v>
      </c>
      <c r="H99" s="106"/>
      <c r="I99" s="130">
        <v>39215</v>
      </c>
      <c r="J99" s="145">
        <f t="shared" si="9"/>
        <v>3529350</v>
      </c>
      <c r="L99" s="129"/>
    </row>
    <row r="100" spans="1:12" ht="15" thickBot="1">
      <c r="B100" s="151">
        <v>10</v>
      </c>
      <c r="C100" s="62" t="s">
        <v>155</v>
      </c>
      <c r="D100" s="62"/>
      <c r="E100" s="62"/>
      <c r="F100" s="62"/>
      <c r="G100" s="62"/>
      <c r="H100" s="109">
        <f>SUM(G101)</f>
        <v>14738808.24</v>
      </c>
      <c r="I100" s="130"/>
      <c r="J100" s="152">
        <f>SUM(J101)</f>
        <v>13919373</v>
      </c>
      <c r="L100" s="129"/>
    </row>
    <row r="101" spans="1:12" ht="33" customHeight="1">
      <c r="B101" s="144">
        <v>10.1</v>
      </c>
      <c r="C101" s="23" t="s">
        <v>156</v>
      </c>
      <c r="D101" s="37" t="s">
        <v>26</v>
      </c>
      <c r="E101" s="25">
        <f>100+8+9</f>
        <v>117</v>
      </c>
      <c r="F101" s="26">
        <v>125972.72</v>
      </c>
      <c r="G101" s="26">
        <f>IFERROR((F101*E101),"")</f>
        <v>14738808.24</v>
      </c>
      <c r="H101" s="106"/>
      <c r="I101" s="130">
        <v>118969</v>
      </c>
      <c r="J101" s="145">
        <f t="shared" si="9"/>
        <v>13919373</v>
      </c>
      <c r="L101" s="129"/>
    </row>
    <row r="102" spans="1:12" ht="33" customHeight="1">
      <c r="B102" s="167">
        <v>11</v>
      </c>
      <c r="C102" s="63" t="s">
        <v>157</v>
      </c>
      <c r="D102" s="63"/>
      <c r="E102" s="63"/>
      <c r="F102" s="63"/>
      <c r="G102" s="63"/>
      <c r="H102" s="109">
        <f>SUM(G103:G107)</f>
        <v>18099042.48</v>
      </c>
      <c r="I102" s="130"/>
      <c r="J102" s="152">
        <f>SUM(J103:J107)</f>
        <v>17092733.5</v>
      </c>
      <c r="L102" s="129"/>
    </row>
    <row r="103" spans="1:12" ht="33" customHeight="1">
      <c r="B103" s="144">
        <v>11.1</v>
      </c>
      <c r="C103" s="23" t="s">
        <v>158</v>
      </c>
      <c r="D103" s="37" t="s">
        <v>26</v>
      </c>
      <c r="E103" s="25">
        <f>(12*5.5+8)*1.1</f>
        <v>81.400000000000006</v>
      </c>
      <c r="F103" s="26">
        <v>120595.98</v>
      </c>
      <c r="G103" s="26">
        <f>IFERROR((F103*E103),"")</f>
        <v>9816512.7719999999</v>
      </c>
      <c r="H103" s="106"/>
      <c r="I103" s="130">
        <v>113891</v>
      </c>
      <c r="J103" s="145">
        <f t="shared" si="9"/>
        <v>9270727.4000000004</v>
      </c>
      <c r="L103" s="129"/>
    </row>
    <row r="104" spans="1:12" ht="33" customHeight="1">
      <c r="B104" s="144">
        <v>11.2</v>
      </c>
      <c r="C104" s="23" t="s">
        <v>159</v>
      </c>
      <c r="D104" s="37" t="s">
        <v>160</v>
      </c>
      <c r="E104" s="25">
        <f>(12*2+5.5*2)*1.1</f>
        <v>38.5</v>
      </c>
      <c r="F104" s="26">
        <v>26591.53</v>
      </c>
      <c r="G104" s="26">
        <f t="shared" ref="G104:G110" si="11">IFERROR((F104*E104),"")</f>
        <v>1023773.9049999999</v>
      </c>
      <c r="H104" s="106"/>
      <c r="I104" s="130">
        <v>25113</v>
      </c>
      <c r="J104" s="145">
        <f t="shared" si="9"/>
        <v>966850.5</v>
      </c>
      <c r="L104" s="129"/>
    </row>
    <row r="105" spans="1:12" ht="42" customHeight="1">
      <c r="B105" s="144">
        <v>11.3</v>
      </c>
      <c r="C105" s="23" t="s">
        <v>161</v>
      </c>
      <c r="D105" s="37" t="s">
        <v>26</v>
      </c>
      <c r="E105" s="25">
        <f>3*2*2*2</f>
        <v>24</v>
      </c>
      <c r="F105" s="26">
        <v>78116.479999999996</v>
      </c>
      <c r="G105" s="26">
        <f t="shared" si="11"/>
        <v>1874795.52</v>
      </c>
      <c r="H105" s="106"/>
      <c r="I105" s="130">
        <v>73773</v>
      </c>
      <c r="J105" s="145">
        <f t="shared" si="9"/>
        <v>1770552</v>
      </c>
      <c r="L105" s="129"/>
    </row>
    <row r="106" spans="1:12" ht="33" customHeight="1">
      <c r="A106" s="1">
        <v>90022</v>
      </c>
      <c r="B106" s="144">
        <v>11.4</v>
      </c>
      <c r="C106" s="23" t="s">
        <v>162</v>
      </c>
      <c r="D106" s="37" t="s">
        <v>26</v>
      </c>
      <c r="E106" s="25">
        <f>+(11*2+7.5+2)*1.2</f>
        <v>37.799999999999997</v>
      </c>
      <c r="F106" s="26">
        <v>106536.64</v>
      </c>
      <c r="G106" s="26">
        <f t="shared" si="11"/>
        <v>4027084.9919999996</v>
      </c>
      <c r="H106" s="106"/>
      <c r="I106" s="130">
        <v>100613</v>
      </c>
      <c r="J106" s="145">
        <f t="shared" si="9"/>
        <v>3803171.4</v>
      </c>
      <c r="L106" s="129"/>
    </row>
    <row r="107" spans="1:12" ht="44.4" customHeight="1" thickBot="1">
      <c r="B107" s="144">
        <v>11.5</v>
      </c>
      <c r="C107" s="23" t="s">
        <v>163</v>
      </c>
      <c r="D107" s="37" t="s">
        <v>29</v>
      </c>
      <c r="E107" s="25">
        <f>0.95*2</f>
        <v>1.9</v>
      </c>
      <c r="F107" s="26">
        <v>714144.89</v>
      </c>
      <c r="G107" s="26">
        <f t="shared" si="11"/>
        <v>1356875.291</v>
      </c>
      <c r="H107" s="119"/>
      <c r="I107" s="130">
        <v>674438</v>
      </c>
      <c r="J107" s="145">
        <f t="shared" si="9"/>
        <v>1281432.2</v>
      </c>
      <c r="L107" s="129"/>
    </row>
    <row r="108" spans="1:12" ht="27" customHeight="1" thickBot="1">
      <c r="B108" s="168"/>
      <c r="C108" s="55" t="s">
        <v>164</v>
      </c>
      <c r="D108" s="55"/>
      <c r="E108" s="55"/>
      <c r="F108" s="55"/>
      <c r="G108" s="64"/>
      <c r="H108" s="120">
        <f>SUM(G109:G110)</f>
        <v>272225246.94718838</v>
      </c>
      <c r="I108" s="130"/>
      <c r="J108" s="169">
        <f>SUM(J109:J110)</f>
        <v>257089325.5270091</v>
      </c>
      <c r="L108" s="129"/>
    </row>
    <row r="109" spans="1:12" ht="84.65" customHeight="1">
      <c r="B109" s="144">
        <v>11.6</v>
      </c>
      <c r="C109" s="23" t="s">
        <v>165</v>
      </c>
      <c r="D109" s="37" t="s">
        <v>26</v>
      </c>
      <c r="E109" s="25">
        <v>1328.5579065555419</v>
      </c>
      <c r="F109" s="26">
        <v>198110.0392</v>
      </c>
      <c r="G109" s="26">
        <f t="shared" si="11"/>
        <v>263200658.94718835</v>
      </c>
      <c r="H109" s="121"/>
      <c r="I109" s="130">
        <v>187095</v>
      </c>
      <c r="J109" s="145">
        <f t="shared" si="9"/>
        <v>248566541.5270091</v>
      </c>
      <c r="L109" s="129"/>
    </row>
    <row r="110" spans="1:12" ht="29.4" customHeight="1">
      <c r="B110" s="144">
        <v>11.7</v>
      </c>
      <c r="C110" s="23" t="s">
        <v>166</v>
      </c>
      <c r="D110" s="37" t="s">
        <v>167</v>
      </c>
      <c r="E110" s="25">
        <v>288</v>
      </c>
      <c r="F110" s="26">
        <v>31335.375</v>
      </c>
      <c r="G110" s="26">
        <f t="shared" si="11"/>
        <v>9024588</v>
      </c>
      <c r="H110" s="121"/>
      <c r="I110" s="130">
        <v>29593</v>
      </c>
      <c r="J110" s="145">
        <f t="shared" si="9"/>
        <v>8522784</v>
      </c>
      <c r="L110" s="129"/>
    </row>
    <row r="111" spans="1:12">
      <c r="B111" s="142">
        <v>12</v>
      </c>
      <c r="C111" s="19" t="s">
        <v>168</v>
      </c>
      <c r="D111" s="20"/>
      <c r="E111" s="21"/>
      <c r="F111" s="20"/>
      <c r="G111" s="20"/>
      <c r="H111" s="107">
        <f>+SUM(G112:G113)</f>
        <v>13969121.586092111</v>
      </c>
      <c r="I111" s="130"/>
      <c r="J111" s="143">
        <f>SUM(J112:J113)</f>
        <v>13192347.088048339</v>
      </c>
      <c r="L111" s="129"/>
    </row>
    <row r="112" spans="1:12" ht="17.399999999999999" customHeight="1">
      <c r="B112" s="144">
        <v>12.1</v>
      </c>
      <c r="C112" s="23" t="s">
        <v>169</v>
      </c>
      <c r="D112" s="37" t="s">
        <v>26</v>
      </c>
      <c r="E112" s="65">
        <v>275.58552946930433</v>
      </c>
      <c r="F112" s="26">
        <v>24705.1</v>
      </c>
      <c r="G112" s="26">
        <f>IFERROR((F112*E112),"")</f>
        <v>6808368.0640921099</v>
      </c>
      <c r="H112" s="106"/>
      <c r="I112" s="130">
        <v>23331</v>
      </c>
      <c r="J112" s="145">
        <f t="shared" si="9"/>
        <v>6429685.9880483393</v>
      </c>
      <c r="L112" s="129"/>
    </row>
    <row r="113" spans="2:12" ht="25.5" thickBot="1">
      <c r="B113" s="144">
        <v>12.2</v>
      </c>
      <c r="C113" s="23" t="s">
        <v>170</v>
      </c>
      <c r="D113" s="37" t="s">
        <v>26</v>
      </c>
      <c r="E113" s="25">
        <v>165.1</v>
      </c>
      <c r="F113" s="26">
        <v>43372.22</v>
      </c>
      <c r="G113" s="26">
        <f>IFERROR((F113*E113),"")</f>
        <v>7160753.5219999999</v>
      </c>
      <c r="H113" s="106"/>
      <c r="I113" s="130">
        <v>40961</v>
      </c>
      <c r="J113" s="145">
        <f t="shared" si="9"/>
        <v>6762661.0999999996</v>
      </c>
      <c r="L113" s="129"/>
    </row>
    <row r="114" spans="2:12" ht="14.5">
      <c r="B114" s="66">
        <v>13</v>
      </c>
      <c r="C114" s="67" t="s">
        <v>171</v>
      </c>
      <c r="D114" s="68"/>
      <c r="E114" s="69"/>
      <c r="F114" s="68"/>
      <c r="G114" s="68"/>
      <c r="H114" s="122">
        <f>+SUM(G115)</f>
        <v>14575642.199999999</v>
      </c>
      <c r="I114" s="130"/>
      <c r="J114" s="170">
        <f>SUM(J115)</f>
        <v>13765399.199999999</v>
      </c>
      <c r="L114" s="129"/>
    </row>
    <row r="115" spans="2:12" ht="46.25" customHeight="1">
      <c r="B115" s="171">
        <v>13.1</v>
      </c>
      <c r="C115" s="70" t="s">
        <v>172</v>
      </c>
      <c r="D115" s="30" t="s">
        <v>173</v>
      </c>
      <c r="E115" s="30">
        <f>4.5*9*2*5.6</f>
        <v>453.59999999999997</v>
      </c>
      <c r="F115" s="26">
        <v>32133.25</v>
      </c>
      <c r="G115" s="26">
        <f>IFERROR((F115*E115),"")</f>
        <v>14575642.199999999</v>
      </c>
      <c r="H115" s="112"/>
      <c r="I115" s="130">
        <v>30347</v>
      </c>
      <c r="J115" s="145">
        <f t="shared" si="9"/>
        <v>13765399.199999999</v>
      </c>
      <c r="L115" s="129"/>
    </row>
    <row r="116" spans="2:12" ht="15" thickBot="1">
      <c r="B116" s="166">
        <v>14</v>
      </c>
      <c r="C116" s="60" t="s">
        <v>174</v>
      </c>
      <c r="D116" s="71"/>
      <c r="E116" s="72"/>
      <c r="F116" s="71"/>
      <c r="G116" s="71"/>
      <c r="H116" s="123">
        <f>+SUM(G117:G120)</f>
        <v>33391195.744999997</v>
      </c>
      <c r="I116" s="130"/>
      <c r="J116" s="172">
        <f>SUM(J117:J120)</f>
        <v>31534650</v>
      </c>
      <c r="L116" s="129"/>
    </row>
    <row r="117" spans="2:12" ht="50">
      <c r="B117" s="144">
        <v>14.1</v>
      </c>
      <c r="C117" s="23" t="s">
        <v>175</v>
      </c>
      <c r="D117" s="33" t="s">
        <v>26</v>
      </c>
      <c r="E117" s="25">
        <f>+((2.5*1.5)*4)*1.15</f>
        <v>17.25</v>
      </c>
      <c r="F117" s="26">
        <v>460647.78</v>
      </c>
      <c r="G117" s="26">
        <f t="shared" si="6"/>
        <v>7946174.2050000001</v>
      </c>
      <c r="H117" s="106"/>
      <c r="I117" s="130">
        <v>435036</v>
      </c>
      <c r="J117" s="145">
        <f t="shared" si="9"/>
        <v>7504371</v>
      </c>
      <c r="L117" s="129"/>
    </row>
    <row r="118" spans="2:12" ht="50">
      <c r="B118" s="144">
        <v>14.2</v>
      </c>
      <c r="C118" s="23" t="s">
        <v>176</v>
      </c>
      <c r="D118" s="37" t="s">
        <v>26</v>
      </c>
      <c r="E118" s="25">
        <f>2.5*2*2.5</f>
        <v>12.5</v>
      </c>
      <c r="F118" s="26">
        <v>1058452.04</v>
      </c>
      <c r="G118" s="26">
        <f t="shared" si="6"/>
        <v>13230650.5</v>
      </c>
      <c r="H118" s="106"/>
      <c r="I118" s="130">
        <v>999602</v>
      </c>
      <c r="J118" s="145">
        <f t="shared" si="9"/>
        <v>12495025</v>
      </c>
      <c r="L118" s="129"/>
    </row>
    <row r="119" spans="2:12" ht="55.25" customHeight="1">
      <c r="B119" s="144">
        <v>14.3</v>
      </c>
      <c r="C119" s="23" t="s">
        <v>177</v>
      </c>
      <c r="D119" s="37" t="s">
        <v>26</v>
      </c>
      <c r="E119" s="73">
        <f>2*2</f>
        <v>4</v>
      </c>
      <c r="F119" s="28">
        <v>1148105.26</v>
      </c>
      <c r="G119" s="26">
        <f t="shared" si="6"/>
        <v>4592421.04</v>
      </c>
      <c r="H119" s="106"/>
      <c r="I119" s="130">
        <v>1084271</v>
      </c>
      <c r="J119" s="145">
        <f t="shared" si="9"/>
        <v>4337084</v>
      </c>
      <c r="L119" s="129"/>
    </row>
    <row r="120" spans="2:12" ht="102" customHeight="1">
      <c r="B120" s="144">
        <v>14.4</v>
      </c>
      <c r="C120" s="23" t="s">
        <v>178</v>
      </c>
      <c r="D120" s="37" t="s">
        <v>26</v>
      </c>
      <c r="E120" s="73">
        <f>(1.2*2.5+3*2.5)</f>
        <v>10.5</v>
      </c>
      <c r="F120" s="28">
        <v>725900</v>
      </c>
      <c r="G120" s="26">
        <f t="shared" si="6"/>
        <v>7621950</v>
      </c>
      <c r="H120" s="106"/>
      <c r="I120" s="130">
        <v>685540</v>
      </c>
      <c r="J120" s="145">
        <f t="shared" si="9"/>
        <v>7198170</v>
      </c>
      <c r="L120" s="129"/>
    </row>
    <row r="121" spans="2:12">
      <c r="B121" s="151">
        <v>15</v>
      </c>
      <c r="C121" s="38" t="s">
        <v>179</v>
      </c>
      <c r="D121" s="39"/>
      <c r="E121" s="40"/>
      <c r="F121" s="39"/>
      <c r="G121" s="39"/>
      <c r="H121" s="109">
        <f>+SUM(G122:G124)</f>
        <v>97865405.198395357</v>
      </c>
      <c r="I121" s="130"/>
      <c r="J121" s="152">
        <f>SUM(J122:J124)</f>
        <v>92423672.6844742</v>
      </c>
      <c r="L121" s="129"/>
    </row>
    <row r="122" spans="2:12" ht="50.4" customHeight="1">
      <c r="B122" s="144">
        <v>15.1</v>
      </c>
      <c r="C122" s="23" t="s">
        <v>180</v>
      </c>
      <c r="D122" s="24" t="s">
        <v>26</v>
      </c>
      <c r="E122" s="25">
        <f>12.5*8*1.5+20</f>
        <v>170</v>
      </c>
      <c r="F122" s="26">
        <v>281000.81</v>
      </c>
      <c r="G122" s="26">
        <f t="shared" ref="G122:G132" si="12">IFERROR((F122*E122),"")</f>
        <v>47770137.700000003</v>
      </c>
      <c r="H122" s="106"/>
      <c r="I122" s="130">
        <v>265377</v>
      </c>
      <c r="J122" s="145">
        <f t="shared" si="9"/>
        <v>45114090</v>
      </c>
      <c r="L122" s="129"/>
    </row>
    <row r="123" spans="2:12" ht="19.25" customHeight="1">
      <c r="B123" s="144">
        <v>15.2</v>
      </c>
      <c r="C123" s="23" t="s">
        <v>181</v>
      </c>
      <c r="D123" s="37" t="s">
        <v>29</v>
      </c>
      <c r="E123" s="25">
        <v>151</v>
      </c>
      <c r="F123" s="26">
        <v>60680.65</v>
      </c>
      <c r="G123" s="26">
        <f t="shared" si="12"/>
        <v>9162778.1500000004</v>
      </c>
      <c r="H123" s="106"/>
      <c r="I123" s="130">
        <v>57307</v>
      </c>
      <c r="J123" s="145">
        <f t="shared" si="9"/>
        <v>8653357</v>
      </c>
      <c r="L123" s="129"/>
    </row>
    <row r="124" spans="2:12" ht="63" customHeight="1" thickBot="1">
      <c r="B124" s="144">
        <v>15.3</v>
      </c>
      <c r="C124" s="23" t="s">
        <v>182</v>
      </c>
      <c r="D124" s="37" t="s">
        <v>183</v>
      </c>
      <c r="E124" s="74">
        <v>1412.512357382037</v>
      </c>
      <c r="F124" s="26">
        <v>28978.5</v>
      </c>
      <c r="G124" s="26">
        <f>IFERROR((F124*E124),"")</f>
        <v>40932489.348395355</v>
      </c>
      <c r="H124" s="106"/>
      <c r="I124" s="130">
        <v>27367</v>
      </c>
      <c r="J124" s="145">
        <f t="shared" si="9"/>
        <v>38656225.684474207</v>
      </c>
      <c r="L124" s="129"/>
    </row>
    <row r="125" spans="2:12" ht="20.5" thickBot="1">
      <c r="B125" s="75">
        <v>16</v>
      </c>
      <c r="C125" s="62" t="s">
        <v>184</v>
      </c>
      <c r="D125" s="76"/>
      <c r="E125" s="76"/>
      <c r="F125" s="76"/>
      <c r="G125" s="76"/>
      <c r="H125" s="109">
        <f>+SUM(G126:G129)</f>
        <v>4284520.4589999998</v>
      </c>
      <c r="I125" s="130"/>
      <c r="J125" s="152">
        <f>SUM(J126:J129)</f>
        <v>4046301.4</v>
      </c>
      <c r="L125" s="129"/>
    </row>
    <row r="126" spans="2:12" ht="27" customHeight="1">
      <c r="B126" s="144">
        <v>16.100000000000001</v>
      </c>
      <c r="C126" s="23" t="s">
        <v>185</v>
      </c>
      <c r="D126" s="37" t="s">
        <v>19</v>
      </c>
      <c r="E126" s="25">
        <v>3</v>
      </c>
      <c r="F126" s="26">
        <v>766006.83</v>
      </c>
      <c r="G126" s="26">
        <f>IFERROR((F126*E126),"")</f>
        <v>2298020.4899999998</v>
      </c>
      <c r="H126" s="106"/>
      <c r="I126" s="130">
        <v>723417</v>
      </c>
      <c r="J126" s="145">
        <f t="shared" si="9"/>
        <v>2170251</v>
      </c>
      <c r="L126" s="129"/>
    </row>
    <row r="127" spans="2:12" ht="20" customHeight="1">
      <c r="B127" s="144">
        <v>16.2</v>
      </c>
      <c r="C127" s="23" t="s">
        <v>186</v>
      </c>
      <c r="D127" s="37" t="s">
        <v>19</v>
      </c>
      <c r="E127" s="25">
        <v>2</v>
      </c>
      <c r="F127" s="26">
        <v>624416.64</v>
      </c>
      <c r="G127" s="26">
        <f>IFERROR((F127*E127),"")</f>
        <v>1248833.28</v>
      </c>
      <c r="H127" s="106"/>
      <c r="I127" s="130">
        <v>589699</v>
      </c>
      <c r="J127" s="145">
        <f t="shared" si="9"/>
        <v>1179398</v>
      </c>
      <c r="L127" s="129"/>
    </row>
    <row r="128" spans="2:12" ht="20" customHeight="1">
      <c r="B128" s="144">
        <v>16.3</v>
      </c>
      <c r="C128" s="23" t="s">
        <v>187</v>
      </c>
      <c r="D128" s="37" t="s">
        <v>188</v>
      </c>
      <c r="E128" s="25">
        <f>0.95*1*2</f>
        <v>1.9</v>
      </c>
      <c r="F128" s="26">
        <v>197507.31</v>
      </c>
      <c r="G128" s="26">
        <f>IFERROR((F128*E128),"")</f>
        <v>375263.88899999997</v>
      </c>
      <c r="H128" s="106"/>
      <c r="I128" s="130">
        <v>186526</v>
      </c>
      <c r="J128" s="145">
        <f t="shared" si="9"/>
        <v>354399.39999999997</v>
      </c>
      <c r="L128" s="129"/>
    </row>
    <row r="129" spans="2:12" ht="20" customHeight="1">
      <c r="B129" s="144">
        <v>16.399999999999999</v>
      </c>
      <c r="C129" s="23" t="s">
        <v>189</v>
      </c>
      <c r="D129" s="37" t="s">
        <v>19</v>
      </c>
      <c r="E129" s="25">
        <v>1</v>
      </c>
      <c r="F129" s="26">
        <v>362402.8</v>
      </c>
      <c r="G129" s="26">
        <f>IFERROR((F129*E129),"")</f>
        <v>362402.8</v>
      </c>
      <c r="H129" s="106"/>
      <c r="I129" s="130">
        <v>342253</v>
      </c>
      <c r="J129" s="145">
        <f>+I129*E129</f>
        <v>342253</v>
      </c>
      <c r="L129" s="129"/>
    </row>
    <row r="130" spans="2:12">
      <c r="B130" s="142">
        <v>17</v>
      </c>
      <c r="C130" s="19" t="s">
        <v>190</v>
      </c>
      <c r="D130" s="20"/>
      <c r="E130" s="21"/>
      <c r="F130" s="20"/>
      <c r="G130" s="20"/>
      <c r="H130" s="107">
        <f>+SUM(G131:G132)</f>
        <v>4585242.125</v>
      </c>
      <c r="I130" s="130"/>
      <c r="J130" s="143">
        <f>SUM(J131:J132)</f>
        <v>4330267.5</v>
      </c>
      <c r="L130" s="129"/>
    </row>
    <row r="131" spans="2:12" ht="14.5">
      <c r="B131" s="144">
        <v>17.100000000000001</v>
      </c>
      <c r="C131" s="23" t="s">
        <v>191</v>
      </c>
      <c r="D131" s="37" t="s">
        <v>188</v>
      </c>
      <c r="E131" s="25">
        <v>100</v>
      </c>
      <c r="F131" s="26">
        <v>8459.7099999999991</v>
      </c>
      <c r="G131" s="26">
        <f>IFERROR((F131*E131),"")</f>
        <v>845970.99999999988</v>
      </c>
      <c r="H131" s="106"/>
      <c r="I131" s="130">
        <v>7989</v>
      </c>
      <c r="J131" s="145">
        <f t="shared" si="9"/>
        <v>798900</v>
      </c>
      <c r="L131" s="129"/>
    </row>
    <row r="132" spans="2:12" ht="14.5">
      <c r="B132" s="144">
        <v>17.2</v>
      </c>
      <c r="C132" s="23" t="s">
        <v>192</v>
      </c>
      <c r="D132" s="37" t="s">
        <v>193</v>
      </c>
      <c r="E132" s="25">
        <v>8.5</v>
      </c>
      <c r="F132" s="26">
        <v>439914.25</v>
      </c>
      <c r="G132" s="26">
        <f t="shared" si="12"/>
        <v>3739271.125</v>
      </c>
      <c r="H132" s="106"/>
      <c r="I132" s="130">
        <v>415455</v>
      </c>
      <c r="J132" s="145">
        <f>+I132*E132</f>
        <v>3531367.5</v>
      </c>
      <c r="L132" s="129"/>
    </row>
    <row r="133" spans="2:12" ht="43.25" customHeight="1">
      <c r="B133" s="144"/>
      <c r="C133" s="77"/>
      <c r="D133" s="37"/>
      <c r="E133" s="25"/>
      <c r="F133" s="26"/>
      <c r="G133" s="26"/>
      <c r="H133" s="106">
        <f>+SUM(G21:G132)</f>
        <v>662599362.21513581</v>
      </c>
      <c r="I133" s="128"/>
      <c r="J133" s="145">
        <f>+ROUND((J21+J34+J38+J44+J52+J55+J76+J94+J97+J100+J102+J108+J111+J114+J116+J121+J125+J130),2)</f>
        <v>625757895.33000004</v>
      </c>
      <c r="L133" s="129"/>
    </row>
    <row r="134" spans="2:12" ht="28.25" customHeight="1">
      <c r="B134" s="221" t="s">
        <v>194</v>
      </c>
      <c r="C134" s="222"/>
      <c r="D134" s="222"/>
      <c r="E134" s="222"/>
      <c r="F134" s="222"/>
      <c r="G134" s="223"/>
      <c r="H134" s="124">
        <f>SUM(H21:H132)</f>
        <v>662599362.21513581</v>
      </c>
      <c r="I134" s="128"/>
      <c r="J134" s="173">
        <f>+J133</f>
        <v>625757895.33000004</v>
      </c>
      <c r="L134" s="129"/>
    </row>
    <row r="135" spans="2:12" ht="35.4" customHeight="1">
      <c r="B135" s="224" t="s">
        <v>195</v>
      </c>
      <c r="C135" s="225"/>
      <c r="D135" s="37" t="s">
        <v>196</v>
      </c>
      <c r="E135" s="37"/>
      <c r="F135" s="226">
        <v>0.24</v>
      </c>
      <c r="G135" s="226"/>
      <c r="H135" s="125">
        <f>H134*$F$135</f>
        <v>159023846.93163258</v>
      </c>
      <c r="I135" s="128"/>
      <c r="J135" s="174">
        <f>ROUND((J134*$F$135),2)</f>
        <v>150181894.88</v>
      </c>
      <c r="L135" s="129"/>
    </row>
    <row r="136" spans="2:12" ht="31.25" customHeight="1">
      <c r="B136" s="224" t="s">
        <v>197</v>
      </c>
      <c r="C136" s="225"/>
      <c r="D136" s="37" t="s">
        <v>198</v>
      </c>
      <c r="E136" s="37"/>
      <c r="F136" s="226">
        <v>0.01</v>
      </c>
      <c r="G136" s="226"/>
      <c r="H136" s="125">
        <f>H134*$F$136</f>
        <v>6625993.6221513581</v>
      </c>
      <c r="I136" s="128"/>
      <c r="J136" s="174">
        <f>ROUND((J134*$F$136),2)</f>
        <v>6257578.9500000002</v>
      </c>
      <c r="L136" s="129"/>
    </row>
    <row r="137" spans="2:12" ht="31.25" customHeight="1">
      <c r="B137" s="224" t="s">
        <v>199</v>
      </c>
      <c r="C137" s="225"/>
      <c r="D137" s="37" t="s">
        <v>200</v>
      </c>
      <c r="E137" s="37"/>
      <c r="F137" s="226">
        <v>0.03</v>
      </c>
      <c r="G137" s="226"/>
      <c r="H137" s="125">
        <f>H134*$F$137</f>
        <v>19877980.866454072</v>
      </c>
      <c r="I137" s="128"/>
      <c r="J137" s="174">
        <f>ROUND((J134*$F$137),2)</f>
        <v>18772736.859999999</v>
      </c>
      <c r="L137" s="129"/>
    </row>
    <row r="138" spans="2:12" ht="31.25" customHeight="1">
      <c r="B138" s="224" t="s">
        <v>201</v>
      </c>
      <c r="C138" s="225"/>
      <c r="D138" s="37" t="s">
        <v>202</v>
      </c>
      <c r="E138" s="37"/>
      <c r="F138" s="226">
        <v>0.19</v>
      </c>
      <c r="G138" s="226"/>
      <c r="H138" s="125">
        <f>H137*$F$138</f>
        <v>3776816.364626274</v>
      </c>
      <c r="I138" s="128"/>
      <c r="J138" s="174">
        <f>ROUND((J137*$F$138),2)</f>
        <v>3566820</v>
      </c>
      <c r="L138" s="129"/>
    </row>
    <row r="139" spans="2:12" ht="39.65" customHeight="1">
      <c r="B139" s="221" t="s">
        <v>203</v>
      </c>
      <c r="C139" s="222"/>
      <c r="D139" s="222"/>
      <c r="E139" s="222"/>
      <c r="F139" s="222"/>
      <c r="G139" s="223"/>
      <c r="H139" s="126">
        <f>SUM(H135:H138)</f>
        <v>189304637.78486428</v>
      </c>
      <c r="I139" s="128"/>
      <c r="J139" s="175">
        <f>SUM(J135:J138)</f>
        <v>178779030.69</v>
      </c>
      <c r="L139" s="129"/>
    </row>
    <row r="140" spans="2:12" ht="39.65" customHeight="1" thickBot="1">
      <c r="B140" s="228" t="s">
        <v>204</v>
      </c>
      <c r="C140" s="229"/>
      <c r="D140" s="229"/>
      <c r="E140" s="229"/>
      <c r="F140" s="229"/>
      <c r="G140" s="230"/>
      <c r="H140" s="127">
        <f>+SUM(H139+H134)</f>
        <v>851904000.00000012</v>
      </c>
      <c r="I140" s="128"/>
      <c r="J140" s="176">
        <f>+SUM(J139+J134)</f>
        <v>804536926.01999998</v>
      </c>
      <c r="L140" s="129"/>
    </row>
    <row r="141" spans="2:12" ht="1.75" customHeight="1">
      <c r="B141" s="79"/>
      <c r="C141" s="80"/>
      <c r="D141" s="81"/>
      <c r="E141" s="82"/>
      <c r="F141" s="82"/>
      <c r="G141" s="83"/>
      <c r="H141" s="84"/>
      <c r="J141" s="84"/>
      <c r="L141" s="129"/>
    </row>
    <row r="142" spans="2:12" ht="50.4" customHeight="1">
      <c r="B142" s="85"/>
      <c r="C142" s="177" t="s">
        <v>205</v>
      </c>
      <c r="D142" s="178"/>
      <c r="E142" s="86"/>
      <c r="F142" s="86"/>
      <c r="G142" s="86"/>
      <c r="H142" s="87"/>
      <c r="J142" s="87"/>
      <c r="L142" s="129"/>
    </row>
    <row r="143" spans="2:12" hidden="1">
      <c r="B143" s="88"/>
      <c r="C143" s="177"/>
      <c r="D143" s="179"/>
      <c r="E143" s="180"/>
      <c r="F143" s="181"/>
      <c r="G143" s="181"/>
      <c r="H143" s="89"/>
      <c r="J143" s="89"/>
      <c r="L143" s="129"/>
    </row>
    <row r="144" spans="2:12" ht="55.25" hidden="1" customHeight="1">
      <c r="B144" s="85"/>
      <c r="C144" s="182"/>
      <c r="D144" s="183"/>
      <c r="E144" s="86"/>
      <c r="F144" s="86"/>
      <c r="G144" s="90"/>
      <c r="H144" s="87"/>
      <c r="J144" s="87"/>
      <c r="L144" s="129"/>
    </row>
    <row r="145" spans="2:12" ht="55.25" customHeight="1">
      <c r="B145" s="85"/>
      <c r="C145" s="182"/>
      <c r="D145" s="183"/>
      <c r="E145" s="86"/>
      <c r="F145" s="86"/>
      <c r="G145" s="90"/>
      <c r="H145" s="87"/>
      <c r="J145" s="87"/>
      <c r="L145" s="129"/>
    </row>
    <row r="146" spans="2:12" ht="55.25" customHeight="1">
      <c r="B146" s="85"/>
      <c r="C146" s="231" t="s">
        <v>206</v>
      </c>
      <c r="D146" s="231"/>
      <c r="E146" s="184"/>
      <c r="F146" s="91"/>
      <c r="G146" s="90"/>
      <c r="H146" s="92"/>
      <c r="J146" s="131" t="s">
        <v>208</v>
      </c>
      <c r="L146" s="129"/>
    </row>
    <row r="147" spans="2:12" ht="27.65" customHeight="1">
      <c r="B147" s="93"/>
      <c r="C147" s="232" t="s">
        <v>207</v>
      </c>
      <c r="D147" s="232"/>
      <c r="E147" s="185"/>
      <c r="F147" s="186"/>
      <c r="G147" s="186"/>
      <c r="H147" s="92"/>
      <c r="J147" s="132" t="s">
        <v>209</v>
      </c>
      <c r="L147" s="129"/>
    </row>
    <row r="148" spans="2:12" ht="16" thickBot="1">
      <c r="B148" s="94"/>
      <c r="C148" s="95"/>
      <c r="D148" s="96"/>
      <c r="E148" s="97"/>
      <c r="F148" s="98"/>
      <c r="G148" s="98"/>
      <c r="H148" s="99"/>
      <c r="I148" s="187"/>
      <c r="J148" s="99"/>
      <c r="L148" s="129"/>
    </row>
    <row r="149" spans="2:12" ht="27.65" customHeight="1"/>
    <row r="150" spans="2:12" ht="14.5">
      <c r="B150" s="233"/>
      <c r="C150" s="234"/>
      <c r="D150" s="234"/>
      <c r="E150" s="234"/>
      <c r="F150" s="234"/>
      <c r="G150" s="234"/>
      <c r="H150" s="235"/>
      <c r="J150" s="1"/>
    </row>
    <row r="151" spans="2:12" ht="27.65" customHeight="1">
      <c r="B151" s="227" t="s">
        <v>194</v>
      </c>
      <c r="C151" s="222"/>
      <c r="D151" s="222"/>
      <c r="E151" s="222"/>
      <c r="F151" s="222"/>
      <c r="G151" s="223"/>
      <c r="H151" s="78">
        <f>+H44+H52+H55+H76+H97+H116+H121+H38+H94+H100+H102+H125+H114</f>
        <v>331817997.97775531</v>
      </c>
      <c r="J151" s="78">
        <f>+J44+J52+J55+J76+J97+J116+J121+J38+J94+J100+J102+J125+J114</f>
        <v>313368326.77007419</v>
      </c>
    </row>
    <row r="152" spans="2:12" ht="14.4" customHeight="1">
      <c r="B152" s="236" t="s">
        <v>195</v>
      </c>
      <c r="C152" s="225"/>
      <c r="D152" s="37" t="s">
        <v>196</v>
      </c>
      <c r="E152" s="37"/>
      <c r="F152" s="226">
        <f>+F135</f>
        <v>0.24</v>
      </c>
      <c r="G152" s="226"/>
      <c r="H152" s="100">
        <f>SUM($H$151*$F$152)</f>
        <v>79636319.514661267</v>
      </c>
      <c r="J152" s="100">
        <f>SUM($J$151*$F$152)</f>
        <v>75208398.424817801</v>
      </c>
    </row>
    <row r="153" spans="2:12" ht="14.4" customHeight="1">
      <c r="B153" s="236" t="s">
        <v>197</v>
      </c>
      <c r="C153" s="225"/>
      <c r="D153" s="37" t="s">
        <v>198</v>
      </c>
      <c r="E153" s="37"/>
      <c r="F153" s="226">
        <f>+F136</f>
        <v>0.01</v>
      </c>
      <c r="G153" s="226"/>
      <c r="H153" s="100">
        <f>SUM($H$151*$F$153,0)</f>
        <v>3318179.9797775531</v>
      </c>
      <c r="J153" s="100">
        <f>SUM($J$151*$F$153,0)</f>
        <v>3133683.267700742</v>
      </c>
    </row>
    <row r="154" spans="2:12" ht="14.4" customHeight="1">
      <c r="B154" s="236" t="s">
        <v>199</v>
      </c>
      <c r="C154" s="225"/>
      <c r="D154" s="37" t="s">
        <v>200</v>
      </c>
      <c r="E154" s="37"/>
      <c r="F154" s="226">
        <f>+F137</f>
        <v>0.03</v>
      </c>
      <c r="G154" s="226"/>
      <c r="H154" s="100">
        <f>SUM($H$151*$F$154)</f>
        <v>9954539.9393326584</v>
      </c>
      <c r="J154" s="100">
        <f>SUM($J$151*$F$154)</f>
        <v>9401049.8031022251</v>
      </c>
    </row>
    <row r="155" spans="2:12" ht="27.65" customHeight="1">
      <c r="B155" s="236" t="s">
        <v>201</v>
      </c>
      <c r="C155" s="225"/>
      <c r="D155" s="37" t="s">
        <v>202</v>
      </c>
      <c r="E155" s="37"/>
      <c r="F155" s="226">
        <f>+F138</f>
        <v>0.19</v>
      </c>
      <c r="G155" s="226"/>
      <c r="H155" s="100">
        <f>SUM($H$154*$F$155)</f>
        <v>1891362.5884732052</v>
      </c>
      <c r="J155" s="100">
        <f>SUM($J$154*$F$155)</f>
        <v>1786199.4625894227</v>
      </c>
    </row>
    <row r="156" spans="2:12" ht="27.65" customHeight="1">
      <c r="B156" s="237" t="s">
        <v>14</v>
      </c>
      <c r="C156" s="238"/>
      <c r="D156" s="238"/>
      <c r="E156" s="238"/>
      <c r="F156" s="238"/>
      <c r="G156" s="239"/>
      <c r="H156" s="11">
        <f>SUM(H151:H155)</f>
        <v>426618400</v>
      </c>
      <c r="J156" s="11">
        <f>SUM(J151:J155)</f>
        <v>402897657.72828442</v>
      </c>
    </row>
    <row r="157" spans="2:12" ht="69" customHeight="1">
      <c r="B157" s="101"/>
      <c r="C157" s="102"/>
      <c r="D157" s="101"/>
      <c r="E157" s="103"/>
      <c r="F157" s="101"/>
      <c r="G157" s="101"/>
      <c r="H157" s="12"/>
      <c r="J157" s="12"/>
    </row>
    <row r="158" spans="2:12" ht="55.25" customHeight="1">
      <c r="B158" s="227" t="s">
        <v>194</v>
      </c>
      <c r="C158" s="222"/>
      <c r="D158" s="222"/>
      <c r="E158" s="222"/>
      <c r="F158" s="222"/>
      <c r="G158" s="223"/>
      <c r="H158" s="78">
        <f>+H21+H111+H130+H34</f>
        <v>58556117.290192112</v>
      </c>
      <c r="J158" s="78">
        <f>+J21+J111+J130+J34</f>
        <v>55300243.028048337</v>
      </c>
    </row>
    <row r="159" spans="2:12" ht="27.65" customHeight="1">
      <c r="B159" s="236" t="s">
        <v>195</v>
      </c>
      <c r="C159" s="225"/>
      <c r="D159" s="37" t="s">
        <v>196</v>
      </c>
      <c r="E159" s="37"/>
      <c r="F159" s="226">
        <f>+F152</f>
        <v>0.24</v>
      </c>
      <c r="G159" s="226"/>
      <c r="H159" s="100">
        <f>SUM($H$158*$F$159)</f>
        <v>14053468.149646107</v>
      </c>
      <c r="J159" s="100">
        <f>SUM($J$158*$F$159)</f>
        <v>13272058.3267316</v>
      </c>
    </row>
    <row r="160" spans="2:12" ht="14.4" customHeight="1">
      <c r="B160" s="236" t="s">
        <v>197</v>
      </c>
      <c r="C160" s="225"/>
      <c r="D160" s="37" t="s">
        <v>198</v>
      </c>
      <c r="E160" s="37"/>
      <c r="F160" s="226">
        <f t="shared" ref="F160:F162" si="13">+F153</f>
        <v>0.01</v>
      </c>
      <c r="G160" s="226"/>
      <c r="H160" s="100">
        <f>SUM($H$158*$F$160)</f>
        <v>585561.17290192109</v>
      </c>
      <c r="J160" s="100">
        <f>SUM($J$158*$F$160)</f>
        <v>553002.43028048333</v>
      </c>
    </row>
    <row r="161" spans="2:10" ht="27.65" customHeight="1">
      <c r="B161" s="236" t="s">
        <v>199</v>
      </c>
      <c r="C161" s="225"/>
      <c r="D161" s="37" t="s">
        <v>200</v>
      </c>
      <c r="E161" s="37"/>
      <c r="F161" s="226">
        <f t="shared" si="13"/>
        <v>0.03</v>
      </c>
      <c r="G161" s="226"/>
      <c r="H161" s="100">
        <f>SUM($H$158*$F$161)</f>
        <v>1756683.5187057634</v>
      </c>
      <c r="J161" s="100">
        <f>SUM($J$158*$F$161)</f>
        <v>1659007.29084145</v>
      </c>
    </row>
    <row r="162" spans="2:10" ht="29.4" customHeight="1">
      <c r="B162" s="236" t="s">
        <v>201</v>
      </c>
      <c r="C162" s="225"/>
      <c r="D162" s="37" t="s">
        <v>202</v>
      </c>
      <c r="E162" s="37"/>
      <c r="F162" s="226">
        <f t="shared" si="13"/>
        <v>0.19</v>
      </c>
      <c r="G162" s="226"/>
      <c r="H162" s="100">
        <f>SUM($H$161*$F$162)</f>
        <v>333769.86855409504</v>
      </c>
      <c r="J162" s="100">
        <f>SUM($J$161*$F$162)</f>
        <v>315211.3852598755</v>
      </c>
    </row>
    <row r="163" spans="2:10" ht="27.65" customHeight="1">
      <c r="B163" s="240" t="s">
        <v>15</v>
      </c>
      <c r="C163" s="241"/>
      <c r="D163" s="241"/>
      <c r="E163" s="241"/>
      <c r="F163" s="241"/>
      <c r="G163" s="242"/>
      <c r="H163" s="12">
        <f>SUM(H158:H162)</f>
        <v>75285600.000000015</v>
      </c>
      <c r="J163" s="12">
        <f>SUM(J158:J162)</f>
        <v>71099522.461161733</v>
      </c>
    </row>
    <row r="164" spans="2:10" ht="14.5">
      <c r="B164" s="233"/>
      <c r="C164" s="234"/>
      <c r="D164" s="234"/>
      <c r="E164" s="234"/>
      <c r="F164" s="234"/>
      <c r="G164" s="234"/>
      <c r="H164" s="235"/>
      <c r="J164" s="1"/>
    </row>
    <row r="165" spans="2:10" ht="41.4" customHeight="1">
      <c r="B165" s="227" t="s">
        <v>194</v>
      </c>
      <c r="C165" s="222"/>
      <c r="D165" s="222"/>
      <c r="E165" s="222"/>
      <c r="F165" s="222"/>
      <c r="G165" s="223"/>
      <c r="H165" s="78">
        <f>+H108</f>
        <v>272225246.94718838</v>
      </c>
      <c r="J165" s="78">
        <f>+J108</f>
        <v>257089325.5270091</v>
      </c>
    </row>
    <row r="166" spans="2:10" ht="33.65" customHeight="1">
      <c r="B166" s="236" t="s">
        <v>195</v>
      </c>
      <c r="C166" s="225"/>
      <c r="D166" s="37" t="s">
        <v>196</v>
      </c>
      <c r="E166" s="37"/>
      <c r="F166" s="226">
        <f>+F159</f>
        <v>0.24</v>
      </c>
      <c r="G166" s="226"/>
      <c r="H166" s="100">
        <f>SUM(F166*$H$165)</f>
        <v>65334059.267325208</v>
      </c>
      <c r="J166" s="100">
        <f>SUM(F166*$J$165)</f>
        <v>61701438.126482181</v>
      </c>
    </row>
    <row r="167" spans="2:10" ht="41.4" customHeight="1">
      <c r="B167" s="236" t="s">
        <v>197</v>
      </c>
      <c r="C167" s="225"/>
      <c r="D167" s="37" t="s">
        <v>198</v>
      </c>
      <c r="E167" s="37"/>
      <c r="F167" s="226">
        <f t="shared" ref="F167:F169" si="14">+F160</f>
        <v>0.01</v>
      </c>
      <c r="G167" s="226"/>
      <c r="H167" s="100">
        <f t="shared" ref="H167:H168" si="15">SUM(F167*$H$165)</f>
        <v>2722252.469471884</v>
      </c>
      <c r="J167" s="100">
        <f>SUM(F167*$J$165)</f>
        <v>2570893.2552700909</v>
      </c>
    </row>
    <row r="168" spans="2:10" ht="55.25" customHeight="1">
      <c r="B168" s="236" t="s">
        <v>199</v>
      </c>
      <c r="C168" s="225"/>
      <c r="D168" s="37" t="s">
        <v>200</v>
      </c>
      <c r="E168" s="37"/>
      <c r="F168" s="226">
        <f t="shared" si="14"/>
        <v>0.03</v>
      </c>
      <c r="G168" s="226"/>
      <c r="H168" s="100">
        <f t="shared" si="15"/>
        <v>8166757.4084156509</v>
      </c>
      <c r="J168" s="100">
        <f>SUM(F168*$J$165)</f>
        <v>7712679.7658102727</v>
      </c>
    </row>
    <row r="169" spans="2:10" ht="15.65" customHeight="1">
      <c r="B169" s="236" t="s">
        <v>201</v>
      </c>
      <c r="C169" s="225"/>
      <c r="D169" s="37" t="s">
        <v>202</v>
      </c>
      <c r="E169" s="37"/>
      <c r="F169" s="226">
        <f t="shared" si="14"/>
        <v>0.19</v>
      </c>
      <c r="G169" s="226"/>
      <c r="H169" s="100">
        <f>SUM($H$168*$F$169)</f>
        <v>1551683.9075989737</v>
      </c>
      <c r="J169" s="100">
        <f>SUM($J$168*$F$169)</f>
        <v>1465409.1555039517</v>
      </c>
    </row>
    <row r="170" spans="2:10" ht="27.65" customHeight="1">
      <c r="B170" s="243" t="s">
        <v>11</v>
      </c>
      <c r="C170" s="219"/>
      <c r="D170" s="219"/>
      <c r="E170" s="219"/>
      <c r="F170" s="219"/>
      <c r="G170" s="220"/>
      <c r="H170" s="13">
        <f>SUM(H165:H169)</f>
        <v>350000000.00000012</v>
      </c>
      <c r="J170" s="13">
        <f>SUM(J165:J169)</f>
        <v>330539745.8300755</v>
      </c>
    </row>
    <row r="172" spans="2:10" ht="41.4" customHeight="1"/>
    <row r="175" spans="2:10" ht="55.25" customHeight="1"/>
    <row r="176" spans="2:10" ht="27.65" customHeight="1"/>
    <row r="180" ht="41.4" customHeight="1"/>
    <row r="181" ht="41.4" customHeight="1"/>
    <row r="187" ht="28.25" customHeight="1"/>
    <row r="191" ht="23.4" customHeight="1"/>
    <row r="193" ht="17" customHeight="1"/>
    <row r="198" ht="23.4" customHeight="1"/>
    <row r="218" ht="41.4" customHeight="1"/>
    <row r="219" ht="42" customHeight="1"/>
    <row r="224" ht="18.649999999999999" customHeight="1"/>
    <row r="226" ht="18.649999999999999" customHeight="1"/>
    <row r="227" ht="35.4" customHeight="1"/>
    <row r="346" ht="48.65" customHeight="1"/>
    <row r="347" ht="46.25" customHeight="1"/>
  </sheetData>
  <autoFilter ref="B20:H140" xr:uid="{00000000-0009-0000-0000-000000000000}"/>
  <mergeCells count="60">
    <mergeCell ref="B168:C168"/>
    <mergeCell ref="F168:G168"/>
    <mergeCell ref="B169:C169"/>
    <mergeCell ref="F169:G169"/>
    <mergeCell ref="B170:G170"/>
    <mergeCell ref="B167:C167"/>
    <mergeCell ref="F167:G167"/>
    <mergeCell ref="B160:C160"/>
    <mergeCell ref="F160:G160"/>
    <mergeCell ref="B161:C161"/>
    <mergeCell ref="F161:G161"/>
    <mergeCell ref="B162:C162"/>
    <mergeCell ref="F162:G162"/>
    <mergeCell ref="B163:G163"/>
    <mergeCell ref="B164:H164"/>
    <mergeCell ref="B165:G165"/>
    <mergeCell ref="B166:C166"/>
    <mergeCell ref="F166:G166"/>
    <mergeCell ref="B155:C155"/>
    <mergeCell ref="F155:G155"/>
    <mergeCell ref="B156:G156"/>
    <mergeCell ref="B158:G158"/>
    <mergeCell ref="B159:C159"/>
    <mergeCell ref="F159:G159"/>
    <mergeCell ref="B152:C152"/>
    <mergeCell ref="F152:G152"/>
    <mergeCell ref="B153:C153"/>
    <mergeCell ref="F153:G153"/>
    <mergeCell ref="B154:C154"/>
    <mergeCell ref="F154:G154"/>
    <mergeCell ref="B151:G151"/>
    <mergeCell ref="B136:C136"/>
    <mergeCell ref="F136:G136"/>
    <mergeCell ref="B137:C137"/>
    <mergeCell ref="F137:G137"/>
    <mergeCell ref="B138:C138"/>
    <mergeCell ref="F138:G138"/>
    <mergeCell ref="B139:G139"/>
    <mergeCell ref="B140:G140"/>
    <mergeCell ref="C146:D146"/>
    <mergeCell ref="C147:D147"/>
    <mergeCell ref="B150:H150"/>
    <mergeCell ref="B17:G17"/>
    <mergeCell ref="B18:G18"/>
    <mergeCell ref="B19:G19"/>
    <mergeCell ref="B134:G134"/>
    <mergeCell ref="B135:C135"/>
    <mergeCell ref="F135:G135"/>
    <mergeCell ref="B16:G16"/>
    <mergeCell ref="B5:H5"/>
    <mergeCell ref="B6:H6"/>
    <mergeCell ref="B7:H7"/>
    <mergeCell ref="C8:H8"/>
    <mergeCell ref="C9:H9"/>
    <mergeCell ref="C10:F10"/>
    <mergeCell ref="B11:H11"/>
    <mergeCell ref="B12:H12"/>
    <mergeCell ref="B13:H13"/>
    <mergeCell ref="B14:H14"/>
    <mergeCell ref="B15:H15"/>
  </mergeCells>
  <pageMargins left="0.70866141732283472" right="0.70866141732283472" top="0.74803149606299213" bottom="0.74803149606299213" header="0.31496062992125984" footer="0.31496062992125984"/>
  <pageSetup paperSize="9" scale="48" fitToHeight="0" orientation="landscape" horizontalDpi="1200" verticalDpi="1200" r:id="rId1"/>
  <rowBreaks count="5" manualBreakCount="5">
    <brk id="43" min="1" max="9" man="1"/>
    <brk id="84" min="1" max="9" man="1"/>
    <brk id="96" min="1" max="9" man="1"/>
    <brk id="124" min="1" max="9" man="1"/>
    <brk id="171" max="7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Hoja1</vt:lpstr>
      <vt:lpstr>Hoja1!Área_de_impresión</vt:lpstr>
      <vt:lpstr>Hoja1!Títulos_a_imprimir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lozano</dc:creator>
  <cp:lastModifiedBy>ELKYN JOHAN GRANADOS VEGA</cp:lastModifiedBy>
  <cp:lastPrinted>2024-10-04T17:36:50Z</cp:lastPrinted>
  <dcterms:created xsi:type="dcterms:W3CDTF">2024-09-15T02:20:22Z</dcterms:created>
  <dcterms:modified xsi:type="dcterms:W3CDTF">2024-10-21T23:21:25Z</dcterms:modified>
</cp:coreProperties>
</file>