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defaultThemeVersion="166925"/>
  <mc:AlternateContent xmlns:mc="http://schemas.openxmlformats.org/markup-compatibility/2006">
    <mc:Choice Requires="x15">
      <x15ac:absPath xmlns:x15ac="http://schemas.microsoft.com/office/spreadsheetml/2010/11/ac" url="C:\Users\admon\Desktop\CORPOCALDAS\PRESTACION DE SERVICIOS\FUNBIDA\"/>
    </mc:Choice>
  </mc:AlternateContent>
  <xr:revisionPtr revIDLastSave="0" documentId="8_{B5DC8D12-6F65-480F-83AC-7045430653C9}" xr6:coauthVersionLast="47" xr6:coauthVersionMax="47" xr10:uidLastSave="{00000000-0000-0000-0000-000000000000}"/>
  <bookViews>
    <workbookView xWindow="-120" yWindow="-120" windowWidth="20730" windowHeight="11040" xr2:uid="{00000000-000D-0000-FFFF-FFFF00000000}"/>
  </bookViews>
  <sheets>
    <sheet name="RESUMEN" sheetId="13" r:id="rId1"/>
    <sheet name="PERFILES" sheetId="6" r:id="rId2"/>
    <sheet name="Jornal" sheetId="11" r:id="rId3"/>
    <sheet name="Analisis Contratos similares" sheetId="23"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 i="13" l="1"/>
  <c r="F20" i="13"/>
  <c r="F15" i="13"/>
  <c r="D15" i="13"/>
  <c r="F42" i="13"/>
  <c r="D9" i="13"/>
  <c r="F34" i="13"/>
  <c r="F33" i="13"/>
  <c r="F5" i="6"/>
  <c r="F10" i="13"/>
  <c r="F11" i="13" s="1"/>
  <c r="F23" i="13"/>
  <c r="F25" i="13"/>
  <c r="F32" i="13" l="1"/>
  <c r="E22" i="23"/>
  <c r="E23" i="23" s="1"/>
  <c r="H7" i="23"/>
  <c r="H8" i="23"/>
  <c r="H9" i="23"/>
  <c r="H10" i="23"/>
  <c r="H11" i="23"/>
  <c r="H12" i="23"/>
  <c r="H13" i="23"/>
  <c r="H14" i="23"/>
  <c r="H15" i="23"/>
  <c r="H16" i="23"/>
  <c r="H17" i="23"/>
  <c r="H18" i="23"/>
  <c r="H19" i="23"/>
  <c r="H20" i="23"/>
  <c r="H21" i="23"/>
  <c r="H6" i="23"/>
  <c r="C32" i="11" l="1"/>
  <c r="B19" i="11"/>
  <c r="D11" i="11"/>
  <c r="C26" i="11" s="1"/>
  <c r="C14" i="11"/>
  <c r="C16" i="11" s="1"/>
  <c r="C15" i="11"/>
  <c r="C18" i="11"/>
  <c r="C19" i="11"/>
  <c r="C22" i="11"/>
  <c r="C23" i="11"/>
  <c r="B26" i="11" l="1"/>
  <c r="B28" i="11" s="1"/>
  <c r="D32" i="11" s="1"/>
  <c r="E32" i="11" s="1"/>
  <c r="C25" i="11"/>
  <c r="C21" i="11"/>
  <c r="C17" i="11"/>
  <c r="C24" i="11"/>
  <c r="C20" i="11"/>
  <c r="F21" i="13"/>
  <c r="C28" i="11" l="1"/>
  <c r="F17" i="13"/>
  <c r="F27" i="13" s="1"/>
  <c r="G40" i="13"/>
</calcChain>
</file>

<file path=xl/sharedStrings.xml><?xml version="1.0" encoding="utf-8"?>
<sst xmlns="http://schemas.openxmlformats.org/spreadsheetml/2006/main" count="169" uniqueCount="149">
  <si>
    <t>TOTAL</t>
  </si>
  <si>
    <t>Cantidad</t>
  </si>
  <si>
    <t>Propuesta Acciones integrales en comunidades Afrodescendientes (NARP) Caldas.</t>
  </si>
  <si>
    <t xml:space="preserve">Personal vinculado a la Propuesta </t>
  </si>
  <si>
    <t>Cargo</t>
  </si>
  <si>
    <t>Perfil</t>
  </si>
  <si>
    <t xml:space="preserve">Obligaciones </t>
  </si>
  <si>
    <t>Valor mensual</t>
  </si>
  <si>
    <t>Meses</t>
  </si>
  <si>
    <t xml:space="preserve">Valor total </t>
  </si>
  <si>
    <t>Total</t>
  </si>
  <si>
    <t>CÁLCULOS PARA MANO DE OBRA</t>
  </si>
  <si>
    <t>GRUPO DE BIODIVERSIDAD Y ECOSISTEMAS</t>
  </si>
  <si>
    <t>DOTACION LABORAL</t>
  </si>
  <si>
    <t>AÑO</t>
  </si>
  <si>
    <t>Guantes</t>
  </si>
  <si>
    <t>SMLMV:</t>
  </si>
  <si>
    <t>Botas</t>
  </si>
  <si>
    <t>SUBSIDIO TRANSPORTE</t>
  </si>
  <si>
    <t>Gafas</t>
  </si>
  <si>
    <t>DIAS LABORALES MES</t>
  </si>
  <si>
    <t>Chalecos Visibilidad</t>
  </si>
  <si>
    <t>HORAS LABORALES POR DIA</t>
  </si>
  <si>
    <t>Cascos con barbuquejo</t>
  </si>
  <si>
    <t>ANALISIS DE PRESTACIONES SOCIALES PERSONAL CON SALARIO INFERIOR A 2 SMMV, VALIDO PARA OFICIALES Y AYUDANTES</t>
  </si>
  <si>
    <t>COSTO TRABAJADOR MENSUAL</t>
  </si>
  <si>
    <t xml:space="preserve">SALARIO </t>
  </si>
  <si>
    <t>CESANTIAS</t>
  </si>
  <si>
    <t>VACACIONES</t>
  </si>
  <si>
    <t>PRIMA DE SERVICIOS</t>
  </si>
  <si>
    <t xml:space="preserve">INTERESES A LAS CESANTIAS </t>
  </si>
  <si>
    <t>SUBSIDIO DE TRANSPORTE</t>
  </si>
  <si>
    <t>APORTES SALUD</t>
  </si>
  <si>
    <t>APORTES RIESGOS PROFESIONALES</t>
  </si>
  <si>
    <t>APORTES PENSION</t>
  </si>
  <si>
    <t>APORTE SENA</t>
  </si>
  <si>
    <t>APORTE ICBF</t>
  </si>
  <si>
    <t>APORTE CCF</t>
  </si>
  <si>
    <t>DOTACION DE LABOR</t>
  </si>
  <si>
    <t>TOTAL PRESTACIONES SOCIALES</t>
  </si>
  <si>
    <t>DESCRIPCION DE MANO DE OBRA</t>
  </si>
  <si>
    <t>UN</t>
  </si>
  <si>
    <t>VR DIA</t>
  </si>
  <si>
    <t>FACTOR</t>
  </si>
  <si>
    <t>VR DIA INTEGRAL</t>
  </si>
  <si>
    <t>OBRERO CON PRESTACIONES</t>
  </si>
  <si>
    <t>DIA</t>
  </si>
  <si>
    <t>ACTIVIDAD</t>
  </si>
  <si>
    <t>UNIDAD</t>
  </si>
  <si>
    <t>Vr Unitario</t>
  </si>
  <si>
    <t>Desembolsos</t>
  </si>
  <si>
    <t>CORPOCALDAS</t>
  </si>
  <si>
    <t>1ro</t>
  </si>
  <si>
    <t>2do</t>
  </si>
  <si>
    <t>3ro</t>
  </si>
  <si>
    <t>Subtotal Componente Implementaciones</t>
  </si>
  <si>
    <t>SUBTOTAL</t>
  </si>
  <si>
    <t>Valor Contrato</t>
  </si>
  <si>
    <t>Porcentaje</t>
  </si>
  <si>
    <t>IVA DEL 19%</t>
  </si>
  <si>
    <t>Valor</t>
  </si>
  <si>
    <t>Subtotal Componente fortalecimiento comunitario y educativo afroambiental</t>
  </si>
  <si>
    <t xml:space="preserve">COMPONENTE PRODUCTIVO, AGRICOLA Y CAMBIO CLIMÁTICO </t>
  </si>
  <si>
    <t>Coordinación</t>
  </si>
  <si>
    <t>COMPONENTE COORDINACIÓN Y SEGUIMIENTO</t>
  </si>
  <si>
    <t>Coordinador General</t>
  </si>
  <si>
    <t>Subtotal Componente seguimiento y cordinación</t>
  </si>
  <si>
    <t>Coordinación y seguimiento ( Acompñamiento y asistencia productivo ambiental, Consolidacion de informes, enlace de comunicación entre Corpocaldas y la comunidad)</t>
  </si>
  <si>
    <t>Entidad</t>
  </si>
  <si>
    <t>Contrato No</t>
  </si>
  <si>
    <t>Objeto</t>
  </si>
  <si>
    <t>Plazo</t>
  </si>
  <si>
    <t>Modalidad de Selección</t>
  </si>
  <si>
    <t>CORTOLIMA</t>
  </si>
  <si>
    <t>CTO 0478-2012</t>
  </si>
  <si>
    <t xml:space="preserve">Aunar esfuerzos técnicos, humanos y económicos para realizar el diagnóstico del paisaje de conflicto entre la gente y los grandes carnívoros (oso andino y puma) en el departamento del Tolima </t>
  </si>
  <si>
    <t>Contratación Directa (Ley 1150 de 2007)</t>
  </si>
  <si>
    <t>CTO 0503-2012</t>
  </si>
  <si>
    <t>Aunar esfuerzos técnicos, administrativos para la modificación, dinamización e implementación del sidap Tolima y apoyo al proceso que adelanta la corporación para la declaración de áreas protegidas, de acuerdo a lo establecido en el decreto 2372/10</t>
  </si>
  <si>
    <t>CORANTIOQUIA</t>
  </si>
  <si>
    <t>CM-1407-31</t>
  </si>
  <si>
    <t>Realizar el diseño, caracterización y formulación de una estrategia para la conservación y gestión integral del corredor del oso andino (tremarctos ornatus) en la jurisdiccion de Corantioquia desde un enfoque participativo</t>
  </si>
  <si>
    <t>Concurso de Méritos Abierto</t>
  </si>
  <si>
    <t>CM-1407-30</t>
  </si>
  <si>
    <t>Promover y apropiar las buenas prácticas ambientales y mejores técnicas disponibles identificadas en los diferentes sectores productivos de la jurisdicción</t>
  </si>
  <si>
    <t>CARDER</t>
  </si>
  <si>
    <t>SG-167-2015</t>
  </si>
  <si>
    <t>Apoyar a la Carder en la implementación de planes, programas y formulación de proyectos que ayuden institucionalmente al fortalecimiento estratégico de la misma para su gestión</t>
  </si>
  <si>
    <t>Contratación directa</t>
  </si>
  <si>
    <t>SG -319- 2014</t>
  </si>
  <si>
    <t>Prestar el servicio de apoyo logístico en la realización de las mesas ambientales programadas por la Carder, en los municipios de Risaralda</t>
  </si>
  <si>
    <t>SGAT-138-2015</t>
  </si>
  <si>
    <t>Apoyar a la secretaria técnica del Sirap EC en la ejecución del plan operativo 2015-2016 y la elaboración del plan de acción 2016-2019, así mismo la implementación del plan operativo anual del proyecto paramos, agua y biodiversidad en los andes del norte Carder-Unión Europea -UE</t>
  </si>
  <si>
    <t>039-2014</t>
  </si>
  <si>
    <t>La Asociación entre Corpocaldas y la Corporación Programa de Desarrollo para la Paz del Magdalena Centro, para aunar esfuerzos para consolidar un proceso de fortalecimiento organizacional y comunitario al interior de la cuenca del río Guarinó, a través de la construcción de espacios de diálogo con los diferentes actores y de escenarios de cualificación para los pobladores.</t>
  </si>
  <si>
    <t>266-2016</t>
  </si>
  <si>
    <t>Apoyar el fortalecimiento comunitario y los procesos de reconversión productiva en la Cuenca del</t>
  </si>
  <si>
    <t>MINISTERIO DE COMERCIO, INDUSTRIA Y TURISMO</t>
  </si>
  <si>
    <t>219 DEL 2016</t>
  </si>
  <si>
    <t>Prestar servicios profesionales al Ministerio en la implementación de actividades de articulación interinstitucional y asistencia técnica para aumentar la productividad y competitividad de los sectores priorizados en el departamento del Quindío</t>
  </si>
  <si>
    <t>LA GUAJIRA - ALCALDÍA MUNICIPIO DE MAICAO</t>
  </si>
  <si>
    <t>SAMC-014-2019</t>
  </si>
  <si>
    <t>Asistencia técnica en el marco del proyecto “implementación de unidades productivas para el fortalecimiento socioeconómico de la población afrocolombiana en la zona rural del municipio de Maicao, la guajira</t>
  </si>
  <si>
    <t>selección Abreviada de Menor Cuantía (Ley 1150 de 2007)</t>
  </si>
  <si>
    <t>MINISTERIO DE AGRICULTURA Y DESARROLLO RURAL</t>
  </si>
  <si>
    <t>CD-584-2016</t>
  </si>
  <si>
    <t xml:space="preserve">Articular esfuerzos técnicos administrativos y financieros entre el Ministerio de agricultura y desarrollo Rural Y LA FEDERACION COLOMBIANA DE PRODUCTORES DE PAPA- FEDEPAPA, para fortalecer la Asistencia Técnica Gremial de los productores de papa en zonas estratégicas de los departamentos de Cundinamarca, Boyacá y Nariño, dirigida a pequeños y medianos productores.  </t>
  </si>
  <si>
    <t>Régimen Especial</t>
  </si>
  <si>
    <t>META - GOBERNACIÓN</t>
  </si>
  <si>
    <t>CONTRATO 0373 DE 2018</t>
  </si>
  <si>
    <t>Brindar asistencia técnica a los 29 municipios con 6 dinamizadores juveniles subregionales para el fortalecimiento de los procesos y practicas juveniles que garanticen a los jóvenes del departamento el pleno ejercicio de la ciudadanía juvenil, subregión río Meta (Puerto Gaitán, Puerto Lopez, Cabuyaro y Barranca de Upia)</t>
  </si>
  <si>
    <t>CUNDINAMARCA - GOBERNACIÓN</t>
  </si>
  <si>
    <t>SGO-025-2016</t>
  </si>
  <si>
    <t>Aunar esfuerzos para la asistencia técnica y operativa encaminadas a fortalecer los procesos de participación de las víctimas del conflicto interno</t>
  </si>
  <si>
    <t>040-1205-760</t>
  </si>
  <si>
    <t>Producción agroecológica y sensibilización en la importancia de la conservación de las áreas protegidas Bajo Cauca Nechí, La Forzosa y La Boga del municipio de Anorí</t>
  </si>
  <si>
    <t>CN-1410-260</t>
  </si>
  <si>
    <t>Prestación de servicios profesionales y de apoyo a la gestión para acompañar a Corantioquia en la verificación de los sistemas sépticos suministrados a la corporación, de conformidad con la norma ntc 5770 de 2010 y requisitos de los contratos no. 9860 y 9902 de 2013</t>
  </si>
  <si>
    <t>Valor Mes</t>
  </si>
  <si>
    <t>Promedio contrataciones similares</t>
  </si>
  <si>
    <t>Analisis contratos similares</t>
  </si>
  <si>
    <t xml:space="preserve">COMPONENTE FORTALECIMIENTO COMUNITARIO Y EDUCATIVO </t>
  </si>
  <si>
    <t>total</t>
  </si>
  <si>
    <t xml:space="preserve">Cordinación general del proyecto, Interlocución con supervisión, consolidación de informes y productos, responsabilidad tematica en productos relacionados con emprendimientos productivos y PRAES Y PROCEDAS 
Documento que contenga la caracterización de los procesos de  emprendimiento productivo de las comunidades NARP.
</t>
  </si>
  <si>
    <t xml:space="preserve">RESUMEN COSTOS </t>
  </si>
  <si>
    <t xml:space="preserve">ITEM </t>
  </si>
  <si>
    <t>Coordinar un (1) encuentro presencial con la Mesa Ambiental Afrocaldense en el marco del fortalecimiento del relacionamiento institucional, la Gobernanza y la Gobernabilidad Ambiental en el municipio de Manizales con la participación de los representantes principales de la Mesa Ambiental NARP, la consejera NARP, la Dirección General, la supervisión del contrato e invitados concertados.</t>
  </si>
  <si>
    <t>Encuentro</t>
  </si>
  <si>
    <t>Realizar dos intercambios de saberes ambientales así: 1) segundo encuentro étnico ambiental departamental con la participación de comunidades indígenas y NARP de Caldas.2). Segundo encuentro de saberes ambientales ancestrales en el marco de la COP 16, con el fin de compartir aprendizajes que permitan “fomentar una relación armoniosa con la naturaleza”. y planear acciones que propendan por el cuidado y conservación de la Biodiversidad.</t>
  </si>
  <si>
    <t xml:space="preserve">Intercambios de Saberes </t>
  </si>
  <si>
    <t>Profesional en agronomia o afines , o licenciado en educación ambiental o comunicacion social  con experiencia y trabajo con comunidades NARP certificada</t>
  </si>
  <si>
    <t xml:space="preserve">jornaleros </t>
  </si>
  <si>
    <t xml:space="preserve">Experiencia en labores de campo(agrarias) </t>
  </si>
  <si>
    <t xml:space="preserve">Cuidado vivero </t>
  </si>
  <si>
    <t xml:space="preserve">jornales </t>
  </si>
  <si>
    <t>Vivero</t>
  </si>
  <si>
    <t>Total = $ 90.000.000</t>
  </si>
  <si>
    <t xml:space="preserve">Con este presupuesto se atienden actividades priorizadas en </t>
  </si>
  <si>
    <t>PLAN DE ACCIÒN 2024-2027(PILARES 1-2-3)</t>
  </si>
  <si>
    <t xml:space="preserve">Agenda Ambiental Afrocaldense </t>
  </si>
  <si>
    <t>Estrategia de participaciòn Ciudadana Plan de Acciòn 2024</t>
  </si>
  <si>
    <t xml:space="preserve">Solicitud necesidades actas Mesa Ambiental Afrocaldense </t>
  </si>
  <si>
    <t xml:space="preserve">IMPUESTOS, GASTOS DE LEGALIZACIÒN </t>
  </si>
  <si>
    <t>Talleres</t>
  </si>
  <si>
    <t>Acciones Diferenciales</t>
  </si>
  <si>
    <t>Establecimiento de estrategia de reducción de deforestación, conservación de la Biodiversidad y   gestión del cambio climático a partir de establecimiento un (1) viveros comunitarios en municipios con población NARP para la producción y entrega de mínimo 2000 plantulas de especies nativas.</t>
  </si>
  <si>
    <t xml:space="preserve">Jornales </t>
  </si>
  <si>
    <t xml:space="preserve">Jornal </t>
  </si>
  <si>
    <t>PROCEDA: Realizar acciones de gestión ambiental conjunta con enfoque diferencial étnico articuladas con el PRAE y el Vivero de la Institución Educativa Cabras y el proyecto Sendero La Trocha, en el municipio de Marmato-Caldas, se deben realizar acciones planteadas en el PRAE y jornada de siembra de 1700 plántulas de especies nativas en el sendero la Trocha.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</si>
</sst>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_-;\-* #,##0_-;_-* &quot;-&quot;??_-;_-@_-"/>
    <numFmt numFmtId="165" formatCode="&quot;$&quot;\ #,##0"/>
    <numFmt numFmtId="166" formatCode="0.0%"/>
    <numFmt numFmtId="167" formatCode="#,##0.000000000"/>
  </numFmts>
  <fonts count="28" x14ac:knownFonts="1">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sz val="10"/>
      <color theme="1"/>
      <name val="Arial"/>
      <family val="2"/>
    </font>
    <font>
      <sz val="10"/>
      <name val="Arial"/>
      <family val="2"/>
    </font>
    <font>
      <b/>
      <sz val="10"/>
      <name val="Arial"/>
      <family val="2"/>
    </font>
    <font>
      <b/>
      <sz val="11"/>
      <name val="Arial"/>
      <family val="2"/>
    </font>
    <font>
      <b/>
      <sz val="12"/>
      <name val="Arial"/>
      <family val="2"/>
    </font>
    <font>
      <b/>
      <sz val="11"/>
      <color theme="1"/>
      <name val="Arial Narrow"/>
      <family val="2"/>
    </font>
    <font>
      <sz val="11"/>
      <color theme="1"/>
      <name val="Arial Narrow"/>
      <family val="2"/>
    </font>
    <font>
      <sz val="10"/>
      <name val="Arial Narrow"/>
      <family val="2"/>
    </font>
    <font>
      <b/>
      <sz val="10"/>
      <name val="Arial Narrow"/>
      <family val="2"/>
    </font>
    <font>
      <b/>
      <sz val="12"/>
      <name val="Arial Narrow"/>
      <family val="2"/>
    </font>
    <font>
      <sz val="12"/>
      <name val="Arial Narrow"/>
      <family val="2"/>
    </font>
    <font>
      <sz val="11"/>
      <name val="Arial Narrow"/>
      <family val="2"/>
    </font>
    <font>
      <b/>
      <sz val="10"/>
      <color theme="1"/>
      <name val="Arial"/>
      <family val="2"/>
    </font>
    <font>
      <b/>
      <sz val="12"/>
      <color theme="1"/>
      <name val="Arial"/>
      <family val="2"/>
    </font>
    <font>
      <sz val="12"/>
      <color theme="1"/>
      <name val="Arial"/>
      <family val="2"/>
    </font>
    <font>
      <b/>
      <sz val="18"/>
      <color theme="1"/>
      <name val="Arial"/>
      <family val="2"/>
    </font>
    <font>
      <sz val="10"/>
      <color rgb="FF000000"/>
      <name val="Arial"/>
      <family val="2"/>
    </font>
    <font>
      <sz val="11"/>
      <color rgb="FF000000"/>
      <name val="Calibri"/>
      <family val="2"/>
      <scheme val="minor"/>
    </font>
    <font>
      <b/>
      <sz val="11"/>
      <color rgb="FF3D3D3D"/>
      <name val="Arial"/>
      <family val="2"/>
    </font>
    <font>
      <u/>
      <sz val="11"/>
      <color theme="10"/>
      <name val="Calibri"/>
      <family val="2"/>
      <scheme val="minor"/>
    </font>
    <font>
      <b/>
      <sz val="16"/>
      <color rgb="FF000000"/>
      <name val="Arial"/>
      <family val="2"/>
    </font>
    <font>
      <sz val="11"/>
      <name val="Arial"/>
      <family val="2"/>
    </font>
    <font>
      <sz val="12"/>
      <color theme="1"/>
      <name val="Calibri"/>
      <family val="2"/>
      <scheme val="minor"/>
    </font>
    <font>
      <sz val="11"/>
      <color theme="1"/>
      <name val="Arial"/>
      <family val="2"/>
    </font>
  </fonts>
  <fills count="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indexed="9"/>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s>
  <cellStyleXfs count="6">
    <xf numFmtId="0" fontId="0" fillId="0" borderId="0"/>
    <xf numFmtId="43" fontId="1"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23" fillId="0" borderId="0" applyNumberFormat="0" applyFill="0" applyBorder="0" applyAlignment="0" applyProtection="0"/>
  </cellStyleXfs>
  <cellXfs count="152">
    <xf numFmtId="0" fontId="0" fillId="0" borderId="0" xfId="0"/>
    <xf numFmtId="0" fontId="0" fillId="0" borderId="1" xfId="0" applyBorder="1"/>
    <xf numFmtId="0" fontId="0" fillId="0" borderId="0" xfId="0" applyAlignment="1">
      <alignment horizontal="left" vertical="top" wrapText="1"/>
    </xf>
    <xf numFmtId="0" fontId="0" fillId="0" borderId="0" xfId="0" applyAlignment="1">
      <alignment horizontal="left" vertical="top"/>
    </xf>
    <xf numFmtId="164" fontId="0" fillId="0" borderId="0" xfId="1" applyNumberFormat="1" applyFont="1" applyAlignment="1">
      <alignment horizontal="left" vertical="top"/>
    </xf>
    <xf numFmtId="0" fontId="0" fillId="0" borderId="1" xfId="0" applyBorder="1" applyAlignment="1">
      <alignment horizontal="left" vertical="top" wrapText="1"/>
    </xf>
    <xf numFmtId="3" fontId="0" fillId="0" borderId="1" xfId="0" applyNumberFormat="1" applyBorder="1" applyAlignment="1">
      <alignment horizontal="right" vertical="top" indent="1"/>
    </xf>
    <xf numFmtId="0" fontId="0" fillId="0" borderId="1" xfId="0" applyBorder="1" applyAlignment="1">
      <alignment horizontal="center" vertical="top"/>
    </xf>
    <xf numFmtId="164" fontId="0" fillId="0" borderId="1" xfId="1" applyNumberFormat="1" applyFont="1" applyBorder="1" applyAlignment="1">
      <alignment horizontal="left" vertical="top"/>
    </xf>
    <xf numFmtId="0" fontId="2" fillId="0" borderId="1" xfId="0" applyFont="1" applyBorder="1" applyAlignment="1">
      <alignment horizontal="center" vertical="center" wrapText="1"/>
    </xf>
    <xf numFmtId="0" fontId="2" fillId="0" borderId="0" xfId="0" applyFont="1"/>
    <xf numFmtId="0" fontId="10" fillId="0" borderId="0" xfId="0" applyFont="1"/>
    <xf numFmtId="0" fontId="9" fillId="5" borderId="1" xfId="0" applyFont="1" applyFill="1" applyBorder="1" applyAlignment="1">
      <alignment horizontal="left" vertical="center"/>
    </xf>
    <xf numFmtId="0" fontId="10" fillId="0" borderId="5" xfId="0" applyFont="1" applyBorder="1" applyAlignment="1">
      <alignment horizontal="center" vertical="center"/>
    </xf>
    <xf numFmtId="0" fontId="11" fillId="0" borderId="1" xfId="2" applyFont="1" applyBorder="1"/>
    <xf numFmtId="165" fontId="10" fillId="0" borderId="1" xfId="0" applyNumberFormat="1" applyFont="1" applyBorder="1" applyAlignment="1">
      <alignment horizontal="center" vertical="center"/>
    </xf>
    <xf numFmtId="0" fontId="9" fillId="5" borderId="1" xfId="0" applyFont="1" applyFill="1" applyBorder="1" applyAlignment="1">
      <alignment horizontal="left"/>
    </xf>
    <xf numFmtId="165" fontId="10" fillId="0" borderId="5" xfId="0" applyNumberFormat="1" applyFont="1" applyBorder="1" applyAlignment="1">
      <alignment horizontal="center" vertical="center"/>
    </xf>
    <xf numFmtId="0" fontId="11" fillId="0" borderId="1" xfId="2" applyFont="1" applyBorder="1" applyAlignment="1">
      <alignment wrapText="1"/>
    </xf>
    <xf numFmtId="0" fontId="9" fillId="5" borderId="1" xfId="0" applyFont="1" applyFill="1" applyBorder="1" applyAlignment="1">
      <alignment vertical="center"/>
    </xf>
    <xf numFmtId="0" fontId="9" fillId="5" borderId="1" xfId="0" applyFont="1" applyFill="1" applyBorder="1" applyAlignment="1">
      <alignment vertical="center" wrapText="1"/>
    </xf>
    <xf numFmtId="0" fontId="9" fillId="0" borderId="0" xfId="0" applyFont="1" applyAlignment="1">
      <alignment vertical="center" wrapText="1"/>
    </xf>
    <xf numFmtId="0" fontId="10" fillId="0" borderId="0" xfId="0" applyFont="1" applyAlignment="1">
      <alignment horizontal="center" vertical="center"/>
    </xf>
    <xf numFmtId="0" fontId="12" fillId="0" borderId="1" xfId="2" applyFont="1" applyBorder="1" applyAlignment="1">
      <alignment wrapText="1"/>
    </xf>
    <xf numFmtId="0" fontId="14" fillId="6" borderId="1" xfId="3" applyFont="1" applyFill="1" applyBorder="1"/>
    <xf numFmtId="10" fontId="14" fillId="6" borderId="1" xfId="4" applyNumberFormat="1" applyFont="1" applyFill="1" applyBorder="1"/>
    <xf numFmtId="0" fontId="11" fillId="0" borderId="0" xfId="2" applyFont="1" applyAlignment="1" applyProtection="1">
      <alignment horizontal="left" vertical="center" indent="1"/>
      <protection hidden="1"/>
    </xf>
    <xf numFmtId="10" fontId="11" fillId="0" borderId="0" xfId="2" applyNumberFormat="1" applyFont="1"/>
    <xf numFmtId="0" fontId="14" fillId="0" borderId="1" xfId="3" applyFont="1" applyBorder="1"/>
    <xf numFmtId="166" fontId="14" fillId="6" borderId="1" xfId="4" applyNumberFormat="1" applyFont="1" applyFill="1" applyBorder="1"/>
    <xf numFmtId="0" fontId="14" fillId="6" borderId="1" xfId="3" applyFont="1" applyFill="1" applyBorder="1" applyAlignment="1">
      <alignment wrapText="1"/>
    </xf>
    <xf numFmtId="0" fontId="10" fillId="0" borderId="1" xfId="0" applyFont="1" applyBorder="1"/>
    <xf numFmtId="10" fontId="10" fillId="0" borderId="1" xfId="0" applyNumberFormat="1" applyFont="1" applyBorder="1"/>
    <xf numFmtId="0" fontId="10" fillId="0" borderId="4" xfId="0" applyFont="1" applyBorder="1"/>
    <xf numFmtId="0" fontId="10" fillId="5" borderId="4" xfId="0" applyFont="1" applyFill="1" applyBorder="1" applyAlignment="1">
      <alignment horizontal="center"/>
    </xf>
    <xf numFmtId="0" fontId="9" fillId="5" borderId="4" xfId="0" applyFont="1" applyFill="1" applyBorder="1" applyAlignment="1">
      <alignment horizontal="center"/>
    </xf>
    <xf numFmtId="0" fontId="10" fillId="0" borderId="1" xfId="0" applyFont="1" applyBorder="1" applyAlignment="1">
      <alignment horizontal="center" vertical="center"/>
    </xf>
    <xf numFmtId="3" fontId="15" fillId="0" borderId="1" xfId="0" applyNumberFormat="1" applyFont="1" applyBorder="1" applyAlignment="1">
      <alignment horizontal="center" vertical="center"/>
    </xf>
    <xf numFmtId="3" fontId="15" fillId="2" borderId="1" xfId="0" applyNumberFormat="1" applyFont="1" applyFill="1" applyBorder="1" applyAlignment="1">
      <alignment horizontal="center" vertical="center"/>
    </xf>
    <xf numFmtId="4" fontId="0" fillId="0" borderId="0" xfId="0" applyNumberFormat="1"/>
    <xf numFmtId="4" fontId="5" fillId="0" borderId="0" xfId="0" applyNumberFormat="1" applyFont="1"/>
    <xf numFmtId="0" fontId="6" fillId="6" borderId="1" xfId="0" applyFont="1" applyFill="1" applyBorder="1" applyAlignment="1">
      <alignment horizontal="center" vertical="top" wrapText="1"/>
    </xf>
    <xf numFmtId="4" fontId="6" fillId="6" borderId="1" xfId="0" applyNumberFormat="1" applyFont="1" applyFill="1" applyBorder="1" applyAlignment="1">
      <alignment horizontal="center"/>
    </xf>
    <xf numFmtId="4" fontId="6" fillId="0" borderId="0" xfId="0" applyNumberFormat="1" applyFont="1" applyAlignment="1">
      <alignment horizontal="center"/>
    </xf>
    <xf numFmtId="4" fontId="5" fillId="6" borderId="1" xfId="0" applyNumberFormat="1" applyFont="1" applyFill="1" applyBorder="1" applyAlignment="1">
      <alignment horizontal="center"/>
    </xf>
    <xf numFmtId="167" fontId="0" fillId="0" borderId="0" xfId="0" applyNumberFormat="1"/>
    <xf numFmtId="0" fontId="17" fillId="0" borderId="14" xfId="0" applyFont="1" applyBorder="1"/>
    <xf numFmtId="0" fontId="18" fillId="0" borderId="1" xfId="0" applyFont="1" applyBorder="1"/>
    <xf numFmtId="0" fontId="18" fillId="0" borderId="1" xfId="0" applyFont="1" applyBorder="1" applyAlignment="1">
      <alignment horizontal="center"/>
    </xf>
    <xf numFmtId="4" fontId="18" fillId="0" borderId="1" xfId="0" applyNumberFormat="1" applyFont="1" applyBorder="1"/>
    <xf numFmtId="0" fontId="4" fillId="6" borderId="1" xfId="0" applyFont="1" applyFill="1" applyBorder="1" applyAlignment="1">
      <alignment horizontal="left" vertical="top" wrapText="1"/>
    </xf>
    <xf numFmtId="0" fontId="4" fillId="6" borderId="0" xfId="0" applyFont="1" applyFill="1" applyAlignment="1">
      <alignment horizontal="left" vertical="top" wrapText="1"/>
    </xf>
    <xf numFmtId="4" fontId="5" fillId="6" borderId="0" xfId="0" applyNumberFormat="1" applyFont="1" applyFill="1" applyAlignment="1">
      <alignment horizontal="center"/>
    </xf>
    <xf numFmtId="3" fontId="5" fillId="6" borderId="0" xfId="0" applyNumberFormat="1" applyFont="1" applyFill="1" applyAlignment="1">
      <alignment horizontal="right"/>
    </xf>
    <xf numFmtId="3" fontId="5" fillId="6" borderId="0" xfId="0" applyNumberFormat="1" applyFont="1" applyFill="1" applyAlignment="1">
      <alignment horizontal="center"/>
    </xf>
    <xf numFmtId="4" fontId="5" fillId="6" borderId="0" xfId="0" applyNumberFormat="1" applyFont="1" applyFill="1" applyAlignment="1">
      <alignment horizontal="right"/>
    </xf>
    <xf numFmtId="0" fontId="6" fillId="6" borderId="0" xfId="0" applyFont="1" applyFill="1" applyAlignment="1">
      <alignment horizontal="center" vertical="top" wrapText="1"/>
    </xf>
    <xf numFmtId="4" fontId="6" fillId="0" borderId="0" xfId="1" applyNumberFormat="1" applyFont="1" applyBorder="1" applyAlignment="1">
      <alignment horizontal="right" vertical="center"/>
    </xf>
    <xf numFmtId="0" fontId="6" fillId="4" borderId="1" xfId="0" applyFont="1" applyFill="1" applyBorder="1" applyAlignment="1">
      <alignment horizontal="left" vertical="top" wrapText="1"/>
    </xf>
    <xf numFmtId="0" fontId="16" fillId="0" borderId="19" xfId="0" applyFont="1" applyBorder="1" applyAlignment="1">
      <alignment horizontal="justify" vertical="center" wrapText="1"/>
    </xf>
    <xf numFmtId="0" fontId="16" fillId="0" borderId="18" xfId="0" applyFont="1" applyBorder="1" applyAlignment="1">
      <alignment horizontal="justify" vertical="center" wrapText="1"/>
    </xf>
    <xf numFmtId="0" fontId="4" fillId="0" borderId="13" xfId="0" applyFont="1" applyBorder="1" applyAlignment="1">
      <alignment horizontal="justify" vertical="center" wrapText="1"/>
    </xf>
    <xf numFmtId="0" fontId="4" fillId="0" borderId="22" xfId="0" applyFont="1" applyBorder="1" applyAlignment="1">
      <alignment horizontal="justify" vertical="center" wrapText="1"/>
    </xf>
    <xf numFmtId="0" fontId="23" fillId="0" borderId="13" xfId="5" applyBorder="1" applyAlignment="1">
      <alignment horizontal="justify" vertical="center" wrapText="1"/>
    </xf>
    <xf numFmtId="0" fontId="20" fillId="0" borderId="13" xfId="0" applyFont="1" applyBorder="1" applyAlignment="1">
      <alignment horizontal="justify" vertical="center" wrapText="1"/>
    </xf>
    <xf numFmtId="0" fontId="20" fillId="0" borderId="23" xfId="0" applyFont="1" applyBorder="1" applyAlignment="1">
      <alignment horizontal="justify" vertical="center" wrapText="1"/>
    </xf>
    <xf numFmtId="0" fontId="21" fillId="0" borderId="13" xfId="0" applyFont="1" applyBorder="1" applyAlignment="1">
      <alignment horizontal="justify" vertical="center" wrapText="1"/>
    </xf>
    <xf numFmtId="0" fontId="23" fillId="0" borderId="22" xfId="5" applyBorder="1" applyAlignment="1">
      <alignment horizontal="justify" vertical="center" wrapText="1"/>
    </xf>
    <xf numFmtId="0" fontId="22" fillId="0" borderId="13" xfId="0" applyFont="1" applyBorder="1" applyAlignment="1">
      <alignment horizontal="justify" vertical="center" wrapText="1"/>
    </xf>
    <xf numFmtId="0" fontId="4" fillId="0" borderId="21" xfId="0" applyFont="1" applyBorder="1" applyAlignment="1">
      <alignment horizontal="justify" vertical="center" wrapText="1"/>
    </xf>
    <xf numFmtId="164" fontId="4" fillId="0" borderId="21" xfId="1" applyNumberFormat="1" applyFont="1" applyBorder="1" applyAlignment="1">
      <alignment horizontal="justify" vertical="center" wrapText="1"/>
    </xf>
    <xf numFmtId="164" fontId="4" fillId="0" borderId="13" xfId="1" applyNumberFormat="1" applyFont="1" applyBorder="1" applyAlignment="1">
      <alignment horizontal="justify" vertical="center" wrapText="1"/>
    </xf>
    <xf numFmtId="164" fontId="20" fillId="0" borderId="13" xfId="1" applyNumberFormat="1" applyFont="1" applyBorder="1" applyAlignment="1">
      <alignment horizontal="justify" vertical="center" wrapText="1"/>
    </xf>
    <xf numFmtId="164" fontId="20" fillId="0" borderId="21" xfId="1" applyNumberFormat="1" applyFont="1" applyBorder="1" applyAlignment="1">
      <alignment horizontal="justify" vertical="center" wrapText="1"/>
    </xf>
    <xf numFmtId="164" fontId="0" fillId="0" borderId="0" xfId="0" applyNumberFormat="1"/>
    <xf numFmtId="0" fontId="16" fillId="0" borderId="21" xfId="0" applyFont="1" applyBorder="1" applyAlignment="1">
      <alignment horizontal="justify" vertical="center" wrapText="1"/>
    </xf>
    <xf numFmtId="164" fontId="0" fillId="0" borderId="24" xfId="1" applyNumberFormat="1" applyFont="1" applyBorder="1"/>
    <xf numFmtId="164" fontId="0" fillId="0" borderId="22" xfId="1" applyNumberFormat="1" applyFont="1" applyBorder="1"/>
    <xf numFmtId="164" fontId="0" fillId="0" borderId="19" xfId="1" applyNumberFormat="1" applyFont="1" applyBorder="1"/>
    <xf numFmtId="164" fontId="3" fillId="0" borderId="18" xfId="0" applyNumberFormat="1" applyFont="1" applyBorder="1"/>
    <xf numFmtId="0" fontId="27" fillId="6" borderId="1" xfId="0" applyFont="1" applyFill="1" applyBorder="1" applyAlignment="1">
      <alignment horizontal="left" vertical="top" wrapText="1"/>
    </xf>
    <xf numFmtId="4" fontId="25" fillId="3" borderId="1" xfId="0" applyNumberFormat="1" applyFont="1" applyFill="1" applyBorder="1" applyAlignment="1">
      <alignment horizontal="center"/>
    </xf>
    <xf numFmtId="3" fontId="25" fillId="3" borderId="1" xfId="0" applyNumberFormat="1" applyFont="1" applyFill="1" applyBorder="1" applyAlignment="1">
      <alignment horizontal="right" vertical="center"/>
    </xf>
    <xf numFmtId="3" fontId="25" fillId="6" borderId="1" xfId="0" applyNumberFormat="1" applyFont="1" applyFill="1" applyBorder="1" applyAlignment="1">
      <alignment horizontal="center" vertical="center"/>
    </xf>
    <xf numFmtId="0" fontId="7" fillId="6" borderId="1" xfId="0" applyFont="1" applyFill="1" applyBorder="1" applyAlignment="1">
      <alignment horizontal="left" vertical="top" wrapText="1"/>
    </xf>
    <xf numFmtId="4" fontId="25" fillId="3" borderId="2" xfId="0" applyNumberFormat="1" applyFont="1" applyFill="1" applyBorder="1" applyAlignment="1">
      <alignment horizontal="center"/>
    </xf>
    <xf numFmtId="0" fontId="26" fillId="0" borderId="1" xfId="0" applyFont="1" applyBorder="1" applyAlignment="1">
      <alignment horizontal="justify" vertical="center"/>
    </xf>
    <xf numFmtId="4" fontId="25" fillId="3" borderId="1" xfId="0" applyNumberFormat="1" applyFont="1" applyFill="1" applyBorder="1" applyAlignment="1">
      <alignment horizontal="right"/>
    </xf>
    <xf numFmtId="3" fontId="7" fillId="6" borderId="1" xfId="1" applyNumberFormat="1" applyFont="1" applyFill="1" applyBorder="1" applyAlignment="1">
      <alignment horizontal="right" vertical="center"/>
    </xf>
    <xf numFmtId="4" fontId="0" fillId="0" borderId="0" xfId="0" applyNumberFormat="1" applyAlignment="1">
      <alignment horizontal="right"/>
    </xf>
    <xf numFmtId="0" fontId="5" fillId="3" borderId="0" xfId="0" applyFont="1" applyFill="1"/>
    <xf numFmtId="4" fontId="5" fillId="3" borderId="0" xfId="0" applyNumberFormat="1" applyFont="1" applyFill="1"/>
    <xf numFmtId="4" fontId="6" fillId="3" borderId="0" xfId="0" applyNumberFormat="1" applyFont="1" applyFill="1"/>
    <xf numFmtId="4" fontId="0" fillId="3" borderId="0" xfId="0" applyNumberFormat="1" applyFill="1"/>
    <xf numFmtId="0" fontId="5" fillId="3" borderId="8" xfId="0" applyFont="1" applyFill="1" applyBorder="1"/>
    <xf numFmtId="4" fontId="5" fillId="3" borderId="9" xfId="0" applyNumberFormat="1" applyFont="1" applyFill="1" applyBorder="1"/>
    <xf numFmtId="4" fontId="0" fillId="3" borderId="10" xfId="0" applyNumberFormat="1" applyFill="1" applyBorder="1"/>
    <xf numFmtId="0" fontId="5" fillId="3" borderId="20" xfId="0" applyFont="1" applyFill="1" applyBorder="1"/>
    <xf numFmtId="4" fontId="6" fillId="3" borderId="5" xfId="0" applyNumberFormat="1" applyFont="1" applyFill="1" applyBorder="1" applyAlignment="1">
      <alignment horizontal="center"/>
    </xf>
    <xf numFmtId="4" fontId="6" fillId="3" borderId="15" xfId="0" applyNumberFormat="1" applyFont="1" applyFill="1" applyBorder="1" applyAlignment="1">
      <alignment horizontal="center"/>
    </xf>
    <xf numFmtId="0" fontId="6" fillId="3" borderId="0" xfId="0" applyFont="1" applyFill="1" applyAlignment="1">
      <alignment horizontal="center"/>
    </xf>
    <xf numFmtId="4" fontId="5" fillId="3" borderId="0" xfId="0" applyNumberFormat="1" applyFont="1" applyFill="1" applyAlignment="1">
      <alignment horizontal="right"/>
    </xf>
    <xf numFmtId="164" fontId="5" fillId="3" borderId="1" xfId="1" applyNumberFormat="1" applyFont="1" applyFill="1" applyBorder="1"/>
    <xf numFmtId="3" fontId="0" fillId="3" borderId="15" xfId="0" applyNumberFormat="1" applyFill="1" applyBorder="1" applyAlignment="1">
      <alignment horizontal="center" vertical="center"/>
    </xf>
    <xf numFmtId="0" fontId="6" fillId="3" borderId="0" xfId="0" applyFont="1" applyFill="1" applyAlignment="1">
      <alignment horizontal="right"/>
    </xf>
    <xf numFmtId="4" fontId="6" fillId="3" borderId="0" xfId="0" applyNumberFormat="1" applyFont="1" applyFill="1" applyAlignment="1">
      <alignment horizontal="center"/>
    </xf>
    <xf numFmtId="0" fontId="0" fillId="3" borderId="11" xfId="0" applyFill="1" applyBorder="1"/>
    <xf numFmtId="4" fontId="0" fillId="3" borderId="12" xfId="0" applyNumberFormat="1" applyFill="1" applyBorder="1"/>
    <xf numFmtId="4" fontId="2" fillId="3" borderId="1" xfId="0" applyNumberFormat="1" applyFont="1" applyFill="1" applyBorder="1" applyAlignment="1">
      <alignment horizontal="right"/>
    </xf>
    <xf numFmtId="9" fontId="2" fillId="3" borderId="1" xfId="0" applyNumberFormat="1" applyFont="1" applyFill="1" applyBorder="1" applyAlignment="1">
      <alignment horizontal="center"/>
    </xf>
    <xf numFmtId="3" fontId="2" fillId="3" borderId="1" xfId="0" applyNumberFormat="1" applyFont="1" applyFill="1" applyBorder="1"/>
    <xf numFmtId="3" fontId="25" fillId="6" borderId="1" xfId="1" applyNumberFormat="1" applyFont="1" applyFill="1" applyBorder="1" applyAlignment="1">
      <alignment horizontal="right" vertical="center"/>
    </xf>
    <xf numFmtId="4" fontId="5" fillId="6" borderId="1" xfId="0" applyNumberFormat="1" applyFont="1" applyFill="1" applyBorder="1"/>
    <xf numFmtId="4" fontId="8" fillId="6" borderId="1" xfId="0" applyNumberFormat="1" applyFont="1" applyFill="1" applyBorder="1" applyAlignment="1">
      <alignment horizontal="right"/>
    </xf>
    <xf numFmtId="0" fontId="6" fillId="3" borderId="5" xfId="0" applyFont="1" applyFill="1" applyBorder="1" applyAlignment="1">
      <alignment horizontal="center"/>
    </xf>
    <xf numFmtId="0" fontId="0" fillId="0" borderId="7" xfId="0" applyBorder="1" applyAlignment="1">
      <alignment horizontal="center"/>
    </xf>
    <xf numFmtId="0" fontId="8" fillId="2" borderId="16"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19" fillId="6" borderId="5" xfId="0" applyFont="1" applyFill="1" applyBorder="1" applyAlignment="1">
      <alignment horizontal="center" vertical="top" wrapText="1"/>
    </xf>
    <xf numFmtId="0" fontId="19" fillId="6" borderId="6" xfId="0" applyFont="1" applyFill="1" applyBorder="1" applyAlignment="1">
      <alignment horizontal="center" vertical="top" wrapText="1"/>
    </xf>
    <xf numFmtId="0" fontId="6" fillId="4" borderId="1" xfId="0" applyFont="1" applyFill="1" applyBorder="1" applyAlignment="1">
      <alignment horizontal="left" vertical="top" wrapText="1"/>
    </xf>
    <xf numFmtId="0" fontId="6" fillId="6" borderId="5" xfId="0" applyFont="1" applyFill="1" applyBorder="1" applyAlignment="1">
      <alignment horizontal="center" vertical="top" wrapText="1"/>
    </xf>
    <xf numFmtId="0" fontId="6" fillId="6" borderId="6" xfId="0" applyFont="1" applyFill="1" applyBorder="1" applyAlignment="1">
      <alignment horizontal="center" vertical="top" wrapText="1"/>
    </xf>
    <xf numFmtId="0" fontId="6" fillId="6" borderId="7" xfId="0" applyFont="1" applyFill="1" applyBorder="1" applyAlignment="1">
      <alignment horizontal="center" vertical="top" wrapText="1"/>
    </xf>
    <xf numFmtId="0" fontId="6" fillId="6" borderId="1" xfId="0" applyFont="1" applyFill="1" applyBorder="1" applyAlignment="1">
      <alignment horizontal="center" vertical="top" wrapText="1"/>
    </xf>
    <xf numFmtId="0" fontId="6" fillId="4" borderId="5" xfId="0" applyFont="1" applyFill="1" applyBorder="1" applyAlignment="1">
      <alignment horizontal="left" vertical="top" wrapText="1"/>
    </xf>
    <xf numFmtId="0" fontId="6" fillId="4" borderId="6" xfId="0" applyFont="1" applyFill="1" applyBorder="1" applyAlignment="1">
      <alignment horizontal="left" vertical="top" wrapText="1"/>
    </xf>
    <xf numFmtId="0" fontId="7" fillId="6" borderId="1" xfId="0" applyFont="1" applyFill="1" applyBorder="1" applyAlignment="1">
      <alignment horizontal="center" vertical="top" wrapText="1"/>
    </xf>
    <xf numFmtId="0" fontId="17" fillId="0" borderId="1" xfId="0" applyFont="1" applyBorder="1" applyAlignment="1">
      <alignment horizontal="center" vertical="top" wrapText="1"/>
    </xf>
    <xf numFmtId="0" fontId="27" fillId="6" borderId="2" xfId="0" applyFont="1" applyFill="1" applyBorder="1" applyAlignment="1">
      <alignment horizontal="left" vertical="center" wrapText="1"/>
    </xf>
    <xf numFmtId="0" fontId="27" fillId="6" borderId="3" xfId="0" applyFont="1" applyFill="1" applyBorder="1" applyAlignment="1">
      <alignment horizontal="left" vertical="center" wrapText="1"/>
    </xf>
    <xf numFmtId="0" fontId="9" fillId="2" borderId="16" xfId="0" applyFont="1" applyFill="1" applyBorder="1" applyAlignment="1">
      <alignment horizontal="center"/>
    </xf>
    <xf numFmtId="0" fontId="9" fillId="2" borderId="17" xfId="0" applyFont="1" applyFill="1" applyBorder="1" applyAlignment="1">
      <alignment horizontal="center"/>
    </xf>
    <xf numFmtId="0" fontId="9" fillId="2" borderId="18" xfId="0" applyFont="1" applyFill="1" applyBorder="1" applyAlignment="1">
      <alignment horizontal="center"/>
    </xf>
    <xf numFmtId="0" fontId="9" fillId="0" borderId="20" xfId="0" applyFont="1" applyBorder="1" applyAlignment="1">
      <alignment horizontal="center"/>
    </xf>
    <xf numFmtId="0" fontId="9" fillId="0" borderId="0" xfId="0" applyFont="1" applyAlignment="1">
      <alignment horizontal="center"/>
    </xf>
    <xf numFmtId="0" fontId="9" fillId="5" borderId="1" xfId="0" applyFont="1" applyFill="1" applyBorder="1" applyAlignment="1">
      <alignment horizontal="center"/>
    </xf>
    <xf numFmtId="0" fontId="13" fillId="5" borderId="1" xfId="3" applyFont="1" applyFill="1" applyBorder="1" applyAlignment="1">
      <alignment horizontal="center" vertical="center" wrapText="1"/>
    </xf>
    <xf numFmtId="0" fontId="13" fillId="5" borderId="5" xfId="3" applyFont="1" applyFill="1" applyBorder="1" applyAlignment="1">
      <alignment horizontal="center" vertical="center" wrapText="1"/>
    </xf>
    <xf numFmtId="0" fontId="13" fillId="5" borderId="7" xfId="3" applyFont="1" applyFill="1" applyBorder="1" applyAlignment="1">
      <alignment horizontal="center" vertical="center" wrapText="1"/>
    </xf>
    <xf numFmtId="0" fontId="12" fillId="0" borderId="0" xfId="2" applyFont="1" applyAlignment="1" applyProtection="1">
      <alignment horizontal="left" vertical="center" wrapText="1"/>
      <protection hidden="1"/>
    </xf>
    <xf numFmtId="165" fontId="15" fillId="0" borderId="1" xfId="0" applyNumberFormat="1" applyFont="1" applyBorder="1" applyAlignment="1">
      <alignment horizontal="center"/>
    </xf>
    <xf numFmtId="0" fontId="15" fillId="0" borderId="1" xfId="0" applyFont="1" applyBorder="1" applyAlignment="1">
      <alignment horizontal="center"/>
    </xf>
    <xf numFmtId="165" fontId="15" fillId="0" borderId="5" xfId="0" applyNumberFormat="1" applyFont="1" applyBorder="1" applyAlignment="1">
      <alignment horizontal="center"/>
    </xf>
    <xf numFmtId="165" fontId="15" fillId="0" borderId="7" xfId="0" applyNumberFormat="1" applyFont="1" applyBorder="1" applyAlignment="1">
      <alignment horizontal="center"/>
    </xf>
    <xf numFmtId="0" fontId="9" fillId="5" borderId="16" xfId="0" applyFont="1" applyFill="1" applyBorder="1" applyAlignment="1">
      <alignment horizontal="center"/>
    </xf>
    <xf numFmtId="0" fontId="9" fillId="5" borderId="17" xfId="0" applyFont="1" applyFill="1" applyBorder="1" applyAlignment="1">
      <alignment horizontal="center"/>
    </xf>
    <xf numFmtId="0" fontId="9" fillId="5" borderId="18" xfId="0" applyFont="1" applyFill="1" applyBorder="1" applyAlignment="1">
      <alignment horizontal="center"/>
    </xf>
    <xf numFmtId="0" fontId="24" fillId="0" borderId="16" xfId="0" applyFont="1" applyBorder="1" applyAlignment="1">
      <alignment horizontal="center" vertical="center" wrapText="1"/>
    </xf>
    <xf numFmtId="0" fontId="24" fillId="0" borderId="17" xfId="0" applyFont="1" applyBorder="1" applyAlignment="1">
      <alignment horizontal="center" vertical="center" wrapText="1"/>
    </xf>
    <xf numFmtId="0" fontId="24" fillId="0" borderId="18" xfId="0" applyFont="1" applyBorder="1" applyAlignment="1">
      <alignment horizontal="center" vertical="center" wrapText="1"/>
    </xf>
  </cellXfs>
  <cellStyles count="6">
    <cellStyle name="Hipervínculo" xfId="5" builtinId="8"/>
    <cellStyle name="Millares" xfId="1" builtinId="3"/>
    <cellStyle name="Normal" xfId="0" builtinId="0"/>
    <cellStyle name="Normal 2" xfId="2" xr:uid="{00000000-0005-0000-0000-000005000000}"/>
    <cellStyle name="Normal 3" xfId="3" xr:uid="{00000000-0005-0000-0000-000006000000}"/>
    <cellStyle name="Porcentaje 2" xfId="4"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hyperlink" Target="http://www.gobernaciondelmeta.gov.co/" TargetMode="External"/><Relationship Id="rId2" Type="http://schemas.openxmlformats.org/officeDocument/2006/relationships/hyperlink" Target="javascript:%20popUpSecop('/consultas/detalleProceso.do?numConstancia=14-15-2749920')" TargetMode="External"/><Relationship Id="rId1" Type="http://schemas.openxmlformats.org/officeDocument/2006/relationships/hyperlink" Target="javascript:%20popUpSecop('/consultas/detalleProceso.do?numConstancia=14-15-279007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42"/>
  <sheetViews>
    <sheetView tabSelected="1" topLeftCell="A16" zoomScale="86" zoomScaleNormal="86" workbookViewId="0">
      <selection activeCell="I9" sqref="I9"/>
    </sheetView>
  </sheetViews>
  <sheetFormatPr baseColWidth="10" defaultRowHeight="15" x14ac:dyDescent="0.25"/>
  <cols>
    <col min="1" max="1" width="5.85546875" customWidth="1"/>
    <col min="2" max="2" width="58.140625" customWidth="1"/>
    <col min="3" max="3" width="26.140625" style="39" customWidth="1"/>
    <col min="4" max="4" width="16.140625" style="39" customWidth="1"/>
    <col min="5" max="5" width="12.42578125" style="39" customWidth="1"/>
    <col min="6" max="6" width="36.42578125" style="39" customWidth="1"/>
    <col min="7" max="7" width="16.7109375" style="39" customWidth="1"/>
    <col min="8" max="8" width="15.42578125" style="39" bestFit="1" customWidth="1"/>
    <col min="9" max="9" width="14.7109375" style="39" bestFit="1" customWidth="1"/>
    <col min="10" max="10" width="14.28515625" style="39" bestFit="1" customWidth="1"/>
    <col min="11" max="11" width="9.42578125" style="39" bestFit="1" customWidth="1"/>
    <col min="12" max="12" width="12.7109375" bestFit="1" customWidth="1"/>
  </cols>
  <sheetData>
    <row r="2" spans="1:9" ht="15.75" thickBot="1" x14ac:dyDescent="0.3"/>
    <row r="3" spans="1:9" ht="51" customHeight="1" thickBot="1" x14ac:dyDescent="0.3">
      <c r="B3" s="116" t="s">
        <v>124</v>
      </c>
      <c r="C3" s="117"/>
      <c r="D3" s="117"/>
      <c r="E3" s="117"/>
      <c r="F3" s="118"/>
    </row>
    <row r="4" spans="1:9" x14ac:dyDescent="0.25">
      <c r="B4" s="41" t="s">
        <v>47</v>
      </c>
      <c r="C4" s="42" t="s">
        <v>48</v>
      </c>
      <c r="D4" s="42" t="s">
        <v>49</v>
      </c>
      <c r="E4" s="42" t="s">
        <v>1</v>
      </c>
      <c r="F4" s="42" t="s">
        <v>10</v>
      </c>
      <c r="I4" s="43"/>
    </row>
    <row r="5" spans="1:9" ht="27" customHeight="1" x14ac:dyDescent="0.25">
      <c r="A5" t="s">
        <v>125</v>
      </c>
      <c r="B5" s="126" t="s">
        <v>121</v>
      </c>
      <c r="C5" s="127"/>
      <c r="D5" s="127"/>
      <c r="E5" s="127"/>
      <c r="F5" s="127"/>
      <c r="I5" s="43"/>
    </row>
    <row r="6" spans="1:9" ht="20.25" customHeight="1" x14ac:dyDescent="0.25">
      <c r="B6" s="130" t="s">
        <v>148</v>
      </c>
      <c r="C6" s="81" t="s">
        <v>144</v>
      </c>
      <c r="D6" s="82">
        <v>20050000</v>
      </c>
      <c r="E6" s="83">
        <v>1</v>
      </c>
      <c r="F6" s="82">
        <f>D6</f>
        <v>20050000</v>
      </c>
      <c r="I6" s="43"/>
    </row>
    <row r="7" spans="1:9" ht="87.75" customHeight="1" x14ac:dyDescent="0.25">
      <c r="A7">
        <v>1</v>
      </c>
      <c r="B7" s="131"/>
      <c r="C7" s="81" t="s">
        <v>143</v>
      </c>
      <c r="D7" s="82">
        <v>250000</v>
      </c>
      <c r="E7" s="83">
        <v>9</v>
      </c>
      <c r="F7" s="82">
        <v>2250000</v>
      </c>
      <c r="I7" s="43"/>
    </row>
    <row r="8" spans="1:9" x14ac:dyDescent="0.25">
      <c r="B8" s="84"/>
      <c r="C8" s="81"/>
      <c r="D8" s="82"/>
      <c r="E8" s="83"/>
      <c r="F8" s="88"/>
      <c r="I8" s="43"/>
    </row>
    <row r="9" spans="1:9" ht="122.25" customHeight="1" x14ac:dyDescent="0.25">
      <c r="A9">
        <v>2</v>
      </c>
      <c r="B9" s="86" t="s">
        <v>126</v>
      </c>
      <c r="C9" s="81" t="s">
        <v>127</v>
      </c>
      <c r="D9" s="82">
        <f>2749000+442818</f>
        <v>3191818</v>
      </c>
      <c r="E9" s="83">
        <v>1</v>
      </c>
      <c r="F9" s="82">
        <v>3191818</v>
      </c>
      <c r="I9" s="43"/>
    </row>
    <row r="10" spans="1:9" ht="122.25" customHeight="1" x14ac:dyDescent="0.25">
      <c r="A10" s="1">
        <v>3</v>
      </c>
      <c r="B10" s="86" t="s">
        <v>128</v>
      </c>
      <c r="C10" s="87" t="s">
        <v>129</v>
      </c>
      <c r="D10" s="82">
        <v>10952541</v>
      </c>
      <c r="E10" s="83">
        <v>1</v>
      </c>
      <c r="F10" s="82">
        <f>D10</f>
        <v>10952541</v>
      </c>
      <c r="I10" s="43"/>
    </row>
    <row r="11" spans="1:9" x14ac:dyDescent="0.25">
      <c r="B11" s="128" t="s">
        <v>61</v>
      </c>
      <c r="C11" s="128"/>
      <c r="D11" s="128"/>
      <c r="E11" s="128"/>
      <c r="F11" s="88">
        <f>F10+F9+F7+F6</f>
        <v>36444359</v>
      </c>
      <c r="I11" s="43"/>
    </row>
    <row r="12" spans="1:9" ht="9" customHeight="1" x14ac:dyDescent="0.25">
      <c r="B12" s="56"/>
      <c r="C12" s="56"/>
      <c r="D12" s="56"/>
      <c r="E12" s="56"/>
      <c r="F12" s="57"/>
      <c r="I12" s="43"/>
    </row>
    <row r="13" spans="1:9" x14ac:dyDescent="0.25">
      <c r="B13" s="121" t="s">
        <v>62</v>
      </c>
      <c r="C13" s="121"/>
      <c r="D13" s="121"/>
      <c r="E13" s="121"/>
      <c r="F13" s="121"/>
      <c r="I13" s="43"/>
    </row>
    <row r="14" spans="1:9" x14ac:dyDescent="0.25">
      <c r="B14" s="58"/>
      <c r="C14" s="58"/>
      <c r="D14" s="58"/>
      <c r="E14" s="58"/>
      <c r="F14" s="58"/>
      <c r="I14" s="43"/>
    </row>
    <row r="15" spans="1:9" x14ac:dyDescent="0.25">
      <c r="B15" s="80" t="s">
        <v>146</v>
      </c>
      <c r="C15" s="80" t="s">
        <v>147</v>
      </c>
      <c r="D15" s="82">
        <f>74229</f>
        <v>74229</v>
      </c>
      <c r="E15" s="80">
        <v>33</v>
      </c>
      <c r="F15" s="82">
        <f>D15*E15</f>
        <v>2449557</v>
      </c>
      <c r="I15" s="43"/>
    </row>
    <row r="16" spans="1:9" ht="107.25" customHeight="1" x14ac:dyDescent="0.25">
      <c r="B16" s="80" t="s">
        <v>145</v>
      </c>
      <c r="C16" s="85" t="s">
        <v>135</v>
      </c>
      <c r="D16" s="82">
        <v>20155641</v>
      </c>
      <c r="E16" s="83">
        <v>1</v>
      </c>
      <c r="F16" s="82">
        <v>20155641</v>
      </c>
      <c r="G16" s="82"/>
      <c r="I16" s="43"/>
    </row>
    <row r="17" spans="2:10" ht="41.25" customHeight="1" x14ac:dyDescent="0.25">
      <c r="B17" s="125" t="s">
        <v>55</v>
      </c>
      <c r="C17" s="125"/>
      <c r="D17" s="125"/>
      <c r="E17" s="125"/>
      <c r="F17" s="88">
        <f>F11+F16</f>
        <v>56600000</v>
      </c>
      <c r="I17" s="43"/>
    </row>
    <row r="18" spans="2:10" ht="7.5" customHeight="1" x14ac:dyDescent="0.25">
      <c r="B18" s="56"/>
      <c r="C18" s="56"/>
      <c r="D18" s="56"/>
      <c r="E18" s="56"/>
      <c r="F18" s="57"/>
      <c r="I18" s="43"/>
    </row>
    <row r="19" spans="2:10" x14ac:dyDescent="0.25">
      <c r="B19" s="121" t="s">
        <v>64</v>
      </c>
      <c r="C19" s="121"/>
      <c r="D19" s="121"/>
      <c r="E19" s="121"/>
      <c r="F19" s="121"/>
      <c r="I19" s="43"/>
    </row>
    <row r="20" spans="2:10" ht="38.25" x14ac:dyDescent="0.25">
      <c r="B20" s="50" t="s">
        <v>67</v>
      </c>
      <c r="C20" s="44" t="s">
        <v>63</v>
      </c>
      <c r="D20" s="82">
        <v>5000000</v>
      </c>
      <c r="E20" s="83">
        <v>2</v>
      </c>
      <c r="F20" s="111">
        <f>10000000</f>
        <v>10000000</v>
      </c>
      <c r="I20" s="43"/>
    </row>
    <row r="21" spans="2:10" x14ac:dyDescent="0.25">
      <c r="B21" s="122" t="s">
        <v>66</v>
      </c>
      <c r="C21" s="123"/>
      <c r="D21" s="123"/>
      <c r="E21" s="124"/>
      <c r="F21" s="88">
        <f>SUM(F20:F20)</f>
        <v>10000000</v>
      </c>
      <c r="I21" s="43"/>
    </row>
    <row r="22" spans="2:10" x14ac:dyDescent="0.25">
      <c r="B22" t="s">
        <v>142</v>
      </c>
      <c r="I22" s="40"/>
      <c r="J22" s="40"/>
    </row>
    <row r="23" spans="2:10" ht="15.75" x14ac:dyDescent="0.25">
      <c r="B23" s="129" t="s">
        <v>56</v>
      </c>
      <c r="C23" s="129"/>
      <c r="D23" s="129"/>
      <c r="E23" s="129"/>
      <c r="F23" s="82">
        <f>90000000*7%</f>
        <v>6300000.0000000009</v>
      </c>
      <c r="I23" s="40"/>
      <c r="J23" s="40"/>
    </row>
    <row r="24" spans="2:10" x14ac:dyDescent="0.25">
      <c r="B24" s="51"/>
      <c r="C24" s="52"/>
      <c r="D24" s="53"/>
      <c r="E24" s="54"/>
      <c r="F24" s="55"/>
      <c r="I24" s="40"/>
      <c r="J24" s="40"/>
    </row>
    <row r="25" spans="2:10" ht="15.75" x14ac:dyDescent="0.25">
      <c r="B25" s="46" t="s">
        <v>59</v>
      </c>
      <c r="C25" s="47"/>
      <c r="D25" s="48"/>
      <c r="E25" s="49"/>
      <c r="F25" s="82">
        <f>90000000*0.19</f>
        <v>17100000</v>
      </c>
      <c r="I25" s="40"/>
      <c r="J25" s="40"/>
    </row>
    <row r="26" spans="2:10" x14ac:dyDescent="0.25">
      <c r="B26" s="51"/>
      <c r="C26" s="52"/>
      <c r="D26" s="53"/>
      <c r="E26" s="54"/>
      <c r="F26" s="112"/>
      <c r="I26" s="40"/>
      <c r="J26" s="40"/>
    </row>
    <row r="27" spans="2:10" ht="23.25" x14ac:dyDescent="0.25">
      <c r="B27" s="119" t="s">
        <v>0</v>
      </c>
      <c r="C27" s="120"/>
      <c r="D27" s="120"/>
      <c r="E27" s="120"/>
      <c r="F27" s="113">
        <f>F17+F21+F23+F25</f>
        <v>90000000</v>
      </c>
      <c r="H27" s="89"/>
      <c r="I27" s="40"/>
      <c r="J27" s="40"/>
    </row>
    <row r="28" spans="2:10" x14ac:dyDescent="0.25">
      <c r="B28" s="51"/>
      <c r="C28" s="52"/>
      <c r="D28" s="53"/>
      <c r="E28" s="54"/>
      <c r="I28" s="40"/>
      <c r="J28" s="40"/>
    </row>
    <row r="29" spans="2:10" ht="15.75" thickBot="1" x14ac:dyDescent="0.3">
      <c r="B29" s="90"/>
      <c r="C29" s="91"/>
      <c r="D29" s="91"/>
      <c r="E29" s="91"/>
      <c r="F29" s="92"/>
      <c r="G29" s="93"/>
      <c r="H29" s="93"/>
    </row>
    <row r="30" spans="2:10" x14ac:dyDescent="0.25">
      <c r="B30" s="94"/>
      <c r="C30" s="95"/>
      <c r="D30" s="95"/>
      <c r="E30" s="95"/>
      <c r="F30" s="95"/>
      <c r="G30" s="96"/>
      <c r="H30" s="93"/>
    </row>
    <row r="31" spans="2:10" x14ac:dyDescent="0.25">
      <c r="B31" s="97"/>
      <c r="C31" s="91"/>
      <c r="D31" s="91"/>
      <c r="E31" s="91"/>
      <c r="F31" s="98" t="s">
        <v>50</v>
      </c>
      <c r="G31" s="99" t="s">
        <v>58</v>
      </c>
      <c r="H31" s="93"/>
    </row>
    <row r="32" spans="2:10" x14ac:dyDescent="0.25">
      <c r="B32" s="100"/>
      <c r="C32" s="114" t="s">
        <v>57</v>
      </c>
      <c r="D32" s="115"/>
      <c r="E32" s="101" t="s">
        <v>52</v>
      </c>
      <c r="F32" s="102">
        <f>+F33+F34</f>
        <v>45000000</v>
      </c>
      <c r="G32" s="103">
        <v>50</v>
      </c>
      <c r="H32" s="93"/>
    </row>
    <row r="33" spans="2:8" x14ac:dyDescent="0.25">
      <c r="B33" s="104"/>
      <c r="C33" s="110" t="s">
        <v>122</v>
      </c>
      <c r="D33" s="110">
        <v>90000000</v>
      </c>
      <c r="E33" s="101" t="s">
        <v>53</v>
      </c>
      <c r="F33" s="102">
        <f>90000000*0.4</f>
        <v>36000000</v>
      </c>
      <c r="G33" s="103">
        <v>40</v>
      </c>
      <c r="H33" s="93"/>
    </row>
    <row r="34" spans="2:8" x14ac:dyDescent="0.25">
      <c r="B34" s="104"/>
      <c r="D34" s="105"/>
      <c r="E34" s="101" t="s">
        <v>54</v>
      </c>
      <c r="F34" s="102">
        <f>90000000*0.1</f>
        <v>9000000</v>
      </c>
      <c r="G34" s="103">
        <v>10</v>
      </c>
      <c r="H34" s="93"/>
    </row>
    <row r="35" spans="2:8" ht="15.75" thickBot="1" x14ac:dyDescent="0.3">
      <c r="B35" s="106"/>
      <c r="C35" s="107"/>
      <c r="D35" s="107"/>
      <c r="E35" s="107"/>
      <c r="F35" s="108" t="s">
        <v>136</v>
      </c>
      <c r="G35" s="109">
        <v>1</v>
      </c>
      <c r="H35" s="93"/>
    </row>
    <row r="36" spans="2:8" x14ac:dyDescent="0.25">
      <c r="G36" s="45"/>
    </row>
    <row r="38" spans="2:8" x14ac:dyDescent="0.25">
      <c r="B38" t="s">
        <v>137</v>
      </c>
    </row>
    <row r="39" spans="2:8" x14ac:dyDescent="0.25">
      <c r="B39" t="s">
        <v>138</v>
      </c>
    </row>
    <row r="40" spans="2:8" x14ac:dyDescent="0.25">
      <c r="B40" t="s">
        <v>139</v>
      </c>
      <c r="C40" s="40"/>
      <c r="F40" s="8">
        <v>2152641</v>
      </c>
      <c r="G40" s="39">
        <f>D16-F40</f>
        <v>18003000</v>
      </c>
    </row>
    <row r="41" spans="2:8" x14ac:dyDescent="0.25">
      <c r="B41" t="s">
        <v>140</v>
      </c>
      <c r="C41" s="40"/>
    </row>
    <row r="42" spans="2:8" x14ac:dyDescent="0.25">
      <c r="B42" t="s">
        <v>141</v>
      </c>
      <c r="C42" s="40"/>
      <c r="F42" s="39">
        <f>F40/74229</f>
        <v>29</v>
      </c>
    </row>
  </sheetData>
  <mergeCells count="11">
    <mergeCell ref="C32:D32"/>
    <mergeCell ref="B3:F3"/>
    <mergeCell ref="B27:E27"/>
    <mergeCell ref="B19:F19"/>
    <mergeCell ref="B21:E21"/>
    <mergeCell ref="B17:E17"/>
    <mergeCell ref="B5:F5"/>
    <mergeCell ref="B11:E11"/>
    <mergeCell ref="B13:F13"/>
    <mergeCell ref="B23:E23"/>
    <mergeCell ref="B6:B7"/>
  </mergeCells>
  <pageMargins left="0.7" right="0.7" top="0.75" bottom="0.75" header="0.3" footer="0.3"/>
  <pageSetup paperSize="9"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36"/>
  <sheetViews>
    <sheetView topLeftCell="A5" workbookViewId="0">
      <selection activeCell="F6" sqref="F6"/>
    </sheetView>
  </sheetViews>
  <sheetFormatPr baseColWidth="10" defaultRowHeight="15" x14ac:dyDescent="0.25"/>
  <cols>
    <col min="1" max="1" width="29.85546875" customWidth="1"/>
    <col min="2" max="2" width="38.5703125" customWidth="1"/>
    <col min="3" max="3" width="41.140625" customWidth="1"/>
    <col min="4" max="4" width="24" customWidth="1"/>
    <col min="6" max="6" width="17.42578125" bestFit="1" customWidth="1"/>
  </cols>
  <sheetData>
    <row r="1" spans="1:6" x14ac:dyDescent="0.25">
      <c r="A1" s="10" t="s">
        <v>2</v>
      </c>
    </row>
    <row r="3" spans="1:6" x14ac:dyDescent="0.25">
      <c r="A3" s="10" t="s">
        <v>3</v>
      </c>
    </row>
    <row r="4" spans="1:6" x14ac:dyDescent="0.25">
      <c r="A4" s="9" t="s">
        <v>4</v>
      </c>
      <c r="B4" s="9" t="s">
        <v>5</v>
      </c>
      <c r="C4" s="9" t="s">
        <v>6</v>
      </c>
      <c r="D4" s="9" t="s">
        <v>7</v>
      </c>
      <c r="E4" s="9" t="s">
        <v>8</v>
      </c>
      <c r="F4" s="9" t="s">
        <v>9</v>
      </c>
    </row>
    <row r="5" spans="1:6" ht="150" x14ac:dyDescent="0.25">
      <c r="A5" s="5" t="s">
        <v>65</v>
      </c>
      <c r="B5" s="5" t="s">
        <v>130</v>
      </c>
      <c r="C5" s="5" t="s">
        <v>123</v>
      </c>
      <c r="D5" s="6">
        <v>5000000</v>
      </c>
      <c r="E5" s="7">
        <v>2.5</v>
      </c>
      <c r="F5" s="8">
        <f>D5*E5</f>
        <v>12500000</v>
      </c>
    </row>
    <row r="6" spans="1:6" ht="30" x14ac:dyDescent="0.25">
      <c r="A6" s="5" t="s">
        <v>131</v>
      </c>
      <c r="B6" s="5" t="s">
        <v>132</v>
      </c>
      <c r="C6" s="5" t="s">
        <v>133</v>
      </c>
      <c r="D6" s="6" t="s">
        <v>134</v>
      </c>
      <c r="E6" s="7">
        <v>33</v>
      </c>
      <c r="F6" s="8">
        <v>2152641</v>
      </c>
    </row>
    <row r="7" spans="1:6" x14ac:dyDescent="0.25">
      <c r="A7" s="1" t="s">
        <v>0</v>
      </c>
      <c r="B7" s="1"/>
      <c r="C7" s="1"/>
      <c r="D7" s="1"/>
      <c r="E7" s="1"/>
      <c r="F7" s="1"/>
    </row>
    <row r="8" spans="1:6" x14ac:dyDescent="0.25">
      <c r="B8" s="3"/>
      <c r="C8" s="3"/>
      <c r="D8" s="3"/>
      <c r="E8" s="3"/>
      <c r="F8" s="4"/>
    </row>
    <row r="9" spans="1:6" x14ac:dyDescent="0.25">
      <c r="B9" s="3"/>
      <c r="C9" s="3"/>
      <c r="D9" s="3"/>
      <c r="E9" s="3"/>
      <c r="F9" s="4"/>
    </row>
    <row r="10" spans="1:6" x14ac:dyDescent="0.25">
      <c r="A10" s="2"/>
      <c r="B10" s="3"/>
      <c r="C10" s="3"/>
      <c r="D10" s="3"/>
      <c r="E10" s="3"/>
      <c r="F10" s="4"/>
    </row>
    <row r="11" spans="1:6" x14ac:dyDescent="0.25">
      <c r="A11" s="3"/>
      <c r="B11" s="3"/>
      <c r="C11" s="3"/>
      <c r="D11" s="3"/>
      <c r="E11" s="3"/>
      <c r="F11" s="3"/>
    </row>
    <row r="12" spans="1:6" x14ac:dyDescent="0.25">
      <c r="A12" s="3"/>
      <c r="B12" s="3"/>
      <c r="C12" s="3"/>
      <c r="D12" s="3"/>
      <c r="E12" s="3"/>
      <c r="F12" s="3"/>
    </row>
    <row r="13" spans="1:6" x14ac:dyDescent="0.25">
      <c r="A13" s="3"/>
      <c r="B13" s="3"/>
      <c r="C13" s="3"/>
      <c r="D13" s="3"/>
      <c r="E13" s="3"/>
      <c r="F13" s="3"/>
    </row>
    <row r="14" spans="1:6" x14ac:dyDescent="0.25">
      <c r="A14" s="3"/>
      <c r="B14" s="3"/>
      <c r="C14" s="3"/>
      <c r="D14" s="3"/>
      <c r="E14" s="3"/>
      <c r="F14" s="3"/>
    </row>
    <row r="15" spans="1:6" x14ac:dyDescent="0.25">
      <c r="A15" s="3"/>
      <c r="B15" s="3"/>
      <c r="C15" s="3"/>
      <c r="D15" s="3"/>
      <c r="E15" s="3"/>
      <c r="F15" s="3"/>
    </row>
    <row r="16" spans="1:6" x14ac:dyDescent="0.25">
      <c r="A16" s="3"/>
      <c r="B16" s="3"/>
      <c r="C16" s="3"/>
      <c r="D16" s="3"/>
      <c r="E16" s="3"/>
      <c r="F16" s="3"/>
    </row>
    <row r="17" spans="1:6" x14ac:dyDescent="0.25">
      <c r="A17" s="3"/>
      <c r="B17" s="3"/>
      <c r="C17" s="3"/>
      <c r="D17" s="3"/>
      <c r="E17" s="3"/>
      <c r="F17" s="3"/>
    </row>
    <row r="18" spans="1:6" x14ac:dyDescent="0.25">
      <c r="A18" s="3"/>
      <c r="B18" s="3"/>
      <c r="C18" s="3"/>
      <c r="D18" s="3"/>
      <c r="E18" s="3"/>
      <c r="F18" s="3"/>
    </row>
    <row r="19" spans="1:6" x14ac:dyDescent="0.25">
      <c r="A19" s="3"/>
      <c r="B19" s="3"/>
      <c r="C19" s="3"/>
      <c r="D19" s="3"/>
      <c r="E19" s="3"/>
      <c r="F19" s="3"/>
    </row>
    <row r="20" spans="1:6" x14ac:dyDescent="0.25">
      <c r="A20" s="3"/>
      <c r="B20" s="3"/>
      <c r="C20" s="3"/>
      <c r="D20" s="3"/>
      <c r="E20" s="3"/>
      <c r="F20" s="3"/>
    </row>
    <row r="21" spans="1:6" x14ac:dyDescent="0.25">
      <c r="A21" s="3"/>
      <c r="B21" s="3"/>
      <c r="C21" s="3"/>
      <c r="D21" s="3"/>
      <c r="E21" s="3"/>
      <c r="F21" s="3"/>
    </row>
    <row r="22" spans="1:6" x14ac:dyDescent="0.25">
      <c r="A22" s="3"/>
      <c r="B22" s="3"/>
      <c r="C22" s="3"/>
      <c r="D22" s="3"/>
      <c r="E22" s="3"/>
      <c r="F22" s="3"/>
    </row>
    <row r="23" spans="1:6" x14ac:dyDescent="0.25">
      <c r="A23" s="3"/>
      <c r="B23" s="3"/>
      <c r="C23" s="3"/>
      <c r="D23" s="3"/>
      <c r="E23" s="3"/>
      <c r="F23" s="3"/>
    </row>
    <row r="24" spans="1:6" x14ac:dyDescent="0.25">
      <c r="A24" s="3"/>
      <c r="B24" s="3"/>
      <c r="C24" s="3"/>
      <c r="D24" s="3"/>
      <c r="E24" s="3"/>
      <c r="F24" s="3"/>
    </row>
    <row r="25" spans="1:6" x14ac:dyDescent="0.25">
      <c r="A25" s="3"/>
      <c r="B25" s="3"/>
      <c r="C25" s="3"/>
      <c r="D25" s="3"/>
      <c r="E25" s="3"/>
      <c r="F25" s="3"/>
    </row>
    <row r="26" spans="1:6" x14ac:dyDescent="0.25">
      <c r="A26" s="3"/>
      <c r="B26" s="3"/>
      <c r="C26" s="3"/>
      <c r="D26" s="3"/>
      <c r="E26" s="3"/>
      <c r="F26" s="3"/>
    </row>
    <row r="27" spans="1:6" x14ac:dyDescent="0.25">
      <c r="A27" s="3"/>
      <c r="B27" s="3"/>
      <c r="C27" s="3"/>
      <c r="D27" s="3"/>
      <c r="E27" s="3"/>
      <c r="F27" s="3"/>
    </row>
    <row r="28" spans="1:6" x14ac:dyDescent="0.25">
      <c r="A28" s="3"/>
      <c r="B28" s="3"/>
      <c r="C28" s="3"/>
      <c r="D28" s="3"/>
      <c r="E28" s="3"/>
      <c r="F28" s="3"/>
    </row>
    <row r="29" spans="1:6" x14ac:dyDescent="0.25">
      <c r="A29" s="3"/>
      <c r="B29" s="3"/>
      <c r="C29" s="3"/>
      <c r="D29" s="3"/>
      <c r="E29" s="3"/>
      <c r="F29" s="3"/>
    </row>
    <row r="30" spans="1:6" x14ac:dyDescent="0.25">
      <c r="A30" s="3"/>
      <c r="B30" s="3"/>
      <c r="C30" s="3"/>
      <c r="D30" s="3"/>
      <c r="E30" s="3"/>
      <c r="F30" s="3"/>
    </row>
    <row r="31" spans="1:6" x14ac:dyDescent="0.25">
      <c r="A31" s="3"/>
      <c r="B31" s="3"/>
      <c r="C31" s="3"/>
      <c r="D31" s="3"/>
      <c r="E31" s="3"/>
      <c r="F31" s="3"/>
    </row>
    <row r="32" spans="1:6" x14ac:dyDescent="0.25">
      <c r="A32" s="3"/>
      <c r="B32" s="3"/>
      <c r="C32" s="3"/>
      <c r="D32" s="3"/>
      <c r="E32" s="3"/>
      <c r="F32" s="3"/>
    </row>
    <row r="33" spans="1:6" x14ac:dyDescent="0.25">
      <c r="A33" s="3"/>
      <c r="B33" s="3"/>
      <c r="C33" s="3"/>
      <c r="D33" s="3"/>
      <c r="E33" s="3"/>
      <c r="F33" s="3"/>
    </row>
    <row r="34" spans="1:6" x14ac:dyDescent="0.25">
      <c r="A34" s="3"/>
      <c r="B34" s="3"/>
      <c r="C34" s="3"/>
      <c r="D34" s="3"/>
      <c r="E34" s="3"/>
      <c r="F34" s="3"/>
    </row>
    <row r="35" spans="1:6" x14ac:dyDescent="0.25">
      <c r="A35" s="3"/>
      <c r="B35" s="3"/>
      <c r="C35" s="3"/>
      <c r="D35" s="3"/>
      <c r="E35" s="3"/>
      <c r="F35" s="3"/>
    </row>
    <row r="36" spans="1:6" x14ac:dyDescent="0.25">
      <c r="A36" s="3"/>
      <c r="B36" s="3"/>
      <c r="C36" s="3"/>
      <c r="D36" s="3"/>
      <c r="E36" s="3"/>
      <c r="F36" s="3"/>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32"/>
  <sheetViews>
    <sheetView topLeftCell="A21" workbookViewId="0">
      <selection activeCell="C28" sqref="C28:D28"/>
    </sheetView>
  </sheetViews>
  <sheetFormatPr baseColWidth="10" defaultRowHeight="15" x14ac:dyDescent="0.25"/>
  <cols>
    <col min="1" max="1" width="37.85546875" bestFit="1" customWidth="1"/>
    <col min="5" max="5" width="16.7109375" bestFit="1" customWidth="1"/>
  </cols>
  <sheetData>
    <row r="1" spans="1:9" ht="15.75" thickBot="1" x14ac:dyDescent="0.3"/>
    <row r="2" spans="1:9" ht="17.25" thickBot="1" x14ac:dyDescent="0.35">
      <c r="A2" s="132" t="s">
        <v>11</v>
      </c>
      <c r="B2" s="133"/>
      <c r="C2" s="133"/>
      <c r="D2" s="134"/>
    </row>
    <row r="3" spans="1:9" s="11" customFormat="1" ht="16.5" x14ac:dyDescent="0.3"/>
    <row r="4" spans="1:9" s="11" customFormat="1" ht="16.5" x14ac:dyDescent="0.3">
      <c r="A4" s="135" t="s">
        <v>12</v>
      </c>
      <c r="B4" s="136"/>
    </row>
    <row r="5" spans="1:9" s="11" customFormat="1" ht="16.5" x14ac:dyDescent="0.3">
      <c r="C5" s="137" t="s">
        <v>13</v>
      </c>
      <c r="D5" s="137"/>
    </row>
    <row r="6" spans="1:9" s="11" customFormat="1" ht="16.5" x14ac:dyDescent="0.3">
      <c r="A6" s="12" t="s">
        <v>14</v>
      </c>
      <c r="B6" s="13">
        <v>2024</v>
      </c>
      <c r="C6" s="14" t="s">
        <v>15</v>
      </c>
      <c r="D6" s="15">
        <v>6800</v>
      </c>
    </row>
    <row r="7" spans="1:9" s="11" customFormat="1" ht="16.5" x14ac:dyDescent="0.3">
      <c r="A7" s="16" t="s">
        <v>16</v>
      </c>
      <c r="B7" s="17">
        <v>1300000</v>
      </c>
      <c r="C7" s="14" t="s">
        <v>17</v>
      </c>
      <c r="D7" s="15">
        <v>18548</v>
      </c>
    </row>
    <row r="8" spans="1:9" s="11" customFormat="1" ht="16.5" x14ac:dyDescent="0.3">
      <c r="A8" s="12" t="s">
        <v>18</v>
      </c>
      <c r="B8" s="17">
        <v>162000</v>
      </c>
      <c r="C8" s="18" t="s">
        <v>19</v>
      </c>
      <c r="D8" s="15">
        <v>3000</v>
      </c>
    </row>
    <row r="9" spans="1:9" s="11" customFormat="1" ht="27" x14ac:dyDescent="0.3">
      <c r="A9" s="19" t="s">
        <v>20</v>
      </c>
      <c r="B9" s="13">
        <v>30</v>
      </c>
      <c r="C9" s="18" t="s">
        <v>21</v>
      </c>
      <c r="D9" s="15">
        <v>0</v>
      </c>
    </row>
    <row r="10" spans="1:9" s="11" customFormat="1" ht="27" x14ac:dyDescent="0.3">
      <c r="A10" s="20" t="s">
        <v>22</v>
      </c>
      <c r="B10" s="13">
        <v>8</v>
      </c>
      <c r="C10" s="18" t="s">
        <v>23</v>
      </c>
      <c r="D10" s="15">
        <v>0</v>
      </c>
    </row>
    <row r="11" spans="1:9" s="11" customFormat="1" ht="16.5" x14ac:dyDescent="0.3">
      <c r="A11" s="21"/>
      <c r="B11" s="22"/>
      <c r="C11" s="23" t="s">
        <v>0</v>
      </c>
      <c r="D11" s="15">
        <f>SUM(D6:D10)</f>
        <v>28348</v>
      </c>
    </row>
    <row r="12" spans="1:9" s="11" customFormat="1" ht="16.5" x14ac:dyDescent="0.3"/>
    <row r="13" spans="1:9" s="11" customFormat="1" ht="16.5" x14ac:dyDescent="0.3">
      <c r="A13" s="138" t="s">
        <v>24</v>
      </c>
      <c r="B13" s="138"/>
      <c r="C13" s="139" t="s">
        <v>25</v>
      </c>
      <c r="D13" s="140"/>
    </row>
    <row r="14" spans="1:9" s="11" customFormat="1" ht="16.5" x14ac:dyDescent="0.3">
      <c r="A14" s="24" t="s">
        <v>26</v>
      </c>
      <c r="B14" s="25">
        <v>1</v>
      </c>
      <c r="C14" s="142">
        <f>B7</f>
        <v>1300000</v>
      </c>
      <c r="D14" s="143"/>
      <c r="G14" s="141"/>
      <c r="H14" s="26"/>
      <c r="I14" s="27"/>
    </row>
    <row r="15" spans="1:9" s="11" customFormat="1" ht="16.5" x14ac:dyDescent="0.3">
      <c r="A15" s="24" t="s">
        <v>27</v>
      </c>
      <c r="B15" s="25">
        <v>8.3299999999999999E-2</v>
      </c>
      <c r="C15" s="142">
        <f>$C$14*B15</f>
        <v>108290</v>
      </c>
      <c r="D15" s="143"/>
      <c r="G15" s="141"/>
      <c r="H15" s="26"/>
      <c r="I15" s="27"/>
    </row>
    <row r="16" spans="1:9" s="11" customFormat="1" ht="16.5" x14ac:dyDescent="0.3">
      <c r="A16" s="24" t="s">
        <v>28</v>
      </c>
      <c r="B16" s="25">
        <v>4.1700000000000001E-2</v>
      </c>
      <c r="C16" s="142">
        <f>$C$14*B16</f>
        <v>54210</v>
      </c>
      <c r="D16" s="143"/>
      <c r="G16" s="141"/>
      <c r="H16" s="26"/>
      <c r="I16" s="27"/>
    </row>
    <row r="17" spans="1:9" s="11" customFormat="1" ht="16.5" x14ac:dyDescent="0.3">
      <c r="A17" s="24" t="s">
        <v>29</v>
      </c>
      <c r="B17" s="25">
        <v>8.3299999999999999E-2</v>
      </c>
      <c r="C17" s="142">
        <f>$C$14*B17</f>
        <v>108290</v>
      </c>
      <c r="D17" s="143"/>
      <c r="G17" s="141"/>
      <c r="H17" s="26"/>
      <c r="I17" s="27"/>
    </row>
    <row r="18" spans="1:9" s="11" customFormat="1" ht="16.5" x14ac:dyDescent="0.3">
      <c r="A18" s="24" t="s">
        <v>30</v>
      </c>
      <c r="B18" s="25">
        <v>0.01</v>
      </c>
      <c r="C18" s="142">
        <f>$C$14*B18</f>
        <v>13000</v>
      </c>
      <c r="D18" s="143"/>
      <c r="G18" s="141"/>
      <c r="H18" s="26"/>
      <c r="I18" s="27"/>
    </row>
    <row r="19" spans="1:9" s="11" customFormat="1" ht="16.5" x14ac:dyDescent="0.3">
      <c r="A19" s="24" t="s">
        <v>31</v>
      </c>
      <c r="B19" s="25">
        <f>B8/B7</f>
        <v>0.12461538461538461</v>
      </c>
      <c r="C19" s="142">
        <f>B8</f>
        <v>162000</v>
      </c>
      <c r="D19" s="143"/>
      <c r="G19" s="141"/>
      <c r="H19" s="26"/>
      <c r="I19" s="27"/>
    </row>
    <row r="20" spans="1:9" s="11" customFormat="1" ht="16.5" x14ac:dyDescent="0.3">
      <c r="A20" s="24" t="s">
        <v>32</v>
      </c>
      <c r="B20" s="25">
        <v>8.5000000000000006E-2</v>
      </c>
      <c r="C20" s="142">
        <f t="shared" ref="C20:C25" si="0">$C$14*B20</f>
        <v>110500.00000000001</v>
      </c>
      <c r="D20" s="143"/>
      <c r="G20" s="141"/>
      <c r="H20" s="26"/>
      <c r="I20" s="27"/>
    </row>
    <row r="21" spans="1:9" s="11" customFormat="1" ht="16.5" x14ac:dyDescent="0.3">
      <c r="A21" s="28" t="s">
        <v>33</v>
      </c>
      <c r="B21" s="25">
        <v>6.9599999999999995E-2</v>
      </c>
      <c r="C21" s="142">
        <f t="shared" si="0"/>
        <v>90480</v>
      </c>
      <c r="D21" s="143"/>
    </row>
    <row r="22" spans="1:9" s="11" customFormat="1" ht="16.5" x14ac:dyDescent="0.3">
      <c r="A22" s="24" t="s">
        <v>34</v>
      </c>
      <c r="B22" s="29">
        <v>0.12</v>
      </c>
      <c r="C22" s="142">
        <f t="shared" si="0"/>
        <v>156000</v>
      </c>
      <c r="D22" s="143"/>
    </row>
    <row r="23" spans="1:9" s="11" customFormat="1" ht="16.5" x14ac:dyDescent="0.3">
      <c r="A23" s="24" t="s">
        <v>35</v>
      </c>
      <c r="B23" s="25">
        <v>0.02</v>
      </c>
      <c r="C23" s="142">
        <f t="shared" si="0"/>
        <v>26000</v>
      </c>
      <c r="D23" s="143"/>
    </row>
    <row r="24" spans="1:9" s="11" customFormat="1" ht="16.5" x14ac:dyDescent="0.3">
      <c r="A24" s="24" t="s">
        <v>36</v>
      </c>
      <c r="B24" s="25">
        <v>0.03</v>
      </c>
      <c r="C24" s="142">
        <f t="shared" si="0"/>
        <v>39000</v>
      </c>
      <c r="D24" s="143"/>
    </row>
    <row r="25" spans="1:9" s="11" customFormat="1" ht="16.5" x14ac:dyDescent="0.3">
      <c r="A25" s="24" t="s">
        <v>37</v>
      </c>
      <c r="B25" s="25">
        <v>0.04</v>
      </c>
      <c r="C25" s="142">
        <f t="shared" si="0"/>
        <v>52000</v>
      </c>
      <c r="D25" s="143"/>
    </row>
    <row r="26" spans="1:9" s="11" customFormat="1" ht="16.5" x14ac:dyDescent="0.3">
      <c r="A26" s="24" t="s">
        <v>38</v>
      </c>
      <c r="B26" s="25">
        <f>C26/C14</f>
        <v>5.4515384615384617E-3</v>
      </c>
      <c r="C26" s="142">
        <f>D11/4</f>
        <v>7087</v>
      </c>
      <c r="D26" s="143"/>
    </row>
    <row r="27" spans="1:9" s="11" customFormat="1" ht="16.5" x14ac:dyDescent="0.3">
      <c r="A27" s="30"/>
      <c r="B27" s="25"/>
      <c r="C27" s="144"/>
      <c r="D27" s="145"/>
    </row>
    <row r="28" spans="1:9" s="11" customFormat="1" ht="16.5" x14ac:dyDescent="0.3">
      <c r="A28" s="31" t="s">
        <v>39</v>
      </c>
      <c r="B28" s="32">
        <f>SUM(B14:B26)</f>
        <v>1.7129669230769231</v>
      </c>
      <c r="C28" s="142">
        <f>SUM(C14:D26)</f>
        <v>2226857</v>
      </c>
      <c r="D28" s="143"/>
    </row>
    <row r="29" spans="1:9" s="11" customFormat="1" ht="17.25" thickBot="1" x14ac:dyDescent="0.35"/>
    <row r="30" spans="1:9" ht="17.25" thickBot="1" x14ac:dyDescent="0.35">
      <c r="A30" s="146" t="s">
        <v>40</v>
      </c>
      <c r="B30" s="147"/>
      <c r="C30" s="147"/>
      <c r="D30" s="147"/>
      <c r="E30" s="148"/>
    </row>
    <row r="31" spans="1:9" ht="16.5" x14ac:dyDescent="0.3">
      <c r="A31" s="33"/>
      <c r="B31" s="34" t="s">
        <v>41</v>
      </c>
      <c r="C31" s="34" t="s">
        <v>42</v>
      </c>
      <c r="D31" s="34" t="s">
        <v>43</v>
      </c>
      <c r="E31" s="35" t="s">
        <v>44</v>
      </c>
    </row>
    <row r="32" spans="1:9" ht="16.5" x14ac:dyDescent="0.3">
      <c r="A32" s="31" t="s">
        <v>45</v>
      </c>
      <c r="B32" s="36" t="s">
        <v>46</v>
      </c>
      <c r="C32" s="37">
        <f>(B7/B9)*1</f>
        <v>43333.333333333336</v>
      </c>
      <c r="D32" s="32">
        <f>$B$28</f>
        <v>1.7129669230769231</v>
      </c>
      <c r="E32" s="38">
        <f>ROUND(C32*D32,0)</f>
        <v>74229</v>
      </c>
    </row>
  </sheetData>
  <mergeCells count="22">
    <mergeCell ref="C27:D27"/>
    <mergeCell ref="C28:D28"/>
    <mergeCell ref="A30:E30"/>
    <mergeCell ref="C21:D21"/>
    <mergeCell ref="C22:D22"/>
    <mergeCell ref="C23:D23"/>
    <mergeCell ref="C24:D24"/>
    <mergeCell ref="C25:D25"/>
    <mergeCell ref="C26:D26"/>
    <mergeCell ref="G14:G20"/>
    <mergeCell ref="C15:D15"/>
    <mergeCell ref="C16:D16"/>
    <mergeCell ref="C17:D17"/>
    <mergeCell ref="C18:D18"/>
    <mergeCell ref="C19:D19"/>
    <mergeCell ref="C20:D20"/>
    <mergeCell ref="C14:D14"/>
    <mergeCell ref="A2:D2"/>
    <mergeCell ref="A4:B4"/>
    <mergeCell ref="C5:D5"/>
    <mergeCell ref="A13:B13"/>
    <mergeCell ref="C13:D1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3:H23"/>
  <sheetViews>
    <sheetView topLeftCell="A7" workbookViewId="0">
      <selection activeCell="D7" sqref="D7"/>
    </sheetView>
  </sheetViews>
  <sheetFormatPr baseColWidth="10" defaultRowHeight="15" x14ac:dyDescent="0.25"/>
  <cols>
    <col min="3" max="3" width="16.28515625" customWidth="1"/>
    <col min="4" max="4" width="58.7109375" customWidth="1"/>
    <col min="5" max="5" width="18.7109375" bestFit="1" customWidth="1"/>
    <col min="7" max="7" width="18.7109375" customWidth="1"/>
    <col min="8" max="8" width="16.5703125" customWidth="1"/>
  </cols>
  <sheetData>
    <row r="3" spans="2:8" x14ac:dyDescent="0.25">
      <c r="B3" s="10" t="s">
        <v>120</v>
      </c>
    </row>
    <row r="4" spans="2:8" ht="15.75" thickBot="1" x14ac:dyDescent="0.3"/>
    <row r="5" spans="2:8" ht="26.25" thickBot="1" x14ac:dyDescent="0.3">
      <c r="B5" s="59" t="s">
        <v>68</v>
      </c>
      <c r="C5" s="60" t="s">
        <v>69</v>
      </c>
      <c r="D5" s="60" t="s">
        <v>70</v>
      </c>
      <c r="E5" s="60" t="s">
        <v>60</v>
      </c>
      <c r="F5" s="60" t="s">
        <v>71</v>
      </c>
      <c r="G5" s="60" t="s">
        <v>72</v>
      </c>
      <c r="H5" s="75" t="s">
        <v>118</v>
      </c>
    </row>
    <row r="6" spans="2:8" ht="39" thickBot="1" x14ac:dyDescent="0.3">
      <c r="B6" s="69" t="s">
        <v>73</v>
      </c>
      <c r="C6" s="69" t="s">
        <v>74</v>
      </c>
      <c r="D6" s="69" t="s">
        <v>75</v>
      </c>
      <c r="E6" s="70">
        <v>57040637</v>
      </c>
      <c r="F6" s="69">
        <v>9</v>
      </c>
      <c r="G6" s="69" t="s">
        <v>76</v>
      </c>
      <c r="H6" s="78">
        <f>E6/F6</f>
        <v>6337848.555555556</v>
      </c>
    </row>
    <row r="7" spans="2:8" ht="51.75" thickBot="1" x14ac:dyDescent="0.3">
      <c r="B7" s="62" t="s">
        <v>73</v>
      </c>
      <c r="C7" s="61" t="s">
        <v>77</v>
      </c>
      <c r="D7" s="61" t="s">
        <v>78</v>
      </c>
      <c r="E7" s="71">
        <v>144521912</v>
      </c>
      <c r="F7" s="61">
        <v>12</v>
      </c>
      <c r="G7" s="61" t="s">
        <v>76</v>
      </c>
      <c r="H7" s="76">
        <f t="shared" ref="H7:H21" si="0">E7/F7</f>
        <v>12043492.666666666</v>
      </c>
    </row>
    <row r="8" spans="2:8" ht="51.75" thickBot="1" x14ac:dyDescent="0.3">
      <c r="B8" s="62" t="s">
        <v>79</v>
      </c>
      <c r="C8" s="63" t="s">
        <v>80</v>
      </c>
      <c r="D8" s="61" t="s">
        <v>81</v>
      </c>
      <c r="E8" s="71">
        <v>292612900</v>
      </c>
      <c r="F8" s="61">
        <v>8</v>
      </c>
      <c r="G8" s="61" t="s">
        <v>82</v>
      </c>
      <c r="H8" s="78">
        <f t="shared" si="0"/>
        <v>36576612.5</v>
      </c>
    </row>
    <row r="9" spans="2:8" ht="39" thickBot="1" x14ac:dyDescent="0.3">
      <c r="B9" s="62" t="s">
        <v>79</v>
      </c>
      <c r="C9" s="63" t="s">
        <v>83</v>
      </c>
      <c r="D9" s="61" t="s">
        <v>84</v>
      </c>
      <c r="E9" s="71">
        <v>167609970</v>
      </c>
      <c r="F9" s="61">
        <v>8</v>
      </c>
      <c r="G9" s="61" t="s">
        <v>82</v>
      </c>
      <c r="H9" s="76">
        <f t="shared" si="0"/>
        <v>20951246.25</v>
      </c>
    </row>
    <row r="10" spans="2:8" ht="39" thickBot="1" x14ac:dyDescent="0.3">
      <c r="B10" s="62" t="s">
        <v>85</v>
      </c>
      <c r="C10" s="61" t="s">
        <v>86</v>
      </c>
      <c r="D10" s="64" t="s">
        <v>87</v>
      </c>
      <c r="E10" s="71">
        <v>36000000</v>
      </c>
      <c r="F10" s="61">
        <v>8</v>
      </c>
      <c r="G10" s="61" t="s">
        <v>88</v>
      </c>
      <c r="H10" s="78">
        <f t="shared" si="0"/>
        <v>4500000</v>
      </c>
    </row>
    <row r="11" spans="2:8" ht="39" thickBot="1" x14ac:dyDescent="0.3">
      <c r="B11" s="62" t="s">
        <v>85</v>
      </c>
      <c r="C11" s="61" t="s">
        <v>89</v>
      </c>
      <c r="D11" s="64" t="s">
        <v>90</v>
      </c>
      <c r="E11" s="72">
        <v>17000000</v>
      </c>
      <c r="F11" s="61">
        <v>3</v>
      </c>
      <c r="G11" s="61" t="s">
        <v>88</v>
      </c>
      <c r="H11" s="76">
        <f t="shared" si="0"/>
        <v>5666666.666666667</v>
      </c>
    </row>
    <row r="12" spans="2:8" ht="64.5" thickBot="1" x14ac:dyDescent="0.3">
      <c r="B12" s="62" t="s">
        <v>85</v>
      </c>
      <c r="C12" s="61" t="s">
        <v>91</v>
      </c>
      <c r="D12" s="64" t="s">
        <v>92</v>
      </c>
      <c r="E12" s="72">
        <v>38000000</v>
      </c>
      <c r="F12" s="61">
        <v>10</v>
      </c>
      <c r="G12" s="61" t="s">
        <v>88</v>
      </c>
      <c r="H12" s="78">
        <f t="shared" si="0"/>
        <v>3800000</v>
      </c>
    </row>
    <row r="13" spans="2:8" ht="77.25" thickBot="1" x14ac:dyDescent="0.3">
      <c r="B13" s="62" t="s">
        <v>51</v>
      </c>
      <c r="C13" s="61" t="s">
        <v>93</v>
      </c>
      <c r="D13" s="64" t="s">
        <v>94</v>
      </c>
      <c r="E13" s="72">
        <v>82000000</v>
      </c>
      <c r="F13" s="61">
        <v>7</v>
      </c>
      <c r="G13" s="61" t="s">
        <v>88</v>
      </c>
      <c r="H13" s="76">
        <f t="shared" si="0"/>
        <v>11714285.714285715</v>
      </c>
    </row>
    <row r="14" spans="2:8" ht="26.25" thickBot="1" x14ac:dyDescent="0.3">
      <c r="B14" s="69" t="s">
        <v>51</v>
      </c>
      <c r="C14" s="69" t="s">
        <v>95</v>
      </c>
      <c r="D14" s="65" t="s">
        <v>96</v>
      </c>
      <c r="E14" s="73">
        <v>188854983</v>
      </c>
      <c r="F14" s="69">
        <v>8</v>
      </c>
      <c r="G14" s="69" t="s">
        <v>88</v>
      </c>
      <c r="H14" s="78">
        <f t="shared" si="0"/>
        <v>23606872.875</v>
      </c>
    </row>
    <row r="15" spans="2:8" ht="77.25" thickBot="1" x14ac:dyDescent="0.3">
      <c r="B15" s="62" t="s">
        <v>97</v>
      </c>
      <c r="C15" s="64" t="s">
        <v>98</v>
      </c>
      <c r="D15" s="64" t="s">
        <v>99</v>
      </c>
      <c r="E15" s="72">
        <v>35287752</v>
      </c>
      <c r="F15" s="66">
        <v>9.5299999999999994</v>
      </c>
      <c r="G15" s="64" t="s">
        <v>76</v>
      </c>
      <c r="H15" s="76">
        <f t="shared" si="0"/>
        <v>3702807.1353620151</v>
      </c>
    </row>
    <row r="16" spans="2:8" ht="64.5" thickBot="1" x14ac:dyDescent="0.3">
      <c r="B16" s="62" t="s">
        <v>100</v>
      </c>
      <c r="C16" s="64" t="s">
        <v>101</v>
      </c>
      <c r="D16" s="64" t="s">
        <v>102</v>
      </c>
      <c r="E16" s="72">
        <v>98336227</v>
      </c>
      <c r="F16" s="64">
        <v>4</v>
      </c>
      <c r="G16" s="64" t="s">
        <v>103</v>
      </c>
      <c r="H16" s="78">
        <f t="shared" si="0"/>
        <v>24584056.75</v>
      </c>
    </row>
    <row r="17" spans="2:8" ht="77.25" thickBot="1" x14ac:dyDescent="0.3">
      <c r="B17" s="62" t="s">
        <v>104</v>
      </c>
      <c r="C17" s="64" t="s">
        <v>105</v>
      </c>
      <c r="D17" s="64" t="s">
        <v>106</v>
      </c>
      <c r="E17" s="72">
        <v>731657960</v>
      </c>
      <c r="F17" s="66">
        <v>6.3</v>
      </c>
      <c r="G17" s="64" t="s">
        <v>107</v>
      </c>
      <c r="H17" s="76">
        <f t="shared" si="0"/>
        <v>116136184.12698413</v>
      </c>
    </row>
    <row r="18" spans="2:8" ht="64.5" thickBot="1" x14ac:dyDescent="0.3">
      <c r="B18" s="67" t="s">
        <v>108</v>
      </c>
      <c r="C18" s="64" t="s">
        <v>109</v>
      </c>
      <c r="D18" s="64" t="s">
        <v>110</v>
      </c>
      <c r="E18" s="72">
        <v>20797440</v>
      </c>
      <c r="F18" s="64">
        <v>6</v>
      </c>
      <c r="G18" s="64" t="s">
        <v>76</v>
      </c>
      <c r="H18" s="78">
        <f t="shared" si="0"/>
        <v>3466240</v>
      </c>
    </row>
    <row r="19" spans="2:8" ht="51.75" thickBot="1" x14ac:dyDescent="0.3">
      <c r="B19" s="62" t="s">
        <v>111</v>
      </c>
      <c r="C19" s="64" t="s">
        <v>112</v>
      </c>
      <c r="D19" s="64" t="s">
        <v>113</v>
      </c>
      <c r="E19" s="72">
        <v>111250000</v>
      </c>
      <c r="F19" s="66">
        <v>4.8</v>
      </c>
      <c r="G19" s="64" t="s">
        <v>107</v>
      </c>
      <c r="H19" s="76">
        <f t="shared" si="0"/>
        <v>23177083.333333336</v>
      </c>
    </row>
    <row r="20" spans="2:8" ht="39" thickBot="1" x14ac:dyDescent="0.3">
      <c r="B20" s="62" t="s">
        <v>79</v>
      </c>
      <c r="C20" s="64" t="s">
        <v>114</v>
      </c>
      <c r="D20" s="64" t="s">
        <v>115</v>
      </c>
      <c r="E20" s="72">
        <v>197356077</v>
      </c>
      <c r="F20" s="66">
        <v>12</v>
      </c>
      <c r="G20" s="64" t="s">
        <v>76</v>
      </c>
      <c r="H20" s="78">
        <f t="shared" si="0"/>
        <v>16446339.75</v>
      </c>
    </row>
    <row r="21" spans="2:8" ht="64.5" thickBot="1" x14ac:dyDescent="0.3">
      <c r="B21" s="62" t="s">
        <v>79</v>
      </c>
      <c r="C21" s="68" t="s">
        <v>116</v>
      </c>
      <c r="D21" s="64" t="s">
        <v>117</v>
      </c>
      <c r="E21" s="72">
        <v>135317892</v>
      </c>
      <c r="F21" s="66">
        <v>1.5</v>
      </c>
      <c r="G21" s="64" t="s">
        <v>76</v>
      </c>
      <c r="H21" s="77">
        <f t="shared" si="0"/>
        <v>90211928</v>
      </c>
    </row>
    <row r="22" spans="2:8" ht="15.75" thickBot="1" x14ac:dyDescent="0.3">
      <c r="E22" s="74">
        <f>SUM(E6:E21)</f>
        <v>2353643750</v>
      </c>
    </row>
    <row r="23" spans="2:8" ht="21.75" thickBot="1" x14ac:dyDescent="0.4">
      <c r="B23" s="149" t="s">
        <v>119</v>
      </c>
      <c r="C23" s="150"/>
      <c r="D23" s="151"/>
      <c r="E23" s="79">
        <f>E22/16</f>
        <v>147102734.375</v>
      </c>
    </row>
  </sheetData>
  <mergeCells count="1">
    <mergeCell ref="B23:D23"/>
  </mergeCells>
  <hyperlinks>
    <hyperlink ref="C8" r:id="rId1" display="javascript: popUpSecop('/consultas/detalleProceso.do?numConstancia=14-15-2790071')" xr:uid="{00000000-0004-0000-0B00-000000000000}"/>
    <hyperlink ref="C9" r:id="rId2" display="javascript: popUpSecop('/consultas/detalleProceso.do?numConstancia=14-15-2749920')" xr:uid="{00000000-0004-0000-0B00-000001000000}"/>
    <hyperlink ref="B18" r:id="rId3" display="http://www.gobernaciondelmeta.gov.co/" xr:uid="{00000000-0004-0000-0B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RESUMEN</vt:lpstr>
      <vt:lpstr>PERFILES</vt:lpstr>
      <vt:lpstr>Jornal</vt:lpstr>
      <vt:lpstr>Analisis Contratos similares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Jaco</dc:creator>
  <cp:lastModifiedBy>admon</cp:lastModifiedBy>
  <cp:lastPrinted>2024-10-03T22:21:20Z</cp:lastPrinted>
  <dcterms:created xsi:type="dcterms:W3CDTF">2020-10-03T14:40:37Z</dcterms:created>
  <dcterms:modified xsi:type="dcterms:W3CDTF">2024-10-24T14:41:22Z</dcterms:modified>
</cp:coreProperties>
</file>